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5.xml" ContentType="application/vnd.openxmlformats-officedocument.drawing+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drawings/drawing8.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1\"/>
    </mc:Choice>
  </mc:AlternateContent>
  <bookViews>
    <workbookView xWindow="-15" yWindow="-15" windowWidth="7830" windowHeight="7695" firstSheet="3" activeTab="10"/>
  </bookViews>
  <sheets>
    <sheet name="STATPARA" sheetId="19" state="veryHidden" r:id="rId1"/>
    <sheet name="Lead" sheetId="4" r:id="rId2"/>
    <sheet name="Checks" sheetId="46" r:id="rId3"/>
    <sheet name="preBS" sheetId="7" r:id="rId4"/>
    <sheet name="preIS" sheetId="21" r:id="rId5"/>
    <sheet name="preCF" sheetId="8" r:id="rId6"/>
    <sheet name="现流表复核" sheetId="85" r:id="rId7"/>
    <sheet name="preCE" sheetId="2" r:id="rId8"/>
    <sheet name="所得税计算表" sheetId="83" r:id="rId9"/>
    <sheet name="noteChecks" sheetId="50" r:id="rId10"/>
    <sheet name="Notes" sheetId="18" r:id="rId11"/>
    <sheet name="递延所得税计算表" sheetId="84" r:id="rId12"/>
    <sheet name="BS" sheetId="72" r:id="rId13"/>
    <sheet name="IS" sheetId="73" r:id="rId14"/>
    <sheet name="CF" sheetId="74" r:id="rId15"/>
    <sheet name="CE" sheetId="75" r:id="rId16"/>
    <sheet name="TB" sheetId="5" r:id="rId17"/>
    <sheet name="AJE" sheetId="6" r:id="rId18"/>
    <sheet name="CFJE" sheetId="13" r:id="rId19"/>
    <sheet name="UJE" sheetId="11" r:id="rId20"/>
    <sheet name="AJE1" sheetId="12" r:id="rId21"/>
    <sheet name="BalanceSheet" sheetId="68" state="veryHidden" r:id="rId22"/>
    <sheet name="IncomeStatement" sheetId="69" state="veryHidden" r:id="rId23"/>
    <sheet name="CashFlow" sheetId="70" state="veryHidden" r:id="rId24"/>
    <sheet name="OwnersEquity" sheetId="71" state="veryHidden" r:id="rId25"/>
    <sheet name="CFWP1" sheetId="16" r:id="rId26"/>
    <sheet name="CFWP2" sheetId="17" r:id="rId27"/>
    <sheet name="STATDATA" sheetId="23" state="veryHidden" r:id="rId28"/>
    <sheet name="TBSPIVOT" sheetId="25" state="veryHidden" r:id="rId29"/>
    <sheet name="NOTEPIVO2" sheetId="45" state="veryHidden" r:id="rId30"/>
    <sheet name="NOTEPIVO" sheetId="24" state="veryHidden" r:id="rId31"/>
    <sheet name="未审报表分析" sheetId="51" r:id="rId32"/>
    <sheet name="未审财务指标分析" sheetId="52" r:id="rId33"/>
    <sheet name="已审报表分析" sheetId="47" r:id="rId34"/>
    <sheet name="已审财务指标分析" sheetId="48" r:id="rId35"/>
    <sheet name="非财务信息" sheetId="49" r:id="rId36"/>
    <sheet name="9000A错报程序表" sheetId="76" r:id="rId37"/>
    <sheet name="9002B未更正错报（不包括披露错报）汇总表" sheetId="77" r:id="rId38"/>
    <sheet name="9002C未更正披露错报汇总表" sheetId="78" r:id="rId39"/>
    <sheet name="9000B对错报性质的评价" sheetId="79" r:id="rId40"/>
    <sheet name="9000C错报评价" sheetId="80" r:id="rId41"/>
    <sheet name="9000D对错报的沟通" sheetId="81" r:id="rId42"/>
  </sheets>
  <externalReferences>
    <externalReference r:id="rId43"/>
    <externalReference r:id="rId44"/>
    <externalReference r:id="rId45"/>
    <externalReference r:id="rId46"/>
    <externalReference r:id="rId47"/>
    <externalReference r:id="rId48"/>
  </externalReferences>
  <definedNames>
    <definedName name="\p">#N/A</definedName>
    <definedName name="_">#N/A</definedName>
    <definedName name="_.31">#N/A</definedName>
    <definedName name="_______DAT1">#N/A</definedName>
    <definedName name="_______DAT10">#N/A</definedName>
    <definedName name="_______DAT11">#N/A</definedName>
    <definedName name="_______DAT12">#N/A</definedName>
    <definedName name="_______DAT13">#N/A</definedName>
    <definedName name="_______DAT14">#N/A</definedName>
    <definedName name="_______DAT15">#N/A</definedName>
    <definedName name="_______DAT16">#N/A</definedName>
    <definedName name="_______DAT17">#N/A</definedName>
    <definedName name="_______DAT18">#N/A</definedName>
    <definedName name="_______DAT19">#N/A</definedName>
    <definedName name="_______DAT2">#N/A</definedName>
    <definedName name="_______DAT20">#N/A</definedName>
    <definedName name="_______DAT21">#N/A</definedName>
    <definedName name="_______DAT22">#N/A</definedName>
    <definedName name="_______DAT3">#N/A</definedName>
    <definedName name="_______DAT4">#N/A</definedName>
    <definedName name="_______DAT5">#N/A</definedName>
    <definedName name="_______DAT6">#N/A</definedName>
    <definedName name="_______DAT7">#N/A</definedName>
    <definedName name="_______DAT8">#N/A</definedName>
    <definedName name="_______DAT9">#N/A</definedName>
    <definedName name="_______FZ3">#N/A</definedName>
    <definedName name="_______ZC271">#N/A</definedName>
    <definedName name="_______ZC272">#N/A</definedName>
    <definedName name="______DAT1">#N/A</definedName>
    <definedName name="______DAT10">#N/A</definedName>
    <definedName name="______DAT11">#N/A</definedName>
    <definedName name="______DAT12">#N/A</definedName>
    <definedName name="______DAT13">#N/A</definedName>
    <definedName name="______DAT14">#N/A</definedName>
    <definedName name="______DAT15">#N/A</definedName>
    <definedName name="______DAT16">#N/A</definedName>
    <definedName name="______DAT17">#N/A</definedName>
    <definedName name="______DAT18">#N/A</definedName>
    <definedName name="______DAT19">#N/A</definedName>
    <definedName name="______DAT2">#N/A</definedName>
    <definedName name="______DAT20">#N/A</definedName>
    <definedName name="______DAT21">#N/A</definedName>
    <definedName name="______DAT22">#N/A</definedName>
    <definedName name="______DAT3">#N/A</definedName>
    <definedName name="______DAT4">#N/A</definedName>
    <definedName name="______DAT5">#N/A</definedName>
    <definedName name="______DAT6">#N/A</definedName>
    <definedName name="______DAT7">#N/A</definedName>
    <definedName name="______DAT8">#N/A</definedName>
    <definedName name="______DAT9">#N/A</definedName>
    <definedName name="______FZ3">#N/A</definedName>
    <definedName name="______ZC271">#N/A</definedName>
    <definedName name="______ZC272">#N/A</definedName>
    <definedName name="_____DAT1">#N/A</definedName>
    <definedName name="_____DAT10">#N/A</definedName>
    <definedName name="_____DAT11">#N/A</definedName>
    <definedName name="_____DAT12">#N/A</definedName>
    <definedName name="_____DAT13">#N/A</definedName>
    <definedName name="_____DAT14">#N/A</definedName>
    <definedName name="_____DAT15">#N/A</definedName>
    <definedName name="_____DAT16">#N/A</definedName>
    <definedName name="_____DAT17">#N/A</definedName>
    <definedName name="_____DAT18">#N/A</definedName>
    <definedName name="_____DAT19">#N/A</definedName>
    <definedName name="_____DAT2">#N/A</definedName>
    <definedName name="_____DAT20">#N/A</definedName>
    <definedName name="_____DAT21">#N/A</definedName>
    <definedName name="_____DAT22">#N/A</definedName>
    <definedName name="_____DAT3">#N/A</definedName>
    <definedName name="_____DAT4">#N/A</definedName>
    <definedName name="_____DAT5">#N/A</definedName>
    <definedName name="_____DAT6">#N/A</definedName>
    <definedName name="_____DAT7">#N/A</definedName>
    <definedName name="_____DAT8">#N/A</definedName>
    <definedName name="_____DAT9">#N/A</definedName>
    <definedName name="_____FZ3">#N/A</definedName>
    <definedName name="_____ZC271">#N/A</definedName>
    <definedName name="_____ZC272">#N/A</definedName>
    <definedName name="____DAT1">#N/A</definedName>
    <definedName name="____DAT10">#N/A</definedName>
    <definedName name="____DAT11">#N/A</definedName>
    <definedName name="____DAT12">#N/A</definedName>
    <definedName name="____DAT13">#N/A</definedName>
    <definedName name="____DAT14">#N/A</definedName>
    <definedName name="____DAT15">#N/A</definedName>
    <definedName name="____DAT16">#N/A</definedName>
    <definedName name="____DAT17">#N/A</definedName>
    <definedName name="____DAT18">#N/A</definedName>
    <definedName name="____DAT19">#N/A</definedName>
    <definedName name="____DAT2">#N/A</definedName>
    <definedName name="____DAT20">#N/A</definedName>
    <definedName name="____DAT21">#N/A</definedName>
    <definedName name="____DAT22">#N/A</definedName>
    <definedName name="____DAT3">#N/A</definedName>
    <definedName name="____DAT4">#N/A</definedName>
    <definedName name="____DAT5">#N/A</definedName>
    <definedName name="____DAT6">#N/A</definedName>
    <definedName name="____DAT7">#N/A</definedName>
    <definedName name="____DAT8">#N/A</definedName>
    <definedName name="____DAT9">#N/A</definedName>
    <definedName name="____FZ3">#N/A</definedName>
    <definedName name="____ZC271">#N/A</definedName>
    <definedName name="____ZC272">#N/A</definedName>
    <definedName name="___DAT1">#N/A</definedName>
    <definedName name="___DAT10">#N/A</definedName>
    <definedName name="___DAT11">#N/A</definedName>
    <definedName name="___DAT12">#N/A</definedName>
    <definedName name="___DAT13">#N/A</definedName>
    <definedName name="___DAT14">#N/A</definedName>
    <definedName name="___DAT15">#N/A</definedName>
    <definedName name="___DAT16">#N/A</definedName>
    <definedName name="___DAT17">#N/A</definedName>
    <definedName name="___DAT18">#N/A</definedName>
    <definedName name="___DAT19">#N/A</definedName>
    <definedName name="___DAT2">#N/A</definedName>
    <definedName name="___DAT20">#N/A</definedName>
    <definedName name="___DAT21">#N/A</definedName>
    <definedName name="___DAT22">#N/A</definedName>
    <definedName name="___DAT3">#N/A</definedName>
    <definedName name="___DAT4">#N/A</definedName>
    <definedName name="___DAT5">#N/A</definedName>
    <definedName name="___DAT6">#N/A</definedName>
    <definedName name="___DAT7">#N/A</definedName>
    <definedName name="___DAT8">#N/A</definedName>
    <definedName name="___DAT9">#N/A</definedName>
    <definedName name="___FZ3">#N/A</definedName>
    <definedName name="___ZC271">#N/A</definedName>
    <definedName name="___ZC272">#N/A</definedName>
    <definedName name="__1">#N/A</definedName>
    <definedName name="__214">#N/A</definedName>
    <definedName name="__214a">#N/A</definedName>
    <definedName name="__224102_06">#N/A</definedName>
    <definedName name="__384">#N/A</definedName>
    <definedName name="__a1" hidden="1">#N/A</definedName>
    <definedName name="__a2" hidden="1">#N/A</definedName>
    <definedName name="__b4">#N/A</definedName>
    <definedName name="__DAT1">#N/A</definedName>
    <definedName name="__DAT10">#N/A</definedName>
    <definedName name="__DAT11">#N/A</definedName>
    <definedName name="__DAT12">#N/A</definedName>
    <definedName name="__DAT13">#N/A</definedName>
    <definedName name="__DAT14">#N/A</definedName>
    <definedName name="__DAT15">#N/A</definedName>
    <definedName name="__DAT16">#N/A</definedName>
    <definedName name="__DAT17">#N/A</definedName>
    <definedName name="__DAT18">#N/A</definedName>
    <definedName name="__DAT19">#N/A</definedName>
    <definedName name="__DAT2">#N/A</definedName>
    <definedName name="__DAT20">#N/A</definedName>
    <definedName name="__DAT21">#N/A</definedName>
    <definedName name="__DAT22">#N/A</definedName>
    <definedName name="__DAT3">#N/A</definedName>
    <definedName name="__DAT4">#N/A</definedName>
    <definedName name="__DAT5">#N/A</definedName>
    <definedName name="__DAT6">#N/A</definedName>
    <definedName name="__DAT7">#N/A</definedName>
    <definedName name="__DAT8">#N/A</definedName>
    <definedName name="__DAT9">#N/A</definedName>
    <definedName name="__FZ3">#N/A</definedName>
    <definedName name="__gy1">#N/A</definedName>
    <definedName name="__gz1">#N/A</definedName>
    <definedName name="__H8">#N/A</definedName>
    <definedName name="__j2">#N/A</definedName>
    <definedName name="__JZ012">#N/A</definedName>
    <definedName name="__JZ021">#N/A</definedName>
    <definedName name="__JZ022">#N/A</definedName>
    <definedName name="__JZ101">#N/A</definedName>
    <definedName name="__JZ102">#N/A</definedName>
    <definedName name="__JZ111">#N/A</definedName>
    <definedName name="__JZ112">#N/A</definedName>
    <definedName name="__JZR1">#N/A</definedName>
    <definedName name="__k100">#N/A</definedName>
    <definedName name="__k9">#N/A</definedName>
    <definedName name="__LR011">#N/A</definedName>
    <definedName name="__LR012">#N/A</definedName>
    <definedName name="__LR031">#N/A</definedName>
    <definedName name="__LR032">#N/A</definedName>
    <definedName name="__LR052">#N/A</definedName>
    <definedName name="__LR061">#N/A</definedName>
    <definedName name="__LR062">#N/A</definedName>
    <definedName name="__lxw1">#N/A</definedName>
    <definedName name="__pg154">#N/A</definedName>
    <definedName name="__pg543">#N/A</definedName>
    <definedName name="__pgz0311">#N/A</definedName>
    <definedName name="__pgz0312">#N/A</definedName>
    <definedName name="__pgz0313">#N/A</definedName>
    <definedName name="__pgz101">#N/A</definedName>
    <definedName name="__pgz102">#N/A</definedName>
    <definedName name="__pgz103">#N/A</definedName>
    <definedName name="__pgz104">#N/A</definedName>
    <definedName name="__pgz105">#N/A</definedName>
    <definedName name="__pgz106">#N/A</definedName>
    <definedName name="__pgz3">#N/A</definedName>
    <definedName name="__pgz31">#N/A</definedName>
    <definedName name="__pgz310">#N/A</definedName>
    <definedName name="__pgz3101">#N/A</definedName>
    <definedName name="__pgz31010">#N/A</definedName>
    <definedName name="__pgz31011">#N/A</definedName>
    <definedName name="__pgz3102">#N/A</definedName>
    <definedName name="__pgz3103">#N/A</definedName>
    <definedName name="__pgz3104">#N/A</definedName>
    <definedName name="__pgz3105">#N/A</definedName>
    <definedName name="__pgz3106">#N/A</definedName>
    <definedName name="__pgz3107">#N/A</definedName>
    <definedName name="__pgz3108">#N/A</definedName>
    <definedName name="__pgz3109">#N/A</definedName>
    <definedName name="__pgz311">#N/A</definedName>
    <definedName name="__pgz312">#N/A</definedName>
    <definedName name="__pgz313">#N/A</definedName>
    <definedName name="__pgz314">#N/A</definedName>
    <definedName name="__pgz32">#N/A</definedName>
    <definedName name="__pgz321">#N/A</definedName>
    <definedName name="__pgz322">#N/A</definedName>
    <definedName name="__pgz33">#N/A</definedName>
    <definedName name="__pgz34">#N/A</definedName>
    <definedName name="__pgz35">#N/A</definedName>
    <definedName name="__pgz36">#N/A</definedName>
    <definedName name="__pgz37">#N/A</definedName>
    <definedName name="__pgz38">#N/A</definedName>
    <definedName name="__pgz39">#N/A</definedName>
    <definedName name="__pgz4">#N/A</definedName>
    <definedName name="__pgz41">#N/A</definedName>
    <definedName name="__pgz42">#N/A</definedName>
    <definedName name="__pgz43">#N/A</definedName>
    <definedName name="__pgz51">#N/A</definedName>
    <definedName name="__pgz511">#N/A</definedName>
    <definedName name="__pgz512">#N/A</definedName>
    <definedName name="__pgz513">#N/A</definedName>
    <definedName name="__pgz52">#N/A</definedName>
    <definedName name="__pgz521">#N/A</definedName>
    <definedName name="__pgz522">#N/A</definedName>
    <definedName name="__pgz523">#N/A</definedName>
    <definedName name="__pgz53">#N/A</definedName>
    <definedName name="__pgz54">#N/A</definedName>
    <definedName name="__pgz541">#N/A</definedName>
    <definedName name="__pgz542">#N/A</definedName>
    <definedName name="__pgz55">#N/A</definedName>
    <definedName name="__pgz56">#N/A</definedName>
    <definedName name="__pgz61">#N/A</definedName>
    <definedName name="__pgz62">#N/A</definedName>
    <definedName name="__pgz71">#N/A</definedName>
    <definedName name="__pgz72">#N/A</definedName>
    <definedName name="__pgz81">#N/A</definedName>
    <definedName name="__pgz82">#N/A</definedName>
    <definedName name="__pgz91">#N/A</definedName>
    <definedName name="__pgz910">#N/A</definedName>
    <definedName name="__pgz911">#N/A</definedName>
    <definedName name="__pgz912">#N/A</definedName>
    <definedName name="__pgz913">#N/A</definedName>
    <definedName name="__pgz914">#N/A</definedName>
    <definedName name="__pgz92">#N/A</definedName>
    <definedName name="__pgz93">#N/A</definedName>
    <definedName name="__pgz94">#N/A</definedName>
    <definedName name="__pgz95">#N/A</definedName>
    <definedName name="__pgz96">#N/A</definedName>
    <definedName name="__pgz97">#N/A</definedName>
    <definedName name="__pgz98">#N/A</definedName>
    <definedName name="__pgz99">#N/A</definedName>
    <definedName name="__pz513">#N/A</definedName>
    <definedName name="__Q4">#N/A</definedName>
    <definedName name="__xx2">#N/A</definedName>
    <definedName name="__yz51">#N/A</definedName>
    <definedName name="__yz511">#N/A</definedName>
    <definedName name="__yz512">#N/A</definedName>
    <definedName name="__yz513">#N/A</definedName>
    <definedName name="__yz514">#N/A</definedName>
    <definedName name="__yz52">#N/A</definedName>
    <definedName name="__yz521">#N/A</definedName>
    <definedName name="__yz522">#N/A</definedName>
    <definedName name="__yz523">#N/A</definedName>
    <definedName name="__z2">#N/A</definedName>
    <definedName name="__ZC031">#N/A</definedName>
    <definedName name="__ZC032">#N/A</definedName>
    <definedName name="__ZC111" hidden="1">#N/A</definedName>
    <definedName name="__ZC112" hidden="1">#N/A</definedName>
    <definedName name="__ZC271">#N/A</definedName>
    <definedName name="__ZC272">#N/A</definedName>
    <definedName name="__ZC401">#N/A</definedName>
    <definedName name="__ZC402">#N/A</definedName>
    <definedName name="__ZC421" hidden="1">#N/A</definedName>
    <definedName name="__ZC422" hidden="1">#N/A</definedName>
    <definedName name="__ZC441">#N/A</definedName>
    <definedName name="__ZC442">#N/A</definedName>
    <definedName name="__ZC451">#N/A</definedName>
    <definedName name="__ZC452">#N/A</definedName>
    <definedName name="__ZC471" hidden="1">#N/A</definedName>
    <definedName name="__ZC472" hidden="1">#N/A</definedName>
    <definedName name="_004">#N/A</definedName>
    <definedName name="_00403">#N/A</definedName>
    <definedName name="_00414">#N/A</definedName>
    <definedName name="_004农">#N/A</definedName>
    <definedName name="_005">#N/A</definedName>
    <definedName name="_00503">#N/A</definedName>
    <definedName name="_005农">#N/A</definedName>
    <definedName name="_00603">#N/A</definedName>
    <definedName name="_00614">#N/A</definedName>
    <definedName name="_006农">#N/A</definedName>
    <definedName name="_006农行">#N/A</definedName>
    <definedName name="_007">#N/A</definedName>
    <definedName name="_00703">#N/A</definedName>
    <definedName name="_007040309">#N/A</definedName>
    <definedName name="_00710">#N/A</definedName>
    <definedName name="_007113u4">#N/A</definedName>
    <definedName name="_00714">#N/A</definedName>
    <definedName name="_007204">#N/A</definedName>
    <definedName name="_007工">#N/A</definedName>
    <definedName name="_007农">#N/A</definedName>
    <definedName name="_007农行">#N/A</definedName>
    <definedName name="_008">#N/A</definedName>
    <definedName name="_008.12发生额">#N/A</definedName>
    <definedName name="_008.12余额">#N/A</definedName>
    <definedName name="_00808">#N/A</definedName>
    <definedName name="_00810">#N/A</definedName>
    <definedName name="_00810余额表">#N/A</definedName>
    <definedName name="_00811221">#N/A</definedName>
    <definedName name="_00811229">#N/A</definedName>
    <definedName name="_008113">#N/A</definedName>
    <definedName name="_00814">#N/A</definedName>
    <definedName name="_008204">#N/A</definedName>
    <definedName name="_00820903">#N/A</definedName>
    <definedName name="_008农">#N/A</definedName>
    <definedName name="_008农行">#N/A</definedName>
    <definedName name="_02分工程统计">#N/A</definedName>
    <definedName name="_03分标号统计">#N/A</definedName>
    <definedName name="_04表海沧">#N/A</definedName>
    <definedName name="_04港区">#N/A</definedName>
    <definedName name="_05表海沧">#N/A</definedName>
    <definedName name="_05港区">#N/A</definedName>
    <definedName name="_09">#N/A</definedName>
    <definedName name="_09末级">#N/A</definedName>
    <definedName name="_09一级">#N/A</definedName>
    <definedName name="_1">#N/A</definedName>
    <definedName name="_1_1141">#N/A</definedName>
    <definedName name="_10">#N/A</definedName>
    <definedName name="_10末级">#N/A</definedName>
    <definedName name="_10一级">#N/A</definedName>
    <definedName name="_1141">#N/A</definedName>
    <definedName name="_11月上">#N/A</definedName>
    <definedName name="_11月下">#N/A</definedName>
    <definedName name="_1235464897">#N/A</definedName>
    <definedName name="_12月上">#N/A</definedName>
    <definedName name="_12月下">#N/A</definedName>
    <definedName name="_13302">#N/A</definedName>
    <definedName name="_19">#N/A</definedName>
    <definedName name="_1906">#N/A</definedName>
    <definedName name="_1907">#N/A</definedName>
    <definedName name="_1908余额表">#N/A</definedName>
    <definedName name="_1FZ3_">#N/A</definedName>
    <definedName name="_1月上">#N/A</definedName>
    <definedName name="_1月下">#N/A</definedName>
    <definedName name="_2">#N/A</definedName>
    <definedName name="_2_777">#N/A</definedName>
    <definedName name="_2011年1_11月">#N/A</definedName>
    <definedName name="_209">#N/A</definedName>
    <definedName name="_21">#N/A</definedName>
    <definedName name="_210">#N/A</definedName>
    <definedName name="_214">#N/A</definedName>
    <definedName name="_214a">#N/A</definedName>
    <definedName name="_224102_06">#N/A</definedName>
    <definedName name="_29">#N/A</definedName>
    <definedName name="_3_7777">#N/A</definedName>
    <definedName name="_384">#N/A</definedName>
    <definedName name="_384a">#N/A</definedName>
    <definedName name="_3月下">#N/A</definedName>
    <definedName name="_401">#N/A</definedName>
    <definedName name="_4456454">#N/A</definedName>
    <definedName name="_456321">#N/A</definedName>
    <definedName name="_456456654">#N/A</definedName>
    <definedName name="_4成">#N/A</definedName>
    <definedName name="_5645645">#N/A</definedName>
    <definedName name="_56457897978">#N/A</definedName>
    <definedName name="_56489787">#N/A</definedName>
    <definedName name="_6797979798797">#N/A</definedName>
    <definedName name="_7">#N/A</definedName>
    <definedName name="_741852">#N/A</definedName>
    <definedName name="_777">#N/A</definedName>
    <definedName name="_7777">#N/A</definedName>
    <definedName name="_8.09余额表">#N/A</definedName>
    <definedName name="_8.11发生额">#N/A</definedName>
    <definedName name="_8.11发生额明细">#N/A</definedName>
    <definedName name="_8.11序时账">#N/A</definedName>
    <definedName name="_8.11余额表">#N/A</definedName>
    <definedName name="_80101">#N/A</definedName>
    <definedName name="_80102">#N/A</definedName>
    <definedName name="_80103">#N/A</definedName>
    <definedName name="_80104">#N/A</definedName>
    <definedName name="_80105">#N/A</definedName>
    <definedName name="_80106">#N/A</definedName>
    <definedName name="_80107">#N/A</definedName>
    <definedName name="_80108">#N/A</definedName>
    <definedName name="_80109">#N/A</definedName>
    <definedName name="_80110">#N/A</definedName>
    <definedName name="_80111">#N/A</definedName>
    <definedName name="_810余额表">#N/A</definedName>
    <definedName name="_811余额表">#N/A</definedName>
    <definedName name="_812余额表">#N/A</definedName>
    <definedName name="_89779787988798">#N/A</definedName>
    <definedName name="_89784456454">#N/A</definedName>
    <definedName name="_9119发生额">#N/A</definedName>
    <definedName name="_9119余额">#N/A</definedName>
    <definedName name="_987654">#N/A</definedName>
    <definedName name="_9878978">#N/A</definedName>
    <definedName name="_98DonexBal">#N/A</definedName>
    <definedName name="_98DonexFees">#N/A</definedName>
    <definedName name="_98DonexInt">#N/A</definedName>
    <definedName name="_99DonexFees">#N/A</definedName>
    <definedName name="_99DonexInt">#N/A</definedName>
    <definedName name="_a" hidden="1">#N/A</definedName>
    <definedName name="_a1" hidden="1">#N/A</definedName>
    <definedName name="_a2" hidden="1">#N/A</definedName>
    <definedName name="_b4">#N/A</definedName>
    <definedName name="_DAT1">#N/A</definedName>
    <definedName name="_DAT10">#N/A</definedName>
    <definedName name="_DAT11">#N/A</definedName>
    <definedName name="_DAT12">#N/A</definedName>
    <definedName name="_DAT13">#N/A</definedName>
    <definedName name="_DAT14">#N/A</definedName>
    <definedName name="_DAT15">#N/A</definedName>
    <definedName name="_DAT16">#N/A</definedName>
    <definedName name="_DAT17">#N/A</definedName>
    <definedName name="_DAT18">#N/A</definedName>
    <definedName name="_DAT19">#N/A</definedName>
    <definedName name="_DAT2">#N/A</definedName>
    <definedName name="_DAT20">#N/A</definedName>
    <definedName name="_DAT21">#N/A</definedName>
    <definedName name="_DAT22">#N/A</definedName>
    <definedName name="_DAT3">#N/A</definedName>
    <definedName name="_DAT4">#N/A</definedName>
    <definedName name="_DAT5">#N/A</definedName>
    <definedName name="_DAT6">#N/A</definedName>
    <definedName name="_DAT7">#N/A</definedName>
    <definedName name="_DAT8">#N/A</definedName>
    <definedName name="_DAT9">#N/A</definedName>
    <definedName name="_Fill">#N/A</definedName>
    <definedName name="_xlnm._FilterDatabase" localSheetId="17" hidden="1">AJE!$A$8:$AE$38</definedName>
    <definedName name="_xlnm._FilterDatabase" localSheetId="20" hidden="1">'AJE1'!$A$8:$AE$38</definedName>
    <definedName name="_xlnm._FilterDatabase" localSheetId="18" hidden="1">CFJE!$B$8:$Q$41</definedName>
    <definedName name="_xlnm._FilterDatabase" localSheetId="9" hidden="1">noteChecks!$B$8:$Y$408</definedName>
    <definedName name="_xlnm._FilterDatabase" localSheetId="10" hidden="1">Notes!$Z$1:$AE$6253</definedName>
    <definedName name="_xlnm._FilterDatabase" localSheetId="0" hidden="1">STATPARA!$M$1:$X$468</definedName>
    <definedName name="_xlnm._FilterDatabase" localSheetId="19" hidden="1">UJE!$A$8:$AE$38</definedName>
    <definedName name="_FZ3">#N/A</definedName>
    <definedName name="_GG1" hidden="1">{#N/A,#N/A,FALSE,"Aging Summary";#N/A,#N/A,FALSE,"Ratio Analysis";#N/A,#N/A,FALSE,"Test 120 Day Accts";#N/A,#N/A,FALSE,"Tickmarks"}</definedName>
    <definedName name="_GG2" hidden="1">{#N/A,#N/A,FALSE,"Aging Summary";#N/A,#N/A,FALSE,"Ratio Analysis";#N/A,#N/A,FALSE,"Test 120 Day Accts";#N/A,#N/A,FALSE,"Tickmarks"}</definedName>
    <definedName name="_gy1">#N/A</definedName>
    <definedName name="_gz1">#N/A</definedName>
    <definedName name="_H8">#N/A</definedName>
    <definedName name="_j2">#N/A</definedName>
    <definedName name="_JZ011">#N/A</definedName>
    <definedName name="_JZ012">#N/A</definedName>
    <definedName name="_JZ021">#N/A</definedName>
    <definedName name="_JZ022">#N/A</definedName>
    <definedName name="_JZ101">#N/A</definedName>
    <definedName name="_JZ102">#N/A</definedName>
    <definedName name="_JZ111">#N/A</definedName>
    <definedName name="_JZ112">#N/A</definedName>
    <definedName name="_JZ131">#N/A</definedName>
    <definedName name="_JZ132">#N/A</definedName>
    <definedName name="_JZR1">#N/A</definedName>
    <definedName name="_k100">#N/A</definedName>
    <definedName name="_k9">#N/A</definedName>
    <definedName name="_Key1">#N/A</definedName>
    <definedName name="_Key2">#N/A</definedName>
    <definedName name="_LR011">#N/A</definedName>
    <definedName name="_LR012">#N/A</definedName>
    <definedName name="_LR021">#N/A</definedName>
    <definedName name="_LR022">#N/A</definedName>
    <definedName name="_LR031">#N/A</definedName>
    <definedName name="_LR032">#N/A</definedName>
    <definedName name="_LR052">#N/A</definedName>
    <definedName name="_LR061">#N/A</definedName>
    <definedName name="_LR062">#N/A</definedName>
    <definedName name="_LR101">#N/A</definedName>
    <definedName name="_LR102">#N/A</definedName>
    <definedName name="_lxw1">#N/A</definedName>
    <definedName name="_Order1" hidden="1">255</definedName>
    <definedName name="_Order2" hidden="1">255</definedName>
    <definedName name="_pg154">#N/A</definedName>
    <definedName name="_pg543">#N/A</definedName>
    <definedName name="_pgz0311">#N/A</definedName>
    <definedName name="_pgz0312">#N/A</definedName>
    <definedName name="_pgz0313">#N/A</definedName>
    <definedName name="_pgz101">#N/A</definedName>
    <definedName name="_pgz102">#N/A</definedName>
    <definedName name="_pgz103">#N/A</definedName>
    <definedName name="_pgz104">#N/A</definedName>
    <definedName name="_pgz105">#N/A</definedName>
    <definedName name="_pgz106">#N/A</definedName>
    <definedName name="_pgz3">#N/A</definedName>
    <definedName name="_pgz31">#N/A</definedName>
    <definedName name="_pgz310">#N/A</definedName>
    <definedName name="_pgz3101">#N/A</definedName>
    <definedName name="_pgz31010">#N/A</definedName>
    <definedName name="_pgz31011">#N/A</definedName>
    <definedName name="_pgz3102">#N/A</definedName>
    <definedName name="_pgz3103">#N/A</definedName>
    <definedName name="_pgz3104">#N/A</definedName>
    <definedName name="_pgz3105">#N/A</definedName>
    <definedName name="_pgz3106">#N/A</definedName>
    <definedName name="_pgz3107">#N/A</definedName>
    <definedName name="_pgz3108">#N/A</definedName>
    <definedName name="_pgz3109">#N/A</definedName>
    <definedName name="_pgz311">#N/A</definedName>
    <definedName name="_pgz312">#N/A</definedName>
    <definedName name="_pgz313">#N/A</definedName>
    <definedName name="_pgz314">#N/A</definedName>
    <definedName name="_pgz32">#N/A</definedName>
    <definedName name="_pgz321">#N/A</definedName>
    <definedName name="_pgz322">#N/A</definedName>
    <definedName name="_pgz33">#N/A</definedName>
    <definedName name="_pgz34">#N/A</definedName>
    <definedName name="_pgz35">#N/A</definedName>
    <definedName name="_pgz36">#N/A</definedName>
    <definedName name="_pgz37">#N/A</definedName>
    <definedName name="_pgz38">#N/A</definedName>
    <definedName name="_pgz39">#N/A</definedName>
    <definedName name="_pgz4">#N/A</definedName>
    <definedName name="_pgz41">#N/A</definedName>
    <definedName name="_pgz42">#N/A</definedName>
    <definedName name="_pgz43">#N/A</definedName>
    <definedName name="_pgz51">#N/A</definedName>
    <definedName name="_pgz511">#N/A</definedName>
    <definedName name="_pgz512">#N/A</definedName>
    <definedName name="_pgz513">#N/A</definedName>
    <definedName name="_pgz52">#N/A</definedName>
    <definedName name="_pgz521">#N/A</definedName>
    <definedName name="_pgz522">#N/A</definedName>
    <definedName name="_pgz523">#N/A</definedName>
    <definedName name="_pgz53">#N/A</definedName>
    <definedName name="_pgz54">#N/A</definedName>
    <definedName name="_pgz541">#N/A</definedName>
    <definedName name="_pgz542">#N/A</definedName>
    <definedName name="_pgz55">#N/A</definedName>
    <definedName name="_pgz56">#N/A</definedName>
    <definedName name="_pgz61">#N/A</definedName>
    <definedName name="_pgz62">#N/A</definedName>
    <definedName name="_pgz71">#N/A</definedName>
    <definedName name="_pgz72">#N/A</definedName>
    <definedName name="_pgz81">#N/A</definedName>
    <definedName name="_pgz82">#N/A</definedName>
    <definedName name="_pgz91">#N/A</definedName>
    <definedName name="_pgz910">#N/A</definedName>
    <definedName name="_pgz911">#N/A</definedName>
    <definedName name="_pgz912">#N/A</definedName>
    <definedName name="_pgz913">#N/A</definedName>
    <definedName name="_pgz914">#N/A</definedName>
    <definedName name="_pgz92">#N/A</definedName>
    <definedName name="_pgz93">#N/A</definedName>
    <definedName name="_pgz94">#N/A</definedName>
    <definedName name="_pgz95">#N/A</definedName>
    <definedName name="_pgz96">#N/A</definedName>
    <definedName name="_pgz97">#N/A</definedName>
    <definedName name="_pgz98">#N/A</definedName>
    <definedName name="_pgz99">#N/A</definedName>
    <definedName name="_pz513">#N/A</definedName>
    <definedName name="_Q4">#N/A</definedName>
    <definedName name="_Sort">#N/A</definedName>
    <definedName name="_T02">{"Book1"}</definedName>
    <definedName name="_xx2">#N/A</definedName>
    <definedName name="_yz51">#N/A</definedName>
    <definedName name="_yz511">#N/A</definedName>
    <definedName name="_yz512">#N/A</definedName>
    <definedName name="_yz513">#N/A</definedName>
    <definedName name="_yz514">#N/A</definedName>
    <definedName name="_yz52">#N/A</definedName>
    <definedName name="_yz521">#N/A</definedName>
    <definedName name="_yz522">#N/A</definedName>
    <definedName name="_yz523">#N/A</definedName>
    <definedName name="_z2">#N/A</definedName>
    <definedName name="_ZC031">#N/A</definedName>
    <definedName name="_ZC032">#N/A</definedName>
    <definedName name="_ZC111" hidden="1">#N/A</definedName>
    <definedName name="_ZC112" hidden="1">#N/A</definedName>
    <definedName name="_ZC131">#N/A</definedName>
    <definedName name="_ZC132">#N/A</definedName>
    <definedName name="_ZC271">#N/A</definedName>
    <definedName name="_ZC272">#N/A</definedName>
    <definedName name="_ZC401">#N/A</definedName>
    <definedName name="_ZC402">#N/A</definedName>
    <definedName name="_ZC421" hidden="1">#N/A</definedName>
    <definedName name="_ZC422" hidden="1">#N/A</definedName>
    <definedName name="_ZC441">#N/A</definedName>
    <definedName name="_ZC442">#N/A</definedName>
    <definedName name="_ZC451">#N/A</definedName>
    <definedName name="_ZC452">#N/A</definedName>
    <definedName name="_ZC471" hidden="1">#N/A</definedName>
    <definedName name="_ZC472" hidden="1">#N/A</definedName>
    <definedName name="_ZC651">#N/A</definedName>
    <definedName name="_ZC652">#N/A</definedName>
    <definedName name="_ZC681">#N/A</definedName>
    <definedName name="_ZC682">#N/A</definedName>
    <definedName name="_ZC691">#N/A</definedName>
    <definedName name="_ZC692">#N/A</definedName>
    <definedName name="_ZC701">#N/A</definedName>
    <definedName name="_ZC702">#N/A</definedName>
    <definedName name="_ZC711">#N/A</definedName>
    <definedName name="_ZC712">#N/A</definedName>
    <definedName name="_表1">#N/A</definedName>
    <definedName name="_表2">#N/A</definedName>
    <definedName name="_查询1">#N/A</definedName>
    <definedName name="_月">#N/A</definedName>
    <definedName name="a">#N/A</definedName>
    <definedName name="a3l320">#N/A</definedName>
    <definedName name="aaa" hidden="1">#N/A</definedName>
    <definedName name="aaaa">#N/A</definedName>
    <definedName name="aaaaaaaaaaaaaaaaaa" hidden="1">#N/A</definedName>
    <definedName name="abc">#N/A</definedName>
    <definedName name="abcd">#N/A</definedName>
    <definedName name="AccountCA">#N/A</definedName>
    <definedName name="ACCT_AJE1" localSheetId="11" hidden="1">[1]STATPARA!$M$1:$M$412</definedName>
    <definedName name="ACCT_AJE1" localSheetId="8" hidden="1">[2]STATPARA!$M$1:$M$412</definedName>
    <definedName name="ACCT_AJE1" hidden="1">STATPARA!$M$1:$M$448</definedName>
    <definedName name="ACCT_AJE2" localSheetId="11" hidden="1">[1]STATPARA!$P$1:$P$58</definedName>
    <definedName name="ACCT_AJE2" localSheetId="8" hidden="1">[2]STATPARA!$P$1:$P$58</definedName>
    <definedName name="ACCT_AJE2" hidden="1">STATPARA!$P$1:$P$58</definedName>
    <definedName name="AffiliatedEnterprise">#N/A</definedName>
    <definedName name="after_tax">#N/A</definedName>
    <definedName name="AFV" hidden="1">#N/A</definedName>
    <definedName name="AjeWrote0">"DYS0120AS0_DYS2020AS0_ "</definedName>
    <definedName name="AjeWrote1">"DYS0711AS1_DYS1111AS1_ "</definedName>
    <definedName name="AjeWrote2">"DYF1818AF2_ "</definedName>
    <definedName name="AjeWrote3">"DYF1818AF3_ "</definedName>
    <definedName name="AjeWrote4">"DYF0118AF4_DYF1818AF4_ "</definedName>
    <definedName name="AjeWroteAuthor1">"预付账款Dy"</definedName>
    <definedName name="AjeWroteAuthor2">"预付账款Dy"</definedName>
    <definedName name="AjeWroteAuthor3">"累计折旧Dy"</definedName>
    <definedName name="Area_RepDate" localSheetId="11" hidden="1">[1]Lead!$F$5</definedName>
    <definedName name="Area_RepDate" localSheetId="8" hidden="1">[2]Lead!$F$5</definedName>
    <definedName name="Area_RepDate" hidden="1">Lead!$F$5</definedName>
    <definedName name="Area_RepDate1" localSheetId="11" hidden="1">[1]Lead!$F$6</definedName>
    <definedName name="Area_RepDate1" localSheetId="8" hidden="1">[2]Lead!$F$6</definedName>
    <definedName name="Area_RepDate1" hidden="1">Lead!$F$6</definedName>
    <definedName name="Area_RepDuration" localSheetId="11" hidden="1">[1]Lead!$F$7</definedName>
    <definedName name="Area_RepDuration" localSheetId="8" hidden="1">[2]Lead!$F$7</definedName>
    <definedName name="Area_RepDuration" hidden="1">Lead!$F$7</definedName>
    <definedName name="Area_RepDuration1" localSheetId="11" hidden="1">[1]Lead!$F$8</definedName>
    <definedName name="Area_RepDuration1" localSheetId="8" hidden="1">[2]Lead!$F$8</definedName>
    <definedName name="Area_RepDuration1" hidden="1">Lead!$F$8</definedName>
    <definedName name="Area_TemplateInf" localSheetId="1" hidden="1">Lead!$N$4:$Q$16</definedName>
    <definedName name="Area_UnitId" hidden="1">Lead!$C$7</definedName>
    <definedName name="Area_UnitName2" hidden="1">Lead!$C$6</definedName>
    <definedName name="AS2DocOpenMode" hidden="1">"AS2DocumentEdit"</definedName>
    <definedName name="AS2ReportLS" hidden="1">1</definedName>
    <definedName name="AS2SyncStepLS" hidden="1">0</definedName>
    <definedName name="AS2TickmarkLS" hidden="1">#N/A</definedName>
    <definedName name="AS2VersionLS" hidden="1">300</definedName>
    <definedName name="asd">#N/A</definedName>
    <definedName name="A产品">#N/A</definedName>
    <definedName name="b">#N/A</definedName>
    <definedName name="BB">#N/A</definedName>
    <definedName name="before_tax">#N/A</definedName>
    <definedName name="bg" hidden="1">#N/A</definedName>
    <definedName name="BG_Del" hidden="1">15</definedName>
    <definedName name="BG_Ins" hidden="1">4</definedName>
    <definedName name="BG_Mod" hidden="1">6</definedName>
    <definedName name="bqst_all">#N/A</definedName>
    <definedName name="bqst_bf">#N/A</definedName>
    <definedName name="bs" hidden="1">{#N/A,#N/A,FALSE,"BBPREP"}</definedName>
    <definedName name="bs_1" hidden="1">{#N/A,#N/A,FALSE,"BBPREP"}</definedName>
    <definedName name="B产品">#N/A</definedName>
    <definedName name="CCD" hidden="1">#N/A</definedName>
    <definedName name="CDE" hidden="1">#N/A</definedName>
    <definedName name="cellAbove" localSheetId="17">AJE!A1048576</definedName>
    <definedName name="cellAbove" localSheetId="20">'AJE1'!A1048576</definedName>
    <definedName name="cellAbove" localSheetId="18">CFJE!A1048576</definedName>
    <definedName name="cellAbove" localSheetId="19">UJE!A1048576</definedName>
    <definedName name="ChaseWinKao">#N/A</definedName>
    <definedName name="ChaseWinLauKwong">#N/A</definedName>
    <definedName name="ChaseWinLiuCheung">#N/A</definedName>
    <definedName name="ChaseWinPeterLiu">#N/A</definedName>
    <definedName name="ChaseWinWongHang">#N/A</definedName>
    <definedName name="ChaseWinWongWai">#N/A</definedName>
    <definedName name="CheckA1015a" localSheetId="10" hidden="1">Notes!$K$20</definedName>
    <definedName name="CheckA1015b" localSheetId="10" hidden="1">Notes!$K$10</definedName>
    <definedName name="CheckA1015c" localSheetId="10" hidden="1">Notes!$K$59</definedName>
    <definedName name="CheckA1101a" localSheetId="10" hidden="1">Notes!$K$90</definedName>
    <definedName name="CheckA1102a" localSheetId="10" hidden="1">Notes!$K$71</definedName>
    <definedName name="CheckA1115a" localSheetId="10" hidden="1">Notes!$K$109</definedName>
    <definedName name="CheckA1121a" localSheetId="10" hidden="1">Notes!$K$130</definedName>
    <definedName name="CheckA1121b" localSheetId="10" hidden="1">Notes!$K$138</definedName>
    <definedName name="CheckA1121c" localSheetId="10" hidden="1">Notes!$K$160</definedName>
    <definedName name="CheckA1121d" localSheetId="10" hidden="1">Notes!$K$146</definedName>
    <definedName name="CheckA1121e" localSheetId="10" hidden="1">Notes!$K$120</definedName>
    <definedName name="CheckA1121f" localSheetId="10" hidden="1">Notes!$K$170</definedName>
    <definedName name="CheckA1121g" localSheetId="10" hidden="1">Notes!$K$192</definedName>
    <definedName name="CheckA1121h" localSheetId="10" hidden="1">Notes!$K$214</definedName>
    <definedName name="CheckA1121i" localSheetId="10" hidden="1">Notes!$K$251</definedName>
    <definedName name="CheckA1121j" localSheetId="10" hidden="1">Notes!$K$273</definedName>
    <definedName name="CheckA1121k" localSheetId="10" hidden="1">Notes!$K$286</definedName>
    <definedName name="CheckA1121l" localSheetId="10" hidden="1">Notes!$K$293</definedName>
    <definedName name="CheckA1121m" localSheetId="10" hidden="1">Notes!$K$306</definedName>
    <definedName name="CheckA1121n" localSheetId="10" hidden="1">Notes!$K$236</definedName>
    <definedName name="CheckA112202" localSheetId="10" hidden="1">Notes!$K$415</definedName>
    <definedName name="CheckA11222" localSheetId="10" hidden="1">Notes!$K$415</definedName>
    <definedName name="CheckA1122a" localSheetId="10" hidden="1">Notes!$K$485</definedName>
    <definedName name="CheckA1122b" localSheetId="10" hidden="1">Notes!$K$500</definedName>
    <definedName name="CheckA1122c" localSheetId="10" hidden="1">Notes!$K$668</definedName>
    <definedName name="CheckA1122d" localSheetId="10" hidden="1">Notes!$K$535</definedName>
    <definedName name="CheckA1122e" localSheetId="10" hidden="1">Notes!$K$559</definedName>
    <definedName name="CheckA1122f" localSheetId="10" hidden="1">Notes!$K$569</definedName>
    <definedName name="CheckA1122g" localSheetId="10" hidden="1">Notes!$K$515</definedName>
    <definedName name="CheckA1122h" localSheetId="10" hidden="1">Notes!$K$601</definedName>
    <definedName name="CheckA1122i" localSheetId="10" hidden="1">Notes!$K$618</definedName>
    <definedName name="CheckA1122j" localSheetId="10" hidden="1">Notes!$K$317</definedName>
    <definedName name="CheckA1122k" localSheetId="10" hidden="1">Notes!$K$629</definedName>
    <definedName name="CheckA1122l" localSheetId="10" hidden="1">Notes!$K$678</definedName>
    <definedName name="CheckA1122m" localSheetId="10" hidden="1">Notes!$K$648</definedName>
    <definedName name="CheckA1122n" localSheetId="10" hidden="1">Notes!$K$658</definedName>
    <definedName name="CheckA1122p" localSheetId="10" hidden="1">Notes!$K$334</definedName>
    <definedName name="CheckA1122q" localSheetId="10" hidden="1">Notes!$K$430</definedName>
    <definedName name="CheckA1122r" localSheetId="10" hidden="1">Notes!$K$356</definedName>
    <definedName name="CheckA1122s" localSheetId="10" hidden="1">Notes!$K$378</definedName>
    <definedName name="CheckA1122t" localSheetId="10" hidden="1">Notes!$K$400</definedName>
    <definedName name="CheckA1122u" localSheetId="10" hidden="1">Notes!$K$579</definedName>
    <definedName name="CheckA1122v" localSheetId="10" hidden="1">Notes!$K$611</definedName>
    <definedName name="CheckA1122x" localSheetId="10" hidden="1">Notes!$K$688</definedName>
    <definedName name="CheckA1122y" localSheetId="10" hidden="1">Notes!$K$448</definedName>
    <definedName name="CheckA1122z" localSheetId="10" hidden="1">Notes!$K$468</definedName>
    <definedName name="CheckA1124a" localSheetId="10" hidden="1">Notes!$K$698</definedName>
    <definedName name="CheckA1124b" localSheetId="10" hidden="1">Notes!$K$706</definedName>
    <definedName name="CheckA1124c" localSheetId="10" hidden="1">Notes!$K$721</definedName>
    <definedName name="CheckA1124d" localSheetId="10" hidden="1">Notes!$K$740</definedName>
    <definedName name="CheckA1124e" localSheetId="10" hidden="1">Notes!$K$762</definedName>
    <definedName name="CheckA1124f" localSheetId="10" hidden="1">Notes!$K$848</definedName>
    <definedName name="CheckA1124g" localSheetId="10" hidden="1">Notes!$K$777</definedName>
    <definedName name="CheckA1124h" localSheetId="10" hidden="1">Notes!$K$792</definedName>
    <definedName name="CheckA1124i" localSheetId="10" hidden="1">Notes!$K$811</definedName>
    <definedName name="CheckA1124j" localSheetId="10" hidden="1">Notes!$K$833</definedName>
    <definedName name="CheckA1125a" localSheetId="10" hidden="1">Notes!$K$859</definedName>
    <definedName name="CheckA1125c" localSheetId="10" hidden="1">Notes!$K$871</definedName>
    <definedName name="CheckA1125d" localSheetId="10" hidden="1">Notes!$K$890</definedName>
    <definedName name="CheckA1125e" localSheetId="10" hidden="1">Notes!$K$910</definedName>
    <definedName name="CheckA1125f" localSheetId="10" hidden="1">Notes!$K$900</definedName>
    <definedName name="CheckA1125x" localSheetId="10" hidden="1">Notes!$K$920</definedName>
    <definedName name="CheckA1131a" localSheetId="10" hidden="1">Notes!$K$967</definedName>
    <definedName name="CheckA1131b" localSheetId="10" hidden="1">Notes!$K$977</definedName>
    <definedName name="CheckA1132a" localSheetId="10" hidden="1">Notes!$K$944</definedName>
    <definedName name="CheckA1132b" localSheetId="10" hidden="1">Notes!$K$956</definedName>
    <definedName name="CheckA1220a" localSheetId="10" hidden="1">Notes!$K$934</definedName>
    <definedName name="CheckA122100" localSheetId="10" hidden="1">Notes!$K$1027</definedName>
    <definedName name="CheckA122101" localSheetId="10" hidden="1">Notes!$K$1043</definedName>
    <definedName name="CheckA122102" localSheetId="10" hidden="1">Notes!$K$1131</definedName>
    <definedName name="CheckA122103" localSheetId="10" hidden="1">Notes!$K$1219</definedName>
    <definedName name="CheckA122104" localSheetId="10" hidden="1">Notes!$K$1491</definedName>
    <definedName name="CheckA12211" localSheetId="10" hidden="1">Notes!$K$1057</definedName>
    <definedName name="CheckA122111" localSheetId="10" hidden="1">Notes!$K$1057</definedName>
    <definedName name="CheckA122112" localSheetId="10" hidden="1">Notes!$K$1079</definedName>
    <definedName name="CheckA122113" localSheetId="10" hidden="1">Notes!$K$1101</definedName>
    <definedName name="CheckA122114" localSheetId="10" hidden="1">Notes!$K$1116</definedName>
    <definedName name="CheckA12212" localSheetId="10" hidden="1">Notes!$K$1079</definedName>
    <definedName name="CheckA122121" localSheetId="10" hidden="1">Notes!$K$1145</definedName>
    <definedName name="CheckA122122" localSheetId="10" hidden="1">Notes!$K$1167</definedName>
    <definedName name="CheckA122123" localSheetId="10" hidden="1">Notes!$K$1189</definedName>
    <definedName name="CheckA122124" localSheetId="10" hidden="1">Notes!$K$1204</definedName>
    <definedName name="CheckA12213" localSheetId="10" hidden="1">Notes!$K$1101</definedName>
    <definedName name="CheckA122131" localSheetId="10" hidden="1">Notes!$K$1233</definedName>
    <definedName name="CheckA122132" localSheetId="10" hidden="1">Notes!$K$1255</definedName>
    <definedName name="CheckA122133" localSheetId="10" hidden="1">Notes!$K$1277</definedName>
    <definedName name="CheckA122134" localSheetId="10" hidden="1">Notes!$K$1292</definedName>
    <definedName name="CheckA12214" localSheetId="10" hidden="1">Notes!$K$1491</definedName>
    <definedName name="CheckA1221a" localSheetId="10" hidden="1">Notes!$K$1365</definedName>
    <definedName name="CheckA1221b" localSheetId="10" hidden="1">Notes!$K$1387</definedName>
    <definedName name="CheckA1221c" localSheetId="10" hidden="1">Notes!$K$1587</definedName>
    <definedName name="CheckA1221d" localSheetId="10" hidden="1">Notes!$K$1428</definedName>
    <definedName name="CheckA1221e" localSheetId="10" hidden="1">Notes!$K$1449</definedName>
    <definedName name="CheckA1221f" localSheetId="10" hidden="1">Notes!$K$1459</definedName>
    <definedName name="CheckA1221g" localSheetId="10" hidden="1">Notes!$K$1409</definedName>
    <definedName name="CheckA1221h" localSheetId="10" hidden="1">Notes!$K$1510</definedName>
    <definedName name="CheckA1221i" localSheetId="10" hidden="1">Notes!$K$1527</definedName>
    <definedName name="CheckA1221j" localSheetId="10" hidden="1">Notes!$K$988</definedName>
    <definedName name="CheckA1221k" localSheetId="10" hidden="1">Notes!$K$1538</definedName>
    <definedName name="CheckA1221l" localSheetId="10" hidden="1">Notes!$K$1013</definedName>
    <definedName name="CheckA1221m" localSheetId="10" hidden="1">Notes!$K$1597</definedName>
    <definedName name="CheckA1221n" localSheetId="10" hidden="1">Notes!$K$1567</definedName>
    <definedName name="CheckA1221o" localSheetId="10" hidden="1">Notes!$K$1577</definedName>
    <definedName name="CheckA1221q" localSheetId="10" hidden="1">Notes!$K$1043</definedName>
    <definedName name="CheckA1221r" localSheetId="10" hidden="1">Notes!$K$1557</definedName>
    <definedName name="CheckA1221s" localSheetId="10" hidden="1">Notes!$K$1219</definedName>
    <definedName name="CheckA1221t" localSheetId="10" hidden="1">Notes!$K$1307</definedName>
    <definedName name="CheckA1221u" localSheetId="10" hidden="1">Notes!$K$1116</definedName>
    <definedName name="CheckA1221v" localSheetId="10" hidden="1">Notes!$K$1326</definedName>
    <definedName name="CheckA1221w" localSheetId="10" hidden="1">Notes!$K$1348</definedName>
    <definedName name="CheckA1221x" localSheetId="10" hidden="1">Notes!$K$1607</definedName>
    <definedName name="CheckA1221y" localSheetId="10" hidden="1">Notes!$K$1469</definedName>
    <definedName name="CheckA1221z" localSheetId="10" hidden="1">Notes!$K$1520</definedName>
    <definedName name="CheckA1315b" localSheetId="10" hidden="1">Notes!$K$1764</definedName>
    <definedName name="CheckA1315f" localSheetId="10" hidden="1">Notes!$K$1774</definedName>
    <definedName name="CheckA1400a" localSheetId="10" hidden="1">Notes!$K$1617</definedName>
    <definedName name="CheckA1400b" localSheetId="10" hidden="1">Notes!$K$1636</definedName>
    <definedName name="CheckA1400c" localSheetId="10" hidden="1">Notes!$K$1736</definedName>
    <definedName name="CheckA1400d" localSheetId="10" hidden="1">Notes!$K$1682</definedName>
    <definedName name="CheckA1400e" localSheetId="10" hidden="1">Notes!$K$1699</definedName>
    <definedName name="CheckA1400g" localSheetId="10" hidden="1">Notes!$K$1716</definedName>
    <definedName name="CheckA1400h" localSheetId="10" hidden="1">Notes!$K$1665</definedName>
    <definedName name="CheckA1400s" localSheetId="10" hidden="1">Notes!$K$1726</definedName>
    <definedName name="CheckA1400t" localSheetId="10" hidden="1">Notes!$K$1655</definedName>
    <definedName name="CheckA1400x" localSheetId="10" hidden="1">Notes!$K$1753</definedName>
    <definedName name="CheckA1495a" localSheetId="10" hidden="1">Notes!$K$1790</definedName>
    <definedName name="CheckA1495b" localSheetId="10" hidden="1">Notes!$K$1799</definedName>
    <definedName name="CheckA1496a" localSheetId="10" hidden="1">Notes!$K$1812</definedName>
    <definedName name="CheckA1501a" localSheetId="10" hidden="1">Notes!$K$2157</definedName>
    <definedName name="CheckA1501d" localSheetId="10" hidden="1">Notes!$K$2171</definedName>
    <definedName name="CheckA1501e" localSheetId="10" hidden="1">Notes!$K$2181</definedName>
    <definedName name="CheckA1501f" localSheetId="10" hidden="1">Notes!$K$2191</definedName>
    <definedName name="CheckA1503a" localSheetId="10" hidden="1">Notes!$K$1947</definedName>
    <definedName name="CheckA1503d" localSheetId="10" hidden="1">Notes!$K$2013</definedName>
    <definedName name="CheckA1503e" localSheetId="10" hidden="1">Notes!$K$1961</definedName>
    <definedName name="CheckA1503g" localSheetId="10" hidden="1">Notes!$K$2021</definedName>
    <definedName name="CheckA1503i" localSheetId="10" hidden="1">Notes!$K$1971</definedName>
    <definedName name="CheckA1503j" localSheetId="10" hidden="1">Notes!$K$1986</definedName>
    <definedName name="CheckA1503k" localSheetId="10" hidden="1">Notes!$K$2001</definedName>
    <definedName name="CheckA1505a" localSheetId="10" hidden="1">Notes!$K$1823</definedName>
    <definedName name="CheckA1505b" localSheetId="10" hidden="1">Notes!$K$1838</definedName>
    <definedName name="CheckA1505c" localSheetId="10" hidden="1">Notes!$K$1869</definedName>
    <definedName name="CheckA1505d" localSheetId="10" hidden="1">Notes!$K$1882</definedName>
    <definedName name="CheckA1505e" localSheetId="10" hidden="1">Notes!$K$1895</definedName>
    <definedName name="CheckA1505f" localSheetId="10" hidden="1">Notes!$K$1927</definedName>
    <definedName name="CheckA1505g" localSheetId="10" hidden="1">Notes!$K$1853</definedName>
    <definedName name="CheckA1505k" localSheetId="10" hidden="1">Notes!$K$1908</definedName>
    <definedName name="CheckA1508a" localSheetId="10" hidden="1">Notes!$K$2032</definedName>
    <definedName name="CheckA1508b" localSheetId="10" hidden="1">Notes!$K$2048</definedName>
    <definedName name="CheckA1508c" localSheetId="10" hidden="1">Notes!$K$2063</definedName>
    <definedName name="CheckA1508d" localSheetId="10" hidden="1">Notes!$K$2079</definedName>
    <definedName name="CheckA1508e" localSheetId="10" hidden="1">Notes!$K$2092</definedName>
    <definedName name="CheckA1508f" localSheetId="10" hidden="1">Notes!$K$2105</definedName>
    <definedName name="CheckA1508g" localSheetId="10" hidden="1">Notes!$K$2137</definedName>
    <definedName name="CheckA1508k" localSheetId="10" hidden="1">Notes!$K$2118</definedName>
    <definedName name="CheckA1511b" localSheetId="10" hidden="1">Notes!$K$2463</definedName>
    <definedName name="CheckA1511c" localSheetId="10" hidden="1">Notes!$K$2412</definedName>
    <definedName name="CheckA1511d" localSheetId="10" hidden="1">Notes!$K$2431</definedName>
    <definedName name="CheckA1521b" localSheetId="10" hidden="1">Notes!$K$2599</definedName>
    <definedName name="CheckA1521c" localSheetId="10" hidden="1">Notes!$K$2618</definedName>
    <definedName name="CheckA1521h" localSheetId="10" hidden="1">Notes!$K$2557</definedName>
    <definedName name="CheckA1521s" localSheetId="10" hidden="1">Notes!$K$2628</definedName>
    <definedName name="CheckA1531a" localSheetId="10" hidden="1">Notes!$K$2202</definedName>
    <definedName name="CheckA1531b" localSheetId="10" hidden="1">Notes!$K$2391</definedName>
    <definedName name="CheckA1531c" localSheetId="10" hidden="1">Notes!$K$2368</definedName>
    <definedName name="CheckA1531f" localSheetId="10" hidden="1">Notes!$K$2401</definedName>
    <definedName name="CheckA1531g" localSheetId="10" hidden="1">Notes!$K$2330</definedName>
    <definedName name="CheckA1531h" localSheetId="10" hidden="1">Notes!$K$2293</definedName>
    <definedName name="CheckA1531i" localSheetId="10" hidden="1">Notes!$K$2234</definedName>
    <definedName name="CheckA1531j" localSheetId="10" hidden="1">Notes!$K$2247</definedName>
    <definedName name="CheckA1531k" localSheetId="10" hidden="1">Notes!$K$2260</definedName>
    <definedName name="CheckA1531m" localSheetId="10" hidden="1">Notes!$K$2315</definedName>
    <definedName name="CheckA1531p" localSheetId="10" hidden="1">Notes!$K$2273</definedName>
    <definedName name="CheckA1531q" localSheetId="10" hidden="1">Notes!$K$2349</definedName>
    <definedName name="CheckA1531s" localSheetId="10" hidden="1">Notes!$K$2378</definedName>
    <definedName name="CheckA1531t" localSheetId="10" hidden="1">Notes!$K$2218</definedName>
    <definedName name="CheckA1538a" localSheetId="10" hidden="1">Notes!$K$2497</definedName>
    <definedName name="CheckA1538b" localSheetId="10" hidden="1">Notes!$K$2506</definedName>
    <definedName name="CheckA1539a" localSheetId="10" hidden="1">Notes!$K$2520</definedName>
    <definedName name="CheckA1539b" localSheetId="10" hidden="1">Notes!$K$2530</definedName>
    <definedName name="CheckA1539c" localSheetId="10" hidden="1">Notes!$K$2543</definedName>
    <definedName name="CheckA1601b" localSheetId="10" hidden="1">Notes!$K$2705</definedName>
    <definedName name="CheckA1601c" localSheetId="10" hidden="1">Notes!$K$2719</definedName>
    <definedName name="CheckA1601d" localSheetId="10" hidden="1">Notes!$K$2733</definedName>
    <definedName name="CheckA1601f" localSheetId="10" hidden="1">Notes!$K$2761</definedName>
    <definedName name="CheckA1601k" localSheetId="10" hidden="1">Notes!$K$2648</definedName>
    <definedName name="CheckA1601l" localSheetId="10" hidden="1">Notes!$K$2748</definedName>
    <definedName name="CheckA1601s" localSheetId="10" hidden="1">Notes!$K$2771</definedName>
    <definedName name="CheckA1601x" localSheetId="10" hidden="1">Notes!$K$2781</definedName>
    <definedName name="CheckA1604a" localSheetId="10" hidden="1">Notes!$K$2830</definedName>
    <definedName name="CheckA1604b" localSheetId="10" hidden="1">Notes!$K$2847</definedName>
    <definedName name="CheckA1604c" localSheetId="10" hidden="1">Notes!$K$2862</definedName>
    <definedName name="CheckA1604d" localSheetId="10" hidden="1">Notes!$K$2897</definedName>
    <definedName name="CheckA1604g" localSheetId="10" hidden="1">Notes!$K$2877</definedName>
    <definedName name="CheckA1605a" localSheetId="10" hidden="1">Notes!$K$2908</definedName>
    <definedName name="CheckA1606a" localSheetId="10" hidden="1">Notes!$K$2810</definedName>
    <definedName name="CheckA1606b" localSheetId="10" hidden="1">Notes!$K$2797</definedName>
    <definedName name="CheckA1611a" localSheetId="10" hidden="1">Notes!$K$2639</definedName>
    <definedName name="CheckA1616a" localSheetId="10" hidden="1">Notes!$K$2821</definedName>
    <definedName name="CheckA1621b" localSheetId="10" hidden="1">Notes!$K$2982</definedName>
    <definedName name="CheckA1621c" localSheetId="10" hidden="1">Notes!$K$2920</definedName>
    <definedName name="CheckA1631b" localSheetId="10" hidden="1">Notes!$K$3006</definedName>
    <definedName name="CheckA1700b" localSheetId="10" hidden="1">Notes!$K$3175</definedName>
    <definedName name="CheckA1701a" localSheetId="10" hidden="1">Notes!$K$3043</definedName>
    <definedName name="CheckA1701e" localSheetId="10" hidden="1">Notes!$K$3126</definedName>
    <definedName name="CheckA1701f" localSheetId="10" hidden="1">Notes!$K$3113</definedName>
    <definedName name="CheckA1701g" localSheetId="10" hidden="1">Notes!$K$3136</definedName>
    <definedName name="CheckA1701h" localSheetId="10" hidden="1">Notes!$K$3149</definedName>
    <definedName name="CheckA1701x" localSheetId="10" hidden="1">Notes!$K$3162</definedName>
    <definedName name="CheckA1704a" localSheetId="10" hidden="1">Notes!$K$5209</definedName>
    <definedName name="CheckA1711a" localSheetId="10" hidden="1">Notes!$K$3188</definedName>
    <definedName name="CheckA1711b" localSheetId="10" hidden="1">Notes!$K$3200</definedName>
    <definedName name="CheckA1801a" localSheetId="10" hidden="1">Notes!$K$3213</definedName>
    <definedName name="CheckA1801x" localSheetId="10" hidden="1">Notes!$K$3225</definedName>
    <definedName name="CheckA1829a" localSheetId="10" hidden="1">Notes!$K$3240</definedName>
    <definedName name="CheckA1829b" localSheetId="10" hidden="1">Notes!$K$3256</definedName>
    <definedName name="CheckA1829c" localSheetId="10" hidden="1">Notes!$K$3269</definedName>
    <definedName name="CheckA1829e" localSheetId="10" hidden="1">Notes!$K$3276</definedName>
    <definedName name="CheckA1829f" localSheetId="10" hidden="1">Notes!$K$3286</definedName>
    <definedName name="CheckA1996a" localSheetId="10" hidden="1">Notes!$K$3306</definedName>
    <definedName name="CheckA1997a" localSheetId="10" hidden="1">Notes!$K$5195</definedName>
    <definedName name="CheckA1999" localSheetId="21" hidden="1">BalanceSheet!$G$59</definedName>
    <definedName name="CheckA1999" localSheetId="12" hidden="1">BS!$G$50</definedName>
    <definedName name="CheckA1999" localSheetId="3" hidden="1">preBS!$F$68</definedName>
    <definedName name="CheckA2001a" localSheetId="10" hidden="1">Notes!$K$3319</definedName>
    <definedName name="CheckA2001b" localSheetId="10" hidden="1">Notes!$K$3359</definedName>
    <definedName name="CheckA2001c" localSheetId="10" hidden="1">Notes!$K$3370</definedName>
    <definedName name="CheckA2001d" localSheetId="10" hidden="1">Notes!$K$3329</definedName>
    <definedName name="CheckA2001e" localSheetId="10" hidden="1">Notes!$K$3339</definedName>
    <definedName name="CheckA2001f" localSheetId="10" hidden="1">Notes!$K$3349</definedName>
    <definedName name="CheckA2101a" localSheetId="10" hidden="1">Notes!$K$3409</definedName>
    <definedName name="CheckA2102a" localSheetId="10" hidden="1">Notes!$K$3381</definedName>
    <definedName name="CheckA2102b" localSheetId="10" hidden="1">Notes!$K$3394</definedName>
    <definedName name="CheckA2115a" localSheetId="10" hidden="1">Notes!$K$3421</definedName>
    <definedName name="CheckA2201a" localSheetId="10" hidden="1">Notes!$K$3432</definedName>
    <definedName name="CheckA2202a" localSheetId="10" hidden="1">Notes!$K$3471</definedName>
    <definedName name="CheckA2202c" localSheetId="10" hidden="1">Notes!$K$3491</definedName>
    <definedName name="CheckA2202d" localSheetId="10" hidden="1">Notes!$K$3481</definedName>
    <definedName name="CheckA2202e" localSheetId="10" hidden="1">Notes!$K$3443</definedName>
    <definedName name="CheckA2202f" localSheetId="10" hidden="1">Notes!$K$3454</definedName>
    <definedName name="CheckA2202g" localSheetId="10" hidden="1">Notes!$K$3501</definedName>
    <definedName name="CheckA2202x" localSheetId="10" hidden="1">Notes!$K$3511</definedName>
    <definedName name="CheckA2205a" localSheetId="10" hidden="1">Notes!$K$3558</definedName>
    <definedName name="CheckA2205c" localSheetId="10" hidden="1">Notes!$K$3588</definedName>
    <definedName name="CheckA2205e" localSheetId="10" hidden="1">Notes!$K$3578</definedName>
    <definedName name="CheckA2205f" localSheetId="10" hidden="1">Notes!$K$3531</definedName>
    <definedName name="CheckA2205g" localSheetId="10" hidden="1">Notes!$K$3541</definedName>
    <definedName name="CheckA2205h" localSheetId="10" hidden="1">Notes!$K$3568</definedName>
    <definedName name="CheckA2205x" localSheetId="10" hidden="1">Notes!$K$3598</definedName>
    <definedName name="CheckA2211a" localSheetId="10" hidden="1">Notes!$K$3618</definedName>
    <definedName name="CheckA2211b" localSheetId="10" hidden="1">Notes!$K$3628</definedName>
    <definedName name="CheckA2211c" localSheetId="10" hidden="1">Notes!$K$3657</definedName>
    <definedName name="CheckA2211d" localSheetId="10" hidden="1">Notes!$K$3681</definedName>
    <definedName name="CheckA2211x" localSheetId="10" hidden="1">Notes!$K$3713</definedName>
    <definedName name="CheckA2221a" localSheetId="10" hidden="1">Notes!$K$3727</definedName>
    <definedName name="CheckA2221x" localSheetId="10" hidden="1">Notes!$K$3746</definedName>
    <definedName name="CheckA2231a" localSheetId="10" hidden="1">Notes!$K$3770</definedName>
    <definedName name="CheckA2231b" localSheetId="10" hidden="1">Notes!$K$3790</definedName>
    <definedName name="CheckA2232a" localSheetId="10" hidden="1">Notes!$K$3801</definedName>
    <definedName name="CheckA2232b" localSheetId="10" hidden="1">Notes!$K$3818</definedName>
    <definedName name="CheckA2241a" localSheetId="10" hidden="1">Notes!$K$3886</definedName>
    <definedName name="CheckA2241b" localSheetId="10" hidden="1">Notes!$K$3866</definedName>
    <definedName name="CheckA2241c" localSheetId="10" hidden="1">Notes!$K$3856</definedName>
    <definedName name="CheckA2241e" localSheetId="10" hidden="1">Notes!$K$3829</definedName>
    <definedName name="CheckA2241f" localSheetId="10" hidden="1">Notes!$K$3839</definedName>
    <definedName name="CheckA2241g" localSheetId="10" hidden="1">Notes!$K$3876</definedName>
    <definedName name="CheckA2241x" localSheetId="10" hidden="1">Notes!$K$3896</definedName>
    <definedName name="CheckA2246a" localSheetId="10" hidden="1">Notes!$K$3760</definedName>
    <definedName name="CheckA2315a" localSheetId="10" hidden="1">Notes!$K$3916</definedName>
    <definedName name="CheckA2395a" localSheetId="10" hidden="1">Notes!$K$3927</definedName>
    <definedName name="CheckA2395b" localSheetId="10" hidden="1">Notes!$K$3937</definedName>
    <definedName name="CheckA2395e" localSheetId="10" hidden="1">Notes!$K$3947</definedName>
    <definedName name="CheckA2395f" localSheetId="10" hidden="1">Notes!$K$3957</definedName>
    <definedName name="CheckA2396a" localSheetId="10" hidden="1">Notes!$K$3968</definedName>
    <definedName name="CheckA2396c" localSheetId="10" hidden="1">Notes!$K$3979</definedName>
    <definedName name="CheckA2401a" localSheetId="10" hidden="1">Notes!$K$4261</definedName>
    <definedName name="CheckA2401b" localSheetId="10" hidden="1">Notes!$K$4269</definedName>
    <definedName name="CheckA2501a" localSheetId="10" hidden="1">Notes!$K$3997</definedName>
    <definedName name="CheckA2501c" localSheetId="10" hidden="1">Notes!$K$4040</definedName>
    <definedName name="CheckA2501d" localSheetId="10" hidden="1">Notes!$K$4010</definedName>
    <definedName name="CheckA2501e" localSheetId="10" hidden="1">Notes!$K$4020</definedName>
    <definedName name="CheckA2501f" localSheetId="10" hidden="1">Notes!$K$4030</definedName>
    <definedName name="CheckA2502a" localSheetId="10" hidden="1">Notes!$K$4061</definedName>
    <definedName name="CheckA2502b" localSheetId="10" hidden="1">Notes!$K$4051</definedName>
    <definedName name="CheckA2502c" localSheetId="10" hidden="1">Notes!$K$4084</definedName>
    <definedName name="CheckA2502d" localSheetId="10" hidden="1">Notes!$K$4074</definedName>
    <definedName name="CheckA2502e" localSheetId="10" hidden="1">Notes!$K$4096</definedName>
    <definedName name="CheckA2701c" localSheetId="10" hidden="1">Notes!$K$4118</definedName>
    <definedName name="CheckA2701d" localSheetId="10" hidden="1">Notes!$K$4136</definedName>
    <definedName name="CheckA2706a" localSheetId="10" hidden="1">Notes!$K$4107</definedName>
    <definedName name="CheckA2711a" localSheetId="10" hidden="1">Notes!$K$4147</definedName>
    <definedName name="CheckA2711b" localSheetId="10" hidden="1">Notes!$K$4157</definedName>
    <definedName name="CheckA2715a" localSheetId="10" hidden="1">Notes!$K$4168</definedName>
    <definedName name="CheckA2715b" localSheetId="10" hidden="1">Notes!$K$4178</definedName>
    <definedName name="CheckA2715c" localSheetId="10" hidden="1">Notes!$K$4198</definedName>
    <definedName name="CheckA2715d" localSheetId="10" hidden="1">Notes!$K$4213</definedName>
    <definedName name="CheckA2715g" localSheetId="10" hidden="1">Notes!$K$4222</definedName>
    <definedName name="CheckA2715h" localSheetId="10" hidden="1">Notes!$K$4233</definedName>
    <definedName name="CheckA2801a" localSheetId="10" hidden="1">Notes!$K$4247</definedName>
    <definedName name="CheckA2996a" localSheetId="10" hidden="1">Notes!$K$4287</definedName>
    <definedName name="CheckA2996x" localSheetId="10" hidden="1">Notes!$K$4297</definedName>
    <definedName name="CheckA4001" localSheetId="21" hidden="1">BalanceSheet!$K$47</definedName>
    <definedName name="CheckA4001" localSheetId="12" hidden="1">BS!$K$38</definedName>
    <definedName name="CheckA4001" localSheetId="3" hidden="1">preBS!$K$54</definedName>
    <definedName name="CheckA4001a" localSheetId="10" hidden="1">Notes!$K$4308</definedName>
    <definedName name="CheckA4001b" localSheetId="10" hidden="1">Notes!$K$4317</definedName>
    <definedName name="CheckA4002" localSheetId="21" hidden="1">BalanceSheet!$K$51</definedName>
    <definedName name="CheckA4002" localSheetId="12" hidden="1">BS!$K$42</definedName>
    <definedName name="CheckA4002" localSheetId="3" hidden="1">preBS!$K$58</definedName>
    <definedName name="CheckA4002a" localSheetId="10" hidden="1">Notes!$K$4351</definedName>
    <definedName name="CheckA4015" localSheetId="21" hidden="1">BalanceSheet!$K$48</definedName>
    <definedName name="CheckA4015" localSheetId="12" hidden="1">BS!$K$39</definedName>
    <definedName name="CheckA4015" localSheetId="3" hidden="1">preBS!$K$55</definedName>
    <definedName name="CheckA4015a" localSheetId="10" hidden="1">Notes!$K$4340</definedName>
    <definedName name="CheckA4015b" localSheetId="10" hidden="1">Notes!$K$4330</definedName>
    <definedName name="CheckA4101" localSheetId="21" hidden="1">BalanceSheet!$K$55</definedName>
    <definedName name="CheckA4101" localSheetId="12" hidden="1">BS!$K$46</definedName>
    <definedName name="CheckA4101" localSheetId="3" hidden="1">preBS!$K$62</definedName>
    <definedName name="CheckA4101a" localSheetId="10" hidden="1">Notes!$K$4437</definedName>
    <definedName name="CheckA4101b" localSheetId="10" hidden="1">Notes!$K$4424</definedName>
    <definedName name="CheckA4102" localSheetId="21" hidden="1">BalanceSheet!$K$56</definedName>
    <definedName name="CheckA4102" localSheetId="12" hidden="1">BS!$K$47</definedName>
    <definedName name="CheckA4102" localSheetId="3" hidden="1">preBS!$K$63</definedName>
    <definedName name="CheckA4102a" localSheetId="10" hidden="1">Notes!$K$4449</definedName>
    <definedName name="CheckA4200" localSheetId="21" hidden="1">BalanceSheet!$K$57</definedName>
    <definedName name="CheckA4200" localSheetId="12" hidden="1">BS!$K$48</definedName>
    <definedName name="CheckA4200" localSheetId="3" hidden="1">preBS!$K$64</definedName>
    <definedName name="CheckA4200a" localSheetId="10" hidden="1">Notes!$K$4457</definedName>
    <definedName name="CheckA4200b" localSheetId="10" hidden="1">Notes!$K$4474</definedName>
    <definedName name="CheckA4201" localSheetId="21" hidden="1">BalanceSheet!$K$52</definedName>
    <definedName name="CheckA4201" localSheetId="12" hidden="1">BS!$K$43</definedName>
    <definedName name="CheckA4201" localSheetId="3" hidden="1">preBS!$K$59</definedName>
    <definedName name="CheckA4201a" localSheetId="10" hidden="1">Notes!$K$4360</definedName>
    <definedName name="CheckA4215" localSheetId="21" hidden="1">BalanceSheet!$K$53</definedName>
    <definedName name="CheckA4215" localSheetId="12" hidden="1">BS!$K$44</definedName>
    <definedName name="CheckA4215" localSheetId="3" hidden="1">preBS!$K$60</definedName>
    <definedName name="CheckA4215a" localSheetId="10" hidden="1">Notes!$K$4392</definedName>
    <definedName name="CheckA4215b" localSheetId="10" hidden="1">Notes!$K$4367</definedName>
    <definedName name="CheckA4298" localSheetId="3" hidden="1">preBS!$K$65</definedName>
    <definedName name="CheckA4301" localSheetId="21" hidden="1">BalanceSheet!$K$54</definedName>
    <definedName name="CheckA4301" localSheetId="12" hidden="1">BS!$K$45</definedName>
    <definedName name="CheckA4301" localSheetId="3" hidden="1">preBS!$K$61</definedName>
    <definedName name="CheckA4301a" localSheetId="10" hidden="1">Notes!$K$4413</definedName>
    <definedName name="CheckA4398" localSheetId="3" hidden="1">preBS!$K$66</definedName>
    <definedName name="CheckA4999" localSheetId="21" hidden="1">BalanceSheet!$K$58</definedName>
    <definedName name="CheckA4999" localSheetId="12" hidden="1">BS!$K$49</definedName>
    <definedName name="CheckA4999" localSheetId="3" hidden="1">preBS!$K$67</definedName>
    <definedName name="CheckA5000" localSheetId="21" hidden="1">BalanceSheet!$K$59</definedName>
    <definedName name="CheckA5000" localSheetId="12" hidden="1">BS!$K$50</definedName>
    <definedName name="CheckA5000" localSheetId="3" hidden="1">preBS!$K$68</definedName>
    <definedName name="CheckA6001x" localSheetId="10" hidden="1">Notes!$K$4612</definedName>
    <definedName name="CheckA6064a" localSheetId="10" hidden="1">Notes!$K$4498</definedName>
    <definedName name="CheckA6064b" localSheetId="10" hidden="1">Notes!$K$4507</definedName>
    <definedName name="CheckA6064c" localSheetId="10" hidden="1">Notes!$K$4516</definedName>
    <definedName name="CheckA6064d" localSheetId="10" hidden="1">Notes!$K$4540</definedName>
    <definedName name="CheckA6064e" localSheetId="10" hidden="1">Notes!$K$4563</definedName>
    <definedName name="CheckA6064f" localSheetId="10" hidden="1">Notes!$K$4582</definedName>
    <definedName name="CheckA6064g" localSheetId="10" hidden="1">Notes!$K$4597</definedName>
    <definedName name="CheckA6064h" localSheetId="10" hidden="1">Notes!$K$4488</definedName>
    <definedName name="CheckA6101a" localSheetId="10" hidden="1">Notes!$K$4849</definedName>
    <definedName name="CheckA6101b" localSheetId="10" hidden="1">Notes!$K$4836</definedName>
    <definedName name="CheckA6102a" localSheetId="10" hidden="1">Notes!$K$4822</definedName>
    <definedName name="CheckA6111a" localSheetId="10" hidden="1">Notes!$K$4799</definedName>
    <definedName name="CheckA6171a" localSheetId="10" hidden="1">Notes!$K$4899</definedName>
    <definedName name="CheckA6181a" localSheetId="10" hidden="1">Notes!$K$4776</definedName>
    <definedName name="CheckA6401x" localSheetId="10" hidden="1">Notes!$K$4622</definedName>
    <definedName name="CheckA6600a" localSheetId="10" hidden="1">Notes!$K$4633</definedName>
    <definedName name="CheckA6600x" localSheetId="10" hidden="1">Notes!$K$4652</definedName>
    <definedName name="CheckA6601a" localSheetId="10" hidden="1">Notes!$K$4663</definedName>
    <definedName name="CheckA6601x" localSheetId="10" hidden="1">Notes!$K$4683</definedName>
    <definedName name="CheckA6602a" localSheetId="10" hidden="1">Notes!$K$4694</definedName>
    <definedName name="CheckA6602x" localSheetId="10" hidden="1">Notes!$K$4714</definedName>
    <definedName name="CheckA6603a" localSheetId="10" hidden="1">Notes!$K$4750</definedName>
    <definedName name="CheckA6603x" localSheetId="10" hidden="1">Notes!$K$4765</definedName>
    <definedName name="CheckA6606a" localSheetId="10" hidden="1">Notes!$K$4725</definedName>
    <definedName name="CheckA6606x" localSheetId="10" hidden="1">Notes!$K$4736</definedName>
    <definedName name="CheckA6671a" localSheetId="10" hidden="1">Notes!$K$4877</definedName>
    <definedName name="CheckA6672a" localSheetId="10" hidden="1">Notes!$K$4863</definedName>
    <definedName name="CheckA6710a" localSheetId="10" hidden="1">Notes!$K$4914</definedName>
    <definedName name="CheckA6710b" localSheetId="10" hidden="1">Notes!$K$4927</definedName>
    <definedName name="CheckA6711a" localSheetId="10" hidden="1">Notes!$K$4945</definedName>
    <definedName name="CheckA6791a" localSheetId="10" hidden="1">Notes!$K$4958</definedName>
    <definedName name="CheckA6791b" localSheetId="10" hidden="1">Notes!$K$4966</definedName>
    <definedName name="CheckA6799" localSheetId="22" hidden="1">IncomeStatement!$E$43</definedName>
    <definedName name="CheckA6799" localSheetId="13" hidden="1">IS!$E$30</definedName>
    <definedName name="CheckA6799" localSheetId="4" hidden="1">preIS!$E$45</definedName>
    <definedName name="CheckA6811" localSheetId="4" hidden="1">preIS!$E$50</definedName>
    <definedName name="CheckA6812" localSheetId="4" hidden="1">preIS!$E$51</definedName>
    <definedName name="CheckA6829" localSheetId="22" hidden="1">IncomeStatement!$E$46</definedName>
    <definedName name="CheckA6829" localSheetId="13" hidden="1">IS!$E$33</definedName>
    <definedName name="CheckA6829" localSheetId="4" hidden="1">preIS!$E$52</definedName>
    <definedName name="CheckA6839" localSheetId="22" hidden="1">IncomeStatement!$E$65</definedName>
    <definedName name="CheckA6839" localSheetId="13" hidden="1">IS!$E$52</definedName>
    <definedName name="CheckA6839" localSheetId="4" hidden="1">preIS!$E$74</definedName>
    <definedName name="CheckA6841" localSheetId="4" hidden="1">preIS!$E$75</definedName>
    <definedName name="CheckA6842" localSheetId="4" hidden="1">preIS!$E$76</definedName>
    <definedName name="CheckA7001x" localSheetId="10" hidden="1">Notes!$K$5869</definedName>
    <definedName name="CheckA7046a" localSheetId="10" hidden="1">Notes!$K$5021</definedName>
    <definedName name="CheckA7046x" localSheetId="10" hidden="1">Notes!$K$5880</definedName>
    <definedName name="CheckA7051x" localSheetId="10" hidden="1">Notes!$K$5891</definedName>
    <definedName name="CheckA7061x" localSheetId="10" hidden="1">Notes!$K$5902</definedName>
    <definedName name="CheckA7071x" localSheetId="10" hidden="1">Notes!$K$5913</definedName>
    <definedName name="CheckA7096a" localSheetId="10" hidden="1">Notes!$K$5037</definedName>
    <definedName name="CheckA7096x" localSheetId="10" hidden="1">Notes!$K$5924</definedName>
    <definedName name="CheckA7099" localSheetId="23" hidden="1">CashFlow!$E$33</definedName>
    <definedName name="CheckA7099" localSheetId="14" hidden="1">CF!$E$17</definedName>
    <definedName name="CheckA7099" localSheetId="5" hidden="1">preCF!$E$35</definedName>
    <definedName name="CheckA7101x" localSheetId="10" hidden="1">Notes!$K$5935</definedName>
    <definedName name="CheckA7105x" localSheetId="10" hidden="1">Notes!$K$5946</definedName>
    <definedName name="CheckA7111x" localSheetId="10" hidden="1">Notes!$K$5957</definedName>
    <definedName name="CheckA7146a" localSheetId="10" hidden="1">Notes!$K$5053</definedName>
    <definedName name="CheckA7151x" localSheetId="10" hidden="1">Notes!$K$5976</definedName>
    <definedName name="CheckA7161x" localSheetId="10" hidden="1">Notes!$K$5997</definedName>
    <definedName name="CheckA7196a" localSheetId="10" hidden="1">Notes!$K$5064</definedName>
    <definedName name="CheckA7211x" localSheetId="10" hidden="1">Notes!$K$6008</definedName>
    <definedName name="CheckA7246a" localSheetId="10" hidden="1">Notes!$K$5075</definedName>
    <definedName name="CheckA7251x" localSheetId="10" hidden="1">Notes!$K$6020</definedName>
    <definedName name="CheckA7261x" localSheetId="10" hidden="1">Notes!$K$6032</definedName>
    <definedName name="CheckA7296a" localSheetId="10" hidden="1">Notes!$K$5086</definedName>
    <definedName name="CheckA7348" localSheetId="23" hidden="1">CashFlow!$E$59</definedName>
    <definedName name="CheckA7348" localSheetId="14" hidden="1">CF!$E$42</definedName>
    <definedName name="CheckA7348" localSheetId="5" hidden="1">preCF!$E$63</definedName>
    <definedName name="CheckA7349" localSheetId="23" hidden="1">CashFlow!$E$60</definedName>
    <definedName name="CheckA7349" localSheetId="14" hidden="1">CF!$E$43</definedName>
    <definedName name="CheckA7349" localSheetId="5" hidden="1">preCF!$E$64</definedName>
    <definedName name="CheckA7399" localSheetId="23" hidden="1">CashFlow!$E$61</definedName>
    <definedName name="CheckA7399" localSheetId="14" hidden="1">CF!$E$44</definedName>
    <definedName name="CheckA7399" localSheetId="5" hidden="1">preCF!$E$65</definedName>
    <definedName name="CheckA7500a" localSheetId="10" hidden="1">Notes!$K$5097</definedName>
    <definedName name="CheckA7500b" localSheetId="10" hidden="1">Notes!$K$5120</definedName>
    <definedName name="CheckA7500c" localSheetId="10" hidden="1">Notes!$K$5128</definedName>
    <definedName name="CheckA7500e" localSheetId="10" hidden="1">Notes!$K$5157</definedName>
    <definedName name="CheckA7500f" localSheetId="10" hidden="1">Notes!$K$5173</definedName>
    <definedName name="CheckA7500g" localSheetId="10" hidden="1">Notes!$K$5137</definedName>
    <definedName name="CheckA7500h" localSheetId="10" hidden="1">Notes!$K$5147</definedName>
    <definedName name="CheckA7502" localSheetId="23" hidden="1">CashFlow!$E$68</definedName>
    <definedName name="CheckA7502" localSheetId="14" hidden="1">CF!$E$51</definedName>
    <definedName name="CheckA7502" localSheetId="5" hidden="1">preCF!$E$71</definedName>
    <definedName name="CheckA7503a" localSheetId="10" hidden="1">Notes!$K$6055</definedName>
    <definedName name="CheckA7505a" localSheetId="10" hidden="1">Notes!$K$6064</definedName>
    <definedName name="CheckA7506a" localSheetId="10" hidden="1">Notes!$K$6075</definedName>
    <definedName name="CheckA7507a" localSheetId="10" hidden="1">Notes!$K$6084</definedName>
    <definedName name="CheckA7508a" localSheetId="10" hidden="1">Notes!$K$6093</definedName>
    <definedName name="CheckA7509a" localSheetId="10" hidden="1">Notes!$K$6107</definedName>
    <definedName name="CheckA7510a" localSheetId="10" hidden="1">Notes!$K$6117</definedName>
    <definedName name="CheckA7511a" localSheetId="10" hidden="1">Notes!$K$6126</definedName>
    <definedName name="CheckA7512a" localSheetId="10" hidden="1">Notes!$K$6137</definedName>
    <definedName name="CheckA7515a" localSheetId="10" hidden="1">Notes!$K$6146</definedName>
    <definedName name="CheckA7516a" localSheetId="10" hidden="1">Notes!$K$6155</definedName>
    <definedName name="CheckA7517a" localSheetId="10" hidden="1">Notes!$K$6164</definedName>
    <definedName name="CheckA7518a" localSheetId="10" hidden="1">Notes!$K$6186</definedName>
    <definedName name="CheckA7519a" localSheetId="10" hidden="1">Notes!$K$6213</definedName>
    <definedName name="CheckA7523a" localSheetId="10" hidden="1">Notes!$K$6242</definedName>
    <definedName name="CheckA7525" localSheetId="23" hidden="1">CashFlow!$E$85</definedName>
    <definedName name="CheckA7525" localSheetId="14" hidden="1">CF!$E$68</definedName>
    <definedName name="CheckA7525" localSheetId="5" hidden="1">preCF!$E$88</definedName>
    <definedName name="CheckA7539" localSheetId="23" hidden="1">CashFlow!$E$95</definedName>
    <definedName name="CheckA7539" localSheetId="14" hidden="1">CF!$E$78</definedName>
    <definedName name="CheckA7539" localSheetId="5" hidden="1">preCF!$E$98</definedName>
    <definedName name="CheckA8001" localSheetId="15" hidden="1">CE!$P$9</definedName>
    <definedName name="CheckA8001" localSheetId="24" hidden="1">OwnersEquity!$P$9</definedName>
    <definedName name="CheckA8001" localSheetId="7" hidden="1">preCE!$Q$9</definedName>
    <definedName name="CheckA8010" localSheetId="15" hidden="1">CE!$P$13</definedName>
    <definedName name="CheckA8010" localSheetId="24" hidden="1">OwnersEquity!$P$13</definedName>
    <definedName name="CheckA8010" localSheetId="7" hidden="1">preCE!$Q$14</definedName>
    <definedName name="CheckA8040" localSheetId="15" hidden="1">CE!$P$15</definedName>
    <definedName name="CheckA8040" localSheetId="24" hidden="1">OwnersEquity!$P$15</definedName>
    <definedName name="CheckA8040" localSheetId="7" hidden="1">preCE!$Q$18</definedName>
    <definedName name="CheckA8099" localSheetId="15" hidden="1">CE!$P$36</definedName>
    <definedName name="CheckA8099" localSheetId="24" hidden="1">OwnersEquity!$P$37</definedName>
    <definedName name="CheckA8099" localSheetId="7" hidden="1">preCE!$Q$40</definedName>
    <definedName name="CheckA8101" localSheetId="15" hidden="1">CE!$D$9</definedName>
    <definedName name="CheckA8101" localSheetId="24" hidden="1">OwnersEquity!$D$9</definedName>
    <definedName name="CheckA8101" localSheetId="7" hidden="1">preCE!$D$9</definedName>
    <definedName name="CheckA8110" localSheetId="15" hidden="1">CE!$D$13</definedName>
    <definedName name="CheckA8110" localSheetId="24" hidden="1">OwnersEquity!$D$13</definedName>
    <definedName name="CheckA8110" localSheetId="7" hidden="1">preCE!$D$14</definedName>
    <definedName name="CheckA8199" localSheetId="15" hidden="1">CE!$D$36</definedName>
    <definedName name="CheckA8199" localSheetId="24" hidden="1">OwnersEquity!$D$37</definedName>
    <definedName name="CheckA8199" localSheetId="7" hidden="1">preCE!$D$40</definedName>
    <definedName name="CheckA8201" localSheetId="15" hidden="1">CE!$H$9</definedName>
    <definedName name="CheckA8201" localSheetId="24" hidden="1">OwnersEquity!$H$9</definedName>
    <definedName name="CheckA8201" localSheetId="7" hidden="1">preCE!$H$9</definedName>
    <definedName name="CheckA8210" localSheetId="15" hidden="1">CE!$H$13</definedName>
    <definedName name="CheckA8210" localSheetId="24" hidden="1">OwnersEquity!$H$13</definedName>
    <definedName name="CheckA8210" localSheetId="7" hidden="1">preCE!$H$14</definedName>
    <definedName name="CheckA8299" localSheetId="15" hidden="1">CE!$H$36</definedName>
    <definedName name="CheckA8299" localSheetId="24" hidden="1">OwnersEquity!$H$37</definedName>
    <definedName name="CheckA8299" localSheetId="7" hidden="1">preCE!$H$40</definedName>
    <definedName name="CheckA8301" localSheetId="15" hidden="1">CE!$I$9</definedName>
    <definedName name="CheckA8301" localSheetId="24" hidden="1">OwnersEquity!$I$9</definedName>
    <definedName name="CheckA8301" localSheetId="7" hidden="1">preCE!$I$9</definedName>
    <definedName name="CheckA8310" localSheetId="15" hidden="1">CE!$I$13</definedName>
    <definedName name="CheckA8310" localSheetId="24" hidden="1">OwnersEquity!$I$13</definedName>
    <definedName name="CheckA8310" localSheetId="7" hidden="1">preCE!$I$14</definedName>
    <definedName name="CheckA8399" localSheetId="15" hidden="1">CE!$I$36</definedName>
    <definedName name="CheckA8399" localSheetId="24" hidden="1">OwnersEquity!$I$37</definedName>
    <definedName name="CheckA8399" localSheetId="7" hidden="1">preCE!$I$40</definedName>
    <definedName name="CheckA8401" localSheetId="15" hidden="1">CE!$K$9</definedName>
    <definedName name="CheckA8401" localSheetId="24" hidden="1">OwnersEquity!$K$9</definedName>
    <definedName name="CheckA8401" localSheetId="7" hidden="1">preCE!$K$9</definedName>
    <definedName name="CheckA8410" localSheetId="15" hidden="1">CE!$K$13</definedName>
    <definedName name="CheckA8410" localSheetId="24" hidden="1">OwnersEquity!$K$13</definedName>
    <definedName name="CheckA8410" localSheetId="7" hidden="1">preCE!$K$14</definedName>
    <definedName name="CheckA8499" localSheetId="15" hidden="1">CE!$K$36</definedName>
    <definedName name="CheckA8499" localSheetId="24" hidden="1">OwnersEquity!$K$37</definedName>
    <definedName name="CheckA8499" localSheetId="7" hidden="1">preCE!$K$40</definedName>
    <definedName name="CheckA8501" localSheetId="15" hidden="1">CE!$L$9</definedName>
    <definedName name="CheckA8501" localSheetId="24" hidden="1">OwnersEquity!$L$9</definedName>
    <definedName name="CheckA8501" localSheetId="7" hidden="1">preCE!$L$9</definedName>
    <definedName name="CheckA8510" localSheetId="15" hidden="1">CE!$L$13</definedName>
    <definedName name="CheckA8510" localSheetId="24" hidden="1">OwnersEquity!$L$13</definedName>
    <definedName name="CheckA8510" localSheetId="7" hidden="1">preCE!$L$14</definedName>
    <definedName name="CheckA8599" localSheetId="15" hidden="1">CE!$L$36</definedName>
    <definedName name="CheckA8599" localSheetId="24" hidden="1">OwnersEquity!$L$37</definedName>
    <definedName name="CheckA8599" localSheetId="7" hidden="1">preCE!$L$40</definedName>
    <definedName name="CheckA8601" localSheetId="24" hidden="1">OwnersEquity!$M$9</definedName>
    <definedName name="CheckA8601" localSheetId="7" hidden="1">preCE!$M$9</definedName>
    <definedName name="CheckA8610" localSheetId="24" hidden="1">OwnersEquity!$M$13</definedName>
    <definedName name="CheckA8610" localSheetId="7" hidden="1">preCE!$M$14</definedName>
    <definedName name="CheckA8699" localSheetId="15" hidden="1">CE!$M$36</definedName>
    <definedName name="CheckA8699" localSheetId="24" hidden="1">OwnersEquity!$M$37</definedName>
    <definedName name="CheckA8699" localSheetId="7" hidden="1">preCE!$M$40</definedName>
    <definedName name="CheckA8701" localSheetId="15" hidden="1">CE!$N$9</definedName>
    <definedName name="CheckA8701" localSheetId="24" hidden="1">OwnersEquity!$N$9</definedName>
    <definedName name="CheckA8701" localSheetId="7" hidden="1">preCE!$N$9</definedName>
    <definedName name="CheckA8710" localSheetId="15" hidden="1">CE!$N$13</definedName>
    <definedName name="CheckA8710" localSheetId="24" hidden="1">OwnersEquity!$N$13</definedName>
    <definedName name="CheckA8710" localSheetId="7" hidden="1">preCE!$N$14</definedName>
    <definedName name="CheckA8740" localSheetId="15" hidden="1">CE!$N$15</definedName>
    <definedName name="CheckA8740" localSheetId="24" hidden="1">OwnersEquity!$N$15</definedName>
    <definedName name="CheckA8740" localSheetId="7" hidden="1">preCE!$N$18</definedName>
    <definedName name="CheckA8799" localSheetId="15" hidden="1">CE!$N$36</definedName>
    <definedName name="CheckA8799" localSheetId="24" hidden="1">OwnersEquity!$N$37</definedName>
    <definedName name="CheckA8799" localSheetId="7" hidden="1">preCE!$N$40</definedName>
    <definedName name="CheckA8801" localSheetId="15" hidden="1">CE!$O$9</definedName>
    <definedName name="CheckA8801" localSheetId="24" hidden="1">OwnersEquity!$O$9</definedName>
    <definedName name="CheckA8801" localSheetId="7" hidden="1">preCE!$O$9</definedName>
    <definedName name="CheckA8810" localSheetId="15" hidden="1">CE!$O$13</definedName>
    <definedName name="CheckA8810" localSheetId="24" hidden="1">OwnersEquity!$O$13</definedName>
    <definedName name="CheckA8810" localSheetId="7" hidden="1">preCE!$O$14</definedName>
    <definedName name="CheckA8899" localSheetId="15" hidden="1">CE!$O$36</definedName>
    <definedName name="CheckA8899" localSheetId="24"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5" hidden="1">CE!$E$9</definedName>
    <definedName name="CheckA8b01" localSheetId="24" hidden="1">OwnersEquity!$E$9</definedName>
    <definedName name="CheckA8b01" localSheetId="7" hidden="1">preCE!$E$9</definedName>
    <definedName name="CheckA8b10" localSheetId="15" hidden="1">CE!$E$13</definedName>
    <definedName name="CheckA8b10" localSheetId="24" hidden="1">OwnersEquity!$E$13</definedName>
    <definedName name="CheckA8b10" localSheetId="7" hidden="1">preCE!$E$14</definedName>
    <definedName name="CheckA8b99" localSheetId="15" hidden="1">CE!$E$36</definedName>
    <definedName name="CheckA8b99" localSheetId="24" hidden="1">OwnersEquity!$E$37</definedName>
    <definedName name="CheckA8b99" localSheetId="7" hidden="1">preCE!$E$40</definedName>
    <definedName name="CheckA8c01" localSheetId="15" hidden="1">CE!$F$9</definedName>
    <definedName name="CheckA8c01" localSheetId="24" hidden="1">OwnersEquity!$F$9</definedName>
    <definedName name="CheckA8c01" localSheetId="7" hidden="1">preCE!$F$9</definedName>
    <definedName name="CheckA8c10" localSheetId="15" hidden="1">CE!$F$13</definedName>
    <definedName name="CheckA8c10" localSheetId="24" hidden="1">OwnersEquity!$F$13</definedName>
    <definedName name="CheckA8c10" localSheetId="7" hidden="1">preCE!$F$14</definedName>
    <definedName name="CheckA8c99" localSheetId="15" hidden="1">CE!$F$36</definedName>
    <definedName name="CheckA8c99" localSheetId="24" hidden="1">OwnersEquity!$F$37</definedName>
    <definedName name="CheckA8c99" localSheetId="7" hidden="1">preCE!$F$40</definedName>
    <definedName name="CheckA8d01" localSheetId="15" hidden="1">CE!$G$9</definedName>
    <definedName name="CheckA8d01" localSheetId="24" hidden="1">OwnersEquity!$G$9</definedName>
    <definedName name="CheckA8d01" localSheetId="7" hidden="1">preCE!$G$9</definedName>
    <definedName name="CheckA8d10" localSheetId="15" hidden="1">CE!$G$13</definedName>
    <definedName name="CheckA8d10" localSheetId="24" hidden="1">OwnersEquity!$G$13</definedName>
    <definedName name="CheckA8d10" localSheetId="7" hidden="1">preCE!$G$14</definedName>
    <definedName name="CheckA8d99" localSheetId="15" hidden="1">CE!$G$36</definedName>
    <definedName name="CheckA8d99" localSheetId="24" hidden="1">OwnersEquity!$G$37</definedName>
    <definedName name="CheckA8d99" localSheetId="7" hidden="1">preCE!$G$40</definedName>
    <definedName name="CheckA8g01" localSheetId="15" hidden="1">CE!$J$9</definedName>
    <definedName name="CheckA8g01" localSheetId="24" hidden="1">OwnersEquity!$J$9</definedName>
    <definedName name="CheckA8g01" localSheetId="7" hidden="1">preCE!$J$9</definedName>
    <definedName name="CheckA8g10" localSheetId="15" hidden="1">CE!$J$13</definedName>
    <definedName name="CheckA8g10" localSheetId="24" hidden="1">OwnersEquity!$J$13</definedName>
    <definedName name="CheckA8g10" localSheetId="7" hidden="1">preCE!$J$14</definedName>
    <definedName name="CheckA8g40" localSheetId="15" hidden="1">CE!$J$15</definedName>
    <definedName name="CheckA8g40" localSheetId="24" hidden="1">OwnersEquity!$J$15</definedName>
    <definedName name="CheckA8g40" localSheetId="7" hidden="1">preCE!$J$18</definedName>
    <definedName name="CheckA8g99" localSheetId="15" hidden="1">CE!$J$36</definedName>
    <definedName name="CheckA8g99" localSheetId="24" hidden="1">OwnersEquity!$J$37</definedName>
    <definedName name="CheckA8g99" localSheetId="7" hidden="1">preCE!$J$40</definedName>
    <definedName name="CheckA9120c" localSheetId="10" hidden="1">Notes!$K$5648</definedName>
    <definedName name="CheckA9120d" localSheetId="10" hidden="1">Notes!$K$5658</definedName>
    <definedName name="CheckA9120e" localSheetId="10" hidden="1">Notes!$K$5668</definedName>
    <definedName name="CheckA9120f" localSheetId="10" hidden="1">Notes!$K$5678</definedName>
    <definedName name="CheckA9120g" localSheetId="10" hidden="1">Notes!$K$5688</definedName>
    <definedName name="CheckA9120h" localSheetId="10" hidden="1">Notes!$K$5698</definedName>
    <definedName name="CheckA9120i" localSheetId="10" hidden="1">Notes!$K$5708</definedName>
    <definedName name="CheckA9120j" localSheetId="10" hidden="1">Notes!$K$5718</definedName>
    <definedName name="CheckA9120k" localSheetId="10" hidden="1">Notes!$K$5728</definedName>
    <definedName name="CheckA9120l" localSheetId="10" hidden="1">Notes!$K$5738</definedName>
    <definedName name="CheckA9120m" localSheetId="10" hidden="1">Notes!$K$5622</definedName>
    <definedName name="CheckA9120n" localSheetId="10" hidden="1">Notes!$K$5635</definedName>
    <definedName name="CheckA9120o" localSheetId="10" hidden="1">Notes!$K$5746</definedName>
    <definedName name="CheckA9120p" localSheetId="10" hidden="1">Notes!$K$5761</definedName>
    <definedName name="CheckA9314a" localSheetId="10" hidden="1">Notes!$K$5184</definedName>
    <definedName name="CheckA9325g" localSheetId="10" hidden="1">Notes!$K$5320</definedName>
    <definedName name="CheckA9325h" localSheetId="10" hidden="1">Notes!$K$5337</definedName>
    <definedName name="CheckA9325i" localSheetId="10" hidden="1">Notes!$K$5354</definedName>
    <definedName name="CheckA9325j" localSheetId="10" hidden="1">Notes!$K$5370</definedName>
    <definedName name="CheckA9325k" localSheetId="10" hidden="1">Notes!$K$5386</definedName>
    <definedName name="CheckA9325m" localSheetId="10" hidden="1">Notes!$K$5420</definedName>
    <definedName name="CheckA9331a" localSheetId="10" hidden="1">Notes!$K$5455</definedName>
    <definedName name="CheckA9331b" localSheetId="10" hidden="1">Notes!$K$5602</definedName>
    <definedName name="CheckA9331g" localSheetId="10" hidden="1">Notes!$K$5576</definedName>
    <definedName name="CheckA9331i" localSheetId="10" hidden="1">Notes!$K$5549</definedName>
    <definedName name="CheckA9331j" localSheetId="10" hidden="1">Notes!$K$5558</definedName>
    <definedName name="CheckA9331k" localSheetId="10" hidden="1">Notes!$K$5501</definedName>
    <definedName name="CheckA9367a" localSheetId="10" hidden="1">Notes!$K$5775</definedName>
    <definedName name="CheckA9367b" localSheetId="10" hidden="1">Notes!$K$5796</definedName>
    <definedName name="CheckA9371h" localSheetId="10" hidden="1">Notes!$K$5276</definedName>
    <definedName name="CheckA9371i" localSheetId="10" hidden="1">Notes!$K$5291</definedName>
    <definedName name="CheckA9371j" localSheetId="10" hidden="1">Notes!$K$5306</definedName>
    <definedName name="CheckA9601a" localSheetId="10" hidden="1">Notes!$K$5805</definedName>
    <definedName name="CheckA9601b" localSheetId="10" hidden="1">Notes!$K$5847</definedName>
    <definedName name="CheckA9601c" localSheetId="10" hidden="1">Notes!$K$5837</definedName>
    <definedName name="CheckA9601d" localSheetId="10" hidden="1">Notes!$K$5857</definedName>
    <definedName name="CheckA9690a" localSheetId="10" hidden="1">Notes!$K$4985</definedName>
    <definedName name="CheckA9690b" localSheetId="10" hidden="1">Notes!$K$4999</definedName>
    <definedName name="CheckA9690c" localSheetId="10" hidden="1">Notes!$K$5009</definedName>
    <definedName name="CheckB1015a" localSheetId="10" hidden="1">Notes!$N$20</definedName>
    <definedName name="CheckB1015b" localSheetId="10" hidden="1">Notes!$N$10</definedName>
    <definedName name="CheckB1015c" localSheetId="10" hidden="1">Notes!$N$59</definedName>
    <definedName name="CheckB1101a" localSheetId="10" hidden="1">Notes!$N$90</definedName>
    <definedName name="CheckB1102a" localSheetId="10" hidden="1">Notes!$N$71</definedName>
    <definedName name="CheckB1115a" localSheetId="10" hidden="1">Notes!$N$109</definedName>
    <definedName name="CheckB1121a" localSheetId="10" hidden="1">Notes!$N$130</definedName>
    <definedName name="CheckB1121b" localSheetId="10" hidden="1">Notes!$N$138</definedName>
    <definedName name="CheckB1121c" localSheetId="10" hidden="1">Notes!$N$160</definedName>
    <definedName name="CheckB1121d" localSheetId="10" hidden="1">Notes!$N$146</definedName>
    <definedName name="CheckB1121e" localSheetId="10" hidden="1">Notes!$N$120</definedName>
    <definedName name="CheckB1121f" localSheetId="10" hidden="1">Notes!$N$170</definedName>
    <definedName name="CheckB1121g" localSheetId="10" hidden="1">Notes!$N$192</definedName>
    <definedName name="CheckB1121h" localSheetId="10" hidden="1">Notes!$N$214</definedName>
    <definedName name="CheckB1121i" localSheetId="10" hidden="1">Notes!$N$251</definedName>
    <definedName name="CheckB1121j" localSheetId="10" hidden="1">Notes!$N$273</definedName>
    <definedName name="CheckB1121k" localSheetId="10" hidden="1">Notes!$N$286</definedName>
    <definedName name="CheckB1121l" localSheetId="10" hidden="1">Notes!$N$293</definedName>
    <definedName name="CheckB1121m" localSheetId="10" hidden="1">Notes!$N$306</definedName>
    <definedName name="CheckB1121n" localSheetId="10" hidden="1">Notes!$N$236</definedName>
    <definedName name="CheckB112202" localSheetId="10" hidden="1">Notes!$N$415</definedName>
    <definedName name="CheckB11222" localSheetId="10" hidden="1">Notes!$N$415</definedName>
    <definedName name="CheckB1122a" localSheetId="10" hidden="1">Notes!$N$485</definedName>
    <definedName name="CheckB1122b" localSheetId="10" hidden="1">Notes!$N$500</definedName>
    <definedName name="CheckB1122c" localSheetId="10" hidden="1">Notes!$N$668</definedName>
    <definedName name="CheckB1122d" localSheetId="10" hidden="1">Notes!$N$535</definedName>
    <definedName name="CheckB1122e" localSheetId="10" hidden="1">Notes!$N$559</definedName>
    <definedName name="CheckB1122f" localSheetId="10" hidden="1">Notes!$N$569</definedName>
    <definedName name="CheckB1122g" localSheetId="10" hidden="1">Notes!$N$515</definedName>
    <definedName name="CheckB1122h" localSheetId="10" hidden="1">Notes!$N$601</definedName>
    <definedName name="CheckB1122i" localSheetId="10" hidden="1">Notes!$N$618</definedName>
    <definedName name="CheckB1122j" localSheetId="10" hidden="1">Notes!$N$317</definedName>
    <definedName name="CheckB1122k" localSheetId="10" hidden="1">Notes!$N$629</definedName>
    <definedName name="CheckB1122l" localSheetId="10" hidden="1">Notes!$N$678</definedName>
    <definedName name="CheckB1122m" localSheetId="10" hidden="1">Notes!$N$648</definedName>
    <definedName name="CheckB1122n" localSheetId="10" hidden="1">Notes!$N$658</definedName>
    <definedName name="CheckB1122p" localSheetId="10" hidden="1">Notes!$N$334</definedName>
    <definedName name="CheckB1122q" localSheetId="10" hidden="1">Notes!$N$430</definedName>
    <definedName name="CheckB1122r" localSheetId="10" hidden="1">Notes!$N$356</definedName>
    <definedName name="CheckB1122s" localSheetId="10" hidden="1">Notes!$N$378</definedName>
    <definedName name="CheckB1122t" localSheetId="10" hidden="1">Notes!$N$400</definedName>
    <definedName name="CheckB1122u" localSheetId="10" hidden="1">Notes!$N$579</definedName>
    <definedName name="CheckB1122v" localSheetId="10" hidden="1">Notes!$N$611</definedName>
    <definedName name="CheckB1122x" localSheetId="10" hidden="1">Notes!$N$688</definedName>
    <definedName name="CheckB1122y" localSheetId="10" hidden="1">Notes!$N$448</definedName>
    <definedName name="CheckB1122z" localSheetId="10" hidden="1">Notes!$N$468</definedName>
    <definedName name="CheckB1124a" localSheetId="10" hidden="1">Notes!$N$698</definedName>
    <definedName name="CheckB1124b" localSheetId="10" hidden="1">Notes!$N$706</definedName>
    <definedName name="CheckB1124c" localSheetId="10" hidden="1">Notes!$N$721</definedName>
    <definedName name="CheckB1124d" localSheetId="10" hidden="1">Notes!$N$740</definedName>
    <definedName name="CheckB1124e" localSheetId="10" hidden="1">Notes!$N$762</definedName>
    <definedName name="CheckB1124f" localSheetId="10" hidden="1">Notes!$N$848</definedName>
    <definedName name="CheckB1124g" localSheetId="10" hidden="1">Notes!$N$777</definedName>
    <definedName name="CheckB1124h" localSheetId="10" hidden="1">Notes!$N$792</definedName>
    <definedName name="CheckB1124i" localSheetId="10" hidden="1">Notes!$N$811</definedName>
    <definedName name="CheckB1124j" localSheetId="10" hidden="1">Notes!$N$833</definedName>
    <definedName name="CheckB1125a" localSheetId="10" hidden="1">Notes!$N$859</definedName>
    <definedName name="CheckB1125c" localSheetId="10" hidden="1">Notes!$N$871</definedName>
    <definedName name="CheckB1125d" localSheetId="10" hidden="1">Notes!$N$890</definedName>
    <definedName name="CheckB1125e" localSheetId="10" hidden="1">Notes!$N$910</definedName>
    <definedName name="CheckB1125f" localSheetId="10" hidden="1">Notes!$N$900</definedName>
    <definedName name="CheckB1125x" localSheetId="10" hidden="1">Notes!$N$920</definedName>
    <definedName name="CheckB1131a" localSheetId="10" hidden="1">Notes!$N$967</definedName>
    <definedName name="CheckB1131b" localSheetId="10" hidden="1">Notes!$N$977</definedName>
    <definedName name="CheckB1132a" localSheetId="10" hidden="1">Notes!$N$944</definedName>
    <definedName name="CheckB1132b" localSheetId="10" hidden="1">Notes!$N$956</definedName>
    <definedName name="CheckB1220a" localSheetId="10" hidden="1">Notes!$N$934</definedName>
    <definedName name="CheckB122100" localSheetId="10" hidden="1">Notes!$N$1027</definedName>
    <definedName name="CheckB122101" localSheetId="10" hidden="1">Notes!$N$1043</definedName>
    <definedName name="CheckB122102" localSheetId="10" hidden="1">Notes!$N$1131</definedName>
    <definedName name="CheckB122103" localSheetId="10" hidden="1">Notes!$N$1219</definedName>
    <definedName name="CheckB122104" localSheetId="10" hidden="1">Notes!$N$1491</definedName>
    <definedName name="CheckB12211" localSheetId="10" hidden="1">Notes!$N$1057</definedName>
    <definedName name="CheckB122111" localSheetId="10" hidden="1">Notes!$N$1057</definedName>
    <definedName name="CheckB122112" localSheetId="10" hidden="1">Notes!$N$1079</definedName>
    <definedName name="CheckB122113" localSheetId="10" hidden="1">Notes!$N$1101</definedName>
    <definedName name="CheckB122114" localSheetId="10" hidden="1">Notes!$N$1116</definedName>
    <definedName name="CheckB12212" localSheetId="10" hidden="1">Notes!$N$1079</definedName>
    <definedName name="CheckB122121" localSheetId="10" hidden="1">Notes!$N$1145</definedName>
    <definedName name="CheckB122122" localSheetId="10" hidden="1">Notes!$N$1167</definedName>
    <definedName name="CheckB122123" localSheetId="10" hidden="1">Notes!$N$1189</definedName>
    <definedName name="CheckB122124" localSheetId="10" hidden="1">Notes!$N$1204</definedName>
    <definedName name="CheckB12213" localSheetId="10" hidden="1">Notes!$N$1101</definedName>
    <definedName name="CheckB122131" localSheetId="10" hidden="1">Notes!$N$1233</definedName>
    <definedName name="CheckB122132" localSheetId="10" hidden="1">Notes!$N$1255</definedName>
    <definedName name="CheckB122133" localSheetId="10" hidden="1">Notes!$N$1277</definedName>
    <definedName name="CheckB122134" localSheetId="10" hidden="1">Notes!$N$1292</definedName>
    <definedName name="CheckB12214" localSheetId="10" hidden="1">Notes!$N$1491</definedName>
    <definedName name="CheckB1221a" localSheetId="10" hidden="1">Notes!$N$1365</definedName>
    <definedName name="CheckB1221b" localSheetId="10" hidden="1">Notes!$N$1387</definedName>
    <definedName name="CheckB1221c" localSheetId="10" hidden="1">Notes!$N$1587</definedName>
    <definedName name="CheckB1221d" localSheetId="10" hidden="1">Notes!$N$1428</definedName>
    <definedName name="CheckB1221e" localSheetId="10" hidden="1">Notes!$N$1449</definedName>
    <definedName name="CheckB1221f" localSheetId="10" hidden="1">Notes!$N$1459</definedName>
    <definedName name="CheckB1221g" localSheetId="10" hidden="1">Notes!$N$1409</definedName>
    <definedName name="CheckB1221h" localSheetId="10" hidden="1">Notes!$N$1510</definedName>
    <definedName name="CheckB1221i" localSheetId="10" hidden="1">Notes!$N$1527</definedName>
    <definedName name="CheckB1221j" localSheetId="10" hidden="1">Notes!$N$988</definedName>
    <definedName name="CheckB1221k" localSheetId="10" hidden="1">Notes!$N$1538</definedName>
    <definedName name="CheckB1221l" localSheetId="10" hidden="1">Notes!$N$1013</definedName>
    <definedName name="CheckB1221m" localSheetId="10" hidden="1">Notes!$N$1597</definedName>
    <definedName name="CheckB1221n" localSheetId="10" hidden="1">Notes!$N$1567</definedName>
    <definedName name="CheckB1221o" localSheetId="10" hidden="1">Notes!$N$1577</definedName>
    <definedName name="CheckB1221q" localSheetId="10" hidden="1">Notes!$N$1043</definedName>
    <definedName name="CheckB1221r" localSheetId="10" hidden="1">Notes!$N$1557</definedName>
    <definedName name="CheckB1221s" localSheetId="10" hidden="1">Notes!$N$1219</definedName>
    <definedName name="CheckB1221t" localSheetId="10" hidden="1">Notes!$N$1307</definedName>
    <definedName name="CheckB1221u" localSheetId="10" hidden="1">Notes!$N$1116</definedName>
    <definedName name="CheckB1221v" localSheetId="10" hidden="1">Notes!$N$1326</definedName>
    <definedName name="CheckB1221w" localSheetId="10" hidden="1">Notes!$N$1348</definedName>
    <definedName name="CheckB1221x" localSheetId="10" hidden="1">Notes!$N$1607</definedName>
    <definedName name="CheckB1221y" localSheetId="10" hidden="1">Notes!$N$1469</definedName>
    <definedName name="CheckB1221z" localSheetId="10" hidden="1">Notes!$N$1520</definedName>
    <definedName name="CheckB1315b" localSheetId="10" hidden="1">Notes!$N$1764</definedName>
    <definedName name="CheckB1315f" localSheetId="10" hidden="1">Notes!$N$1774</definedName>
    <definedName name="CheckB1400a" localSheetId="10" hidden="1">Notes!$N$1617</definedName>
    <definedName name="CheckB1400b" localSheetId="10" hidden="1">Notes!$N$1636</definedName>
    <definedName name="CheckB1400c" localSheetId="10" hidden="1">Notes!$N$1736</definedName>
    <definedName name="CheckB1400d" localSheetId="10" hidden="1">Notes!$N$1682</definedName>
    <definedName name="CheckB1400e" localSheetId="10" hidden="1">Notes!$N$1699</definedName>
    <definedName name="CheckB1400g" localSheetId="10" hidden="1">Notes!$N$1716</definedName>
    <definedName name="CheckB1400h" localSheetId="10" hidden="1">Notes!$N$1665</definedName>
    <definedName name="CheckB1400s" localSheetId="10" hidden="1">Notes!$N$1726</definedName>
    <definedName name="CheckB1400t" localSheetId="10" hidden="1">Notes!$N$1655</definedName>
    <definedName name="CheckB1400x" localSheetId="10" hidden="1">Notes!$N$1753</definedName>
    <definedName name="CheckB1495a" localSheetId="10" hidden="1">Notes!$N$1790</definedName>
    <definedName name="CheckB1495b" localSheetId="10" hidden="1">Notes!$N$1799</definedName>
    <definedName name="CheckB1496a" localSheetId="10" hidden="1">Notes!$N$1812</definedName>
    <definedName name="CheckB1501a" localSheetId="10" hidden="1">Notes!$N$2157</definedName>
    <definedName name="CheckB1501d" localSheetId="10" hidden="1">Notes!$N$2171</definedName>
    <definedName name="CheckB1501e" localSheetId="10" hidden="1">Notes!$N$2181</definedName>
    <definedName name="CheckB1501f" localSheetId="10" hidden="1">Notes!$N$2191</definedName>
    <definedName name="CheckB1503a" localSheetId="10" hidden="1">Notes!$N$1947</definedName>
    <definedName name="CheckB1503d" localSheetId="10" hidden="1">Notes!$N$2013</definedName>
    <definedName name="CheckB1503e" localSheetId="10" hidden="1">Notes!$N$1961</definedName>
    <definedName name="CheckB1503g" localSheetId="10" hidden="1">Notes!$N$2021</definedName>
    <definedName name="CheckB1503i" localSheetId="10" hidden="1">Notes!$N$1971</definedName>
    <definedName name="CheckB1503j" localSheetId="10" hidden="1">Notes!$N$1986</definedName>
    <definedName name="CheckB1503k" localSheetId="10" hidden="1">Notes!$N$2001</definedName>
    <definedName name="CheckB1505a" localSheetId="10" hidden="1">Notes!$N$1823</definedName>
    <definedName name="CheckB1505b" localSheetId="10" hidden="1">Notes!$N$1838</definedName>
    <definedName name="CheckB1505c" localSheetId="10" hidden="1">Notes!$N$1869</definedName>
    <definedName name="CheckB1505d" localSheetId="10" hidden="1">Notes!$N$1882</definedName>
    <definedName name="CheckB1505e" localSheetId="10" hidden="1">Notes!$N$1895</definedName>
    <definedName name="CheckB1505f" localSheetId="10" hidden="1">Notes!$N$1927</definedName>
    <definedName name="CheckB1505g" localSheetId="10" hidden="1">Notes!$N$1853</definedName>
    <definedName name="CheckB1505k" localSheetId="10" hidden="1">Notes!$N$1908</definedName>
    <definedName name="CheckB1508a" localSheetId="10" hidden="1">Notes!$N$2032</definedName>
    <definedName name="CheckB1508b" localSheetId="10" hidden="1">Notes!$N$2048</definedName>
    <definedName name="CheckB1508c" localSheetId="10" hidden="1">Notes!$N$2063</definedName>
    <definedName name="CheckB1508d" localSheetId="10" hidden="1">Notes!$N$2079</definedName>
    <definedName name="CheckB1508e" localSheetId="10" hidden="1">Notes!$N$2092</definedName>
    <definedName name="CheckB1508f" localSheetId="10" hidden="1">Notes!$N$2105</definedName>
    <definedName name="CheckB1508g" localSheetId="10" hidden="1">Notes!$N$2137</definedName>
    <definedName name="CheckB1508k" localSheetId="10" hidden="1">Notes!$N$2118</definedName>
    <definedName name="CheckB1511b" localSheetId="10" hidden="1">Notes!$N$2463</definedName>
    <definedName name="CheckB1511c" localSheetId="10" hidden="1">Notes!$N$2412</definedName>
    <definedName name="CheckB1511d" localSheetId="10" hidden="1">Notes!$N$2431</definedName>
    <definedName name="CheckB1521b" localSheetId="10" hidden="1">Notes!$N$2599</definedName>
    <definedName name="CheckB1521c" localSheetId="10" hidden="1">Notes!$N$2618</definedName>
    <definedName name="CheckB1521h" localSheetId="10" hidden="1">Notes!$N$2557</definedName>
    <definedName name="CheckB1521s" localSheetId="10" hidden="1">Notes!$N$2628</definedName>
    <definedName name="CheckB1531a" localSheetId="10" hidden="1">Notes!$N$2202</definedName>
    <definedName name="CheckB1531b" localSheetId="10" hidden="1">Notes!$N$2391</definedName>
    <definedName name="CheckB1531c" localSheetId="10" hidden="1">Notes!$N$2368</definedName>
    <definedName name="CheckB1531f" localSheetId="10" hidden="1">Notes!$N$2401</definedName>
    <definedName name="CheckB1531g" localSheetId="10" hidden="1">Notes!$N$2330</definedName>
    <definedName name="CheckB1531h" localSheetId="10" hidden="1">Notes!$N$2293</definedName>
    <definedName name="CheckB1531i" localSheetId="10" hidden="1">Notes!$N$2234</definedName>
    <definedName name="CheckB1531j" localSheetId="10" hidden="1">Notes!$N$2247</definedName>
    <definedName name="CheckB1531k" localSheetId="10" hidden="1">Notes!$N$2260</definedName>
    <definedName name="CheckB1531m" localSheetId="10" hidden="1">Notes!$N$2315</definedName>
    <definedName name="CheckB1531p" localSheetId="10" hidden="1">Notes!$N$2273</definedName>
    <definedName name="CheckB1531q" localSheetId="10" hidden="1">Notes!$N$2349</definedName>
    <definedName name="CheckB1531s" localSheetId="10" hidden="1">Notes!$N$2378</definedName>
    <definedName name="CheckB1531t" localSheetId="10" hidden="1">Notes!$N$2218</definedName>
    <definedName name="CheckB1538a" localSheetId="10" hidden="1">Notes!$N$2497</definedName>
    <definedName name="CheckB1538b" localSheetId="10" hidden="1">Notes!$N$2506</definedName>
    <definedName name="CheckB1539a" localSheetId="10" hidden="1">Notes!$N$2520</definedName>
    <definedName name="CheckB1539b" localSheetId="10" hidden="1">Notes!$N$2530</definedName>
    <definedName name="CheckB1539c" localSheetId="10" hidden="1">Notes!$N$2543</definedName>
    <definedName name="CheckB1601b" localSheetId="10" hidden="1">Notes!$N$2705</definedName>
    <definedName name="CheckB1601c" localSheetId="10" hidden="1">Notes!$N$2719</definedName>
    <definedName name="CheckB1601d" localSheetId="10" hidden="1">Notes!$N$2733</definedName>
    <definedName name="CheckB1601f" localSheetId="10" hidden="1">Notes!$N$2761</definedName>
    <definedName name="CheckB1601k" localSheetId="10" hidden="1">Notes!$N$2648</definedName>
    <definedName name="CheckB1601l" localSheetId="10" hidden="1">Notes!$N$2748</definedName>
    <definedName name="CheckB1601s" localSheetId="10" hidden="1">Notes!$N$2771</definedName>
    <definedName name="CheckB1601x" localSheetId="10" hidden="1">Notes!$N$2781</definedName>
    <definedName name="CheckB1604a" localSheetId="10" hidden="1">Notes!$N$2830</definedName>
    <definedName name="CheckB1604b" localSheetId="10" hidden="1">Notes!$N$2847</definedName>
    <definedName name="CheckB1604c" localSheetId="10" hidden="1">Notes!$N$2862</definedName>
    <definedName name="CheckB1604d" localSheetId="10" hidden="1">Notes!$N$2897</definedName>
    <definedName name="CheckB1604g" localSheetId="10" hidden="1">Notes!$N$2877</definedName>
    <definedName name="CheckB1605a" localSheetId="10" hidden="1">Notes!$N$2908</definedName>
    <definedName name="CheckB1606a" localSheetId="10" hidden="1">Notes!$N$2810</definedName>
    <definedName name="CheckB1606b" localSheetId="10" hidden="1">Notes!$N$2797</definedName>
    <definedName name="CheckB1611a" localSheetId="10" hidden="1">Notes!$N$2639</definedName>
    <definedName name="CheckB1616a" localSheetId="10" hidden="1">Notes!$N$2821</definedName>
    <definedName name="CheckB1621b" localSheetId="10" hidden="1">Notes!$N$2982</definedName>
    <definedName name="CheckB1621c" localSheetId="10" hidden="1">Notes!$N$2920</definedName>
    <definedName name="CheckB1631b" localSheetId="10" hidden="1">Notes!$N$3006</definedName>
    <definedName name="CheckB1700b" localSheetId="10" hidden="1">Notes!$N$3175</definedName>
    <definedName name="CheckB1701a" localSheetId="10" hidden="1">Notes!$N$3043</definedName>
    <definedName name="CheckB1701e" localSheetId="10" hidden="1">Notes!$N$3126</definedName>
    <definedName name="CheckB1701f" localSheetId="10" hidden="1">Notes!$N$3113</definedName>
    <definedName name="CheckB1701g" localSheetId="10" hidden="1">Notes!$N$3136</definedName>
    <definedName name="CheckB1701h" localSheetId="10" hidden="1">Notes!$N$3149</definedName>
    <definedName name="CheckB1701x" localSheetId="10" hidden="1">Notes!$N$3162</definedName>
    <definedName name="CheckB1704a" localSheetId="10" hidden="1">Notes!$N$5209</definedName>
    <definedName name="CheckB1711a" localSheetId="10" hidden="1">Notes!$N$3188</definedName>
    <definedName name="CheckB1711b" localSheetId="10" hidden="1">Notes!$N$3200</definedName>
    <definedName name="CheckB1801a" localSheetId="10" hidden="1">Notes!$N$3213</definedName>
    <definedName name="CheckB1801x" localSheetId="10" hidden="1">Notes!$N$3225</definedName>
    <definedName name="CheckB1829a" localSheetId="10" hidden="1">Notes!$N$3240</definedName>
    <definedName name="CheckB1829b" localSheetId="10" hidden="1">Notes!$N$3256</definedName>
    <definedName name="CheckB1829c" localSheetId="10" hidden="1">Notes!$N$3269</definedName>
    <definedName name="CheckB1829e" localSheetId="10" hidden="1">Notes!$N$3276</definedName>
    <definedName name="CheckB1829f" localSheetId="10" hidden="1">Notes!$N$3286</definedName>
    <definedName name="CheckB1996a" localSheetId="10" hidden="1">Notes!$N$3306</definedName>
    <definedName name="CheckB1997a" localSheetId="10" hidden="1">Notes!$N$5195</definedName>
    <definedName name="CheckB1999" localSheetId="21" hidden="1">BalanceSheet!$H$59</definedName>
    <definedName name="CheckB1999" localSheetId="12" hidden="1">BS!$H$50</definedName>
    <definedName name="CheckB1999" localSheetId="3" hidden="1">preBS!$G$68</definedName>
    <definedName name="CheckB2001a" localSheetId="10" hidden="1">Notes!$N$3319</definedName>
    <definedName name="CheckB2001b" localSheetId="10" hidden="1">Notes!$N$3359</definedName>
    <definedName name="CheckB2001c" localSheetId="10" hidden="1">Notes!$N$3370</definedName>
    <definedName name="CheckB2001d" localSheetId="10" hidden="1">Notes!$N$3329</definedName>
    <definedName name="CheckB2001e" localSheetId="10" hidden="1">Notes!$N$3339</definedName>
    <definedName name="CheckB2001f" localSheetId="10" hidden="1">Notes!$N$3349</definedName>
    <definedName name="CheckB2101a" localSheetId="10" hidden="1">Notes!$N$3409</definedName>
    <definedName name="CheckB2102a" localSheetId="10" hidden="1">Notes!$N$3381</definedName>
    <definedName name="CheckB2102b" localSheetId="10" hidden="1">Notes!$N$3394</definedName>
    <definedName name="CheckB2115a" localSheetId="10" hidden="1">Notes!$N$3421</definedName>
    <definedName name="CheckB2201a" localSheetId="10" hidden="1">Notes!$N$3432</definedName>
    <definedName name="CheckB2202a" localSheetId="10" hidden="1">Notes!$N$3471</definedName>
    <definedName name="CheckB2202c" localSheetId="10" hidden="1">Notes!$N$3491</definedName>
    <definedName name="CheckB2202d" localSheetId="10" hidden="1">Notes!$N$3481</definedName>
    <definedName name="CheckB2202e" localSheetId="10" hidden="1">Notes!$N$3443</definedName>
    <definedName name="CheckB2202f" localSheetId="10" hidden="1">Notes!$N$3454</definedName>
    <definedName name="CheckB2202g" localSheetId="10" hidden="1">Notes!$N$3501</definedName>
    <definedName name="CheckB2202x" localSheetId="10" hidden="1">Notes!$N$3511</definedName>
    <definedName name="CheckB2205a" localSheetId="10" hidden="1">Notes!$N$3558</definedName>
    <definedName name="CheckB2205c" localSheetId="10" hidden="1">Notes!$N$3588</definedName>
    <definedName name="CheckB2205e" localSheetId="10" hidden="1">Notes!$N$3578</definedName>
    <definedName name="CheckB2205f" localSheetId="10" hidden="1">Notes!$N$3531</definedName>
    <definedName name="CheckB2205g" localSheetId="10" hidden="1">Notes!$N$3541</definedName>
    <definedName name="CheckB2205h" localSheetId="10" hidden="1">Notes!$N$3568</definedName>
    <definedName name="CheckB2205x" localSheetId="10" hidden="1">Notes!$N$3598</definedName>
    <definedName name="CheckB2211a" localSheetId="10" hidden="1">Notes!$N$3618</definedName>
    <definedName name="CheckB2211b" localSheetId="10" hidden="1">Notes!$N$3628</definedName>
    <definedName name="CheckB2211c" localSheetId="10" hidden="1">Notes!$N$3657</definedName>
    <definedName name="CheckB2211d" localSheetId="10" hidden="1">Notes!$N$3681</definedName>
    <definedName name="CheckB2211x" localSheetId="10" hidden="1">Notes!$N$3713</definedName>
    <definedName name="CheckB2221a" localSheetId="10" hidden="1">Notes!$N$3727</definedName>
    <definedName name="CheckB2221x" localSheetId="10" hidden="1">Notes!$N$3746</definedName>
    <definedName name="CheckB2231a" localSheetId="10" hidden="1">Notes!$N$3770</definedName>
    <definedName name="CheckB2231b" localSheetId="10" hidden="1">Notes!$N$3790</definedName>
    <definedName name="CheckB2232a" localSheetId="10" hidden="1">Notes!$N$3801</definedName>
    <definedName name="CheckB2232b" localSheetId="10" hidden="1">Notes!$N$3818</definedName>
    <definedName name="CheckB2241a" localSheetId="10" hidden="1">Notes!$N$3886</definedName>
    <definedName name="CheckB2241b" localSheetId="10" hidden="1">Notes!$N$3866</definedName>
    <definedName name="CheckB2241c" localSheetId="10" hidden="1">Notes!$N$3856</definedName>
    <definedName name="CheckB2241e" localSheetId="10" hidden="1">Notes!$N$3829</definedName>
    <definedName name="CheckB2241f" localSheetId="10" hidden="1">Notes!$N$3839</definedName>
    <definedName name="CheckB2241g" localSheetId="10" hidden="1">Notes!$N$3876</definedName>
    <definedName name="CheckB2241x" localSheetId="10" hidden="1">Notes!$N$3896</definedName>
    <definedName name="CheckB2246a" localSheetId="10" hidden="1">Notes!$N$3760</definedName>
    <definedName name="CheckB2315a" localSheetId="10" hidden="1">Notes!$N$3916</definedName>
    <definedName name="CheckB2395a" localSheetId="10" hidden="1">Notes!$N$3927</definedName>
    <definedName name="CheckB2395b" localSheetId="10" hidden="1">Notes!$N$3937</definedName>
    <definedName name="CheckB2395e" localSheetId="10" hidden="1">Notes!$N$3947</definedName>
    <definedName name="CheckB2395f" localSheetId="10" hidden="1">Notes!$N$3957</definedName>
    <definedName name="CheckB2396a" localSheetId="10" hidden="1">Notes!$N$3968</definedName>
    <definedName name="CheckB2396c" localSheetId="10" hidden="1">Notes!$N$3979</definedName>
    <definedName name="CheckB2401a" localSheetId="10" hidden="1">Notes!$N$4261</definedName>
    <definedName name="CheckB2401b" localSheetId="10" hidden="1">Notes!$N$4269</definedName>
    <definedName name="CheckB2501a" localSheetId="10" hidden="1">Notes!$N$3997</definedName>
    <definedName name="CheckB2501c" localSheetId="10" hidden="1">Notes!$N$4040</definedName>
    <definedName name="CheckB2501d" localSheetId="10" hidden="1">Notes!$N$4010</definedName>
    <definedName name="CheckB2501e" localSheetId="10" hidden="1">Notes!$N$4020</definedName>
    <definedName name="CheckB2501f" localSheetId="10" hidden="1">Notes!$N$4030</definedName>
    <definedName name="CheckB2502a" localSheetId="10" hidden="1">Notes!$N$4061</definedName>
    <definedName name="CheckB2502b" localSheetId="10" hidden="1">Notes!$N$4051</definedName>
    <definedName name="CheckB2502c" localSheetId="10" hidden="1">Notes!$N$4084</definedName>
    <definedName name="CheckB2502d" localSheetId="10" hidden="1">Notes!$N$4074</definedName>
    <definedName name="CheckB2502e" localSheetId="10" hidden="1">Notes!$N$4096</definedName>
    <definedName name="CheckB2701c" localSheetId="10" hidden="1">Notes!$N$4118</definedName>
    <definedName name="CheckB2701d" localSheetId="10" hidden="1">Notes!$N$4136</definedName>
    <definedName name="CheckB2706a" localSheetId="10" hidden="1">Notes!$N$4107</definedName>
    <definedName name="CheckB2711a" localSheetId="10" hidden="1">Notes!$N$4147</definedName>
    <definedName name="CheckB2711b" localSheetId="10" hidden="1">Notes!$N$4157</definedName>
    <definedName name="CheckB2715a" localSheetId="10" hidden="1">Notes!$N$4168</definedName>
    <definedName name="CheckB2715b" localSheetId="10" hidden="1">Notes!$N$4178</definedName>
    <definedName name="CheckB2715c" localSheetId="10" hidden="1">Notes!$N$4198</definedName>
    <definedName name="CheckB2715d" localSheetId="10" hidden="1">Notes!$N$4213</definedName>
    <definedName name="CheckB2715g" localSheetId="10" hidden="1">Notes!$N$4222</definedName>
    <definedName name="CheckB2715h" localSheetId="10" hidden="1">Notes!$N$4233</definedName>
    <definedName name="CheckB2801a" localSheetId="10" hidden="1">Notes!$N$4247</definedName>
    <definedName name="CheckB2996a" localSheetId="10" hidden="1">Notes!$N$4287</definedName>
    <definedName name="CheckB2996x" localSheetId="10" hidden="1">Notes!$N$4297</definedName>
    <definedName name="CheckB4001" localSheetId="21" hidden="1">BalanceSheet!$L$47</definedName>
    <definedName name="CheckB4001" localSheetId="12" hidden="1">BS!$L$38</definedName>
    <definedName name="CheckB4001" localSheetId="3" hidden="1">preBS!$L$54</definedName>
    <definedName name="CheckB4001a" localSheetId="10" hidden="1">Notes!$N$4308</definedName>
    <definedName name="CheckB4001b" localSheetId="10" hidden="1">Notes!$N$4317</definedName>
    <definedName name="CheckB4002" localSheetId="21" hidden="1">BalanceSheet!$L$51</definedName>
    <definedName name="CheckB4002" localSheetId="12" hidden="1">BS!$L$42</definedName>
    <definedName name="CheckB4002" localSheetId="3" hidden="1">preBS!$L$58</definedName>
    <definedName name="CheckB4002a" localSheetId="10" hidden="1">Notes!$N$4351</definedName>
    <definedName name="CheckB4015" localSheetId="21" hidden="1">BalanceSheet!$L$48</definedName>
    <definedName name="CheckB4015" localSheetId="12" hidden="1">BS!$L$39</definedName>
    <definedName name="CheckB4015" localSheetId="3" hidden="1">preBS!$L$55</definedName>
    <definedName name="CheckB4015a" localSheetId="10" hidden="1">Notes!$N$4340</definedName>
    <definedName name="CheckB4015b" localSheetId="10" hidden="1">Notes!$N$4330</definedName>
    <definedName name="CheckB4101" localSheetId="21" hidden="1">BalanceSheet!$L$55</definedName>
    <definedName name="CheckB4101" localSheetId="12" hidden="1">BS!$L$46</definedName>
    <definedName name="CheckB4101" localSheetId="3" hidden="1">preBS!$L$62</definedName>
    <definedName name="CheckB4101a" localSheetId="10" hidden="1">Notes!$N$4437</definedName>
    <definedName name="CheckB4101b" localSheetId="10" hidden="1">Notes!$N$4424</definedName>
    <definedName name="CheckB4102" localSheetId="21" hidden="1">BalanceSheet!$L$56</definedName>
    <definedName name="CheckB4102" localSheetId="12" hidden="1">BS!$L$47</definedName>
    <definedName name="CheckB4102" localSheetId="3" hidden="1">preBS!$L$63</definedName>
    <definedName name="CheckB4102a" localSheetId="10" hidden="1">Notes!$N$4449</definedName>
    <definedName name="CheckB4200" localSheetId="21" hidden="1">BalanceSheet!$L$57</definedName>
    <definedName name="CheckB4200" localSheetId="12" hidden="1">BS!$L$48</definedName>
    <definedName name="CheckB4200" localSheetId="3" hidden="1">preBS!$L$64</definedName>
    <definedName name="CheckB4200a" localSheetId="10" hidden="1">Notes!$N$4457</definedName>
    <definedName name="CheckB4200b" localSheetId="10" hidden="1">Notes!$N$4474</definedName>
    <definedName name="CheckB4201" localSheetId="21" hidden="1">BalanceSheet!$L$52</definedName>
    <definedName name="CheckB4201" localSheetId="12" hidden="1">BS!$L$43</definedName>
    <definedName name="CheckB4201" localSheetId="3" hidden="1">preBS!$L$59</definedName>
    <definedName name="CheckB4201a" localSheetId="10" hidden="1">Notes!$N$4360</definedName>
    <definedName name="CheckB4215" localSheetId="21" hidden="1">BalanceSheet!$L$53</definedName>
    <definedName name="CheckB4215" localSheetId="12" hidden="1">BS!$L$44</definedName>
    <definedName name="CheckB4215" localSheetId="3" hidden="1">preBS!$L$60</definedName>
    <definedName name="CheckB4215a" localSheetId="10" hidden="1">Notes!$N$4392</definedName>
    <definedName name="CheckB4215b" localSheetId="10" hidden="1">Notes!$N$4367</definedName>
    <definedName name="CheckB4298" localSheetId="3" hidden="1">preBS!$L$65</definedName>
    <definedName name="CheckB4301" localSheetId="21" hidden="1">BalanceSheet!$L$54</definedName>
    <definedName name="CheckB4301" localSheetId="12" hidden="1">BS!$L$45</definedName>
    <definedName name="CheckB4301" localSheetId="3" hidden="1">preBS!$L$61</definedName>
    <definedName name="CheckB4301a" localSheetId="10" hidden="1">Notes!$N$4413</definedName>
    <definedName name="CheckB4398" localSheetId="3" hidden="1">preBS!$L$66</definedName>
    <definedName name="CheckB4999" localSheetId="21" hidden="1">BalanceSheet!$L$58</definedName>
    <definedName name="CheckB4999" localSheetId="12" hidden="1">BS!$L$49</definedName>
    <definedName name="CheckB4999" localSheetId="3" hidden="1">preBS!$L$67</definedName>
    <definedName name="CheckB5000" localSheetId="21" hidden="1">BalanceSheet!$L$59</definedName>
    <definedName name="CheckB5000" localSheetId="12" hidden="1">BS!$L$50</definedName>
    <definedName name="CheckB5000" localSheetId="3" hidden="1">preBS!$L$68</definedName>
    <definedName name="CheckB6001x" localSheetId="10" hidden="1">Notes!$N$4612</definedName>
    <definedName name="CheckB6064a" localSheetId="10" hidden="1">Notes!$N$4498</definedName>
    <definedName name="CheckB6064b" localSheetId="10" hidden="1">Notes!$N$4507</definedName>
    <definedName name="CheckB6064c" localSheetId="10" hidden="1">Notes!$N$4516</definedName>
    <definedName name="CheckB6064d" localSheetId="10" hidden="1">Notes!$N$4540</definedName>
    <definedName name="CheckB6064e" localSheetId="10" hidden="1">Notes!$N$4563</definedName>
    <definedName name="CheckB6064f" localSheetId="10" hidden="1">Notes!$N$4582</definedName>
    <definedName name="CheckB6064g" localSheetId="10" hidden="1">Notes!$N$4597</definedName>
    <definedName name="CheckB6064h" localSheetId="10" hidden="1">Notes!$N$4488</definedName>
    <definedName name="CheckB6101a" localSheetId="10" hidden="1">Notes!$N$4849</definedName>
    <definedName name="CheckB6101b" localSheetId="10" hidden="1">Notes!$N$4836</definedName>
    <definedName name="CheckB6102a" localSheetId="10" hidden="1">Notes!$N$4822</definedName>
    <definedName name="CheckB6111a" localSheetId="10" hidden="1">Notes!$N$4799</definedName>
    <definedName name="CheckB6171a" localSheetId="10" hidden="1">Notes!$N$4899</definedName>
    <definedName name="CheckB6181a" localSheetId="10" hidden="1">Notes!$N$4776</definedName>
    <definedName name="CheckB6401x" localSheetId="10" hidden="1">Notes!$N$4622</definedName>
    <definedName name="CheckB6600a" localSheetId="10" hidden="1">Notes!$N$4633</definedName>
    <definedName name="CheckB6600x" localSheetId="10" hidden="1">Notes!$N$4652</definedName>
    <definedName name="CheckB6601a" localSheetId="10" hidden="1">Notes!$N$4663</definedName>
    <definedName name="CheckB6601x" localSheetId="10" hidden="1">Notes!$N$4683</definedName>
    <definedName name="CheckB6602a" localSheetId="10" hidden="1">Notes!$N$4694</definedName>
    <definedName name="CheckB6602x" localSheetId="10" hidden="1">Notes!$N$4714</definedName>
    <definedName name="CheckB6603a" localSheetId="10" hidden="1">Notes!$N$4750</definedName>
    <definedName name="CheckB6603x" localSheetId="10" hidden="1">Notes!$N$4765</definedName>
    <definedName name="CheckB6606a" localSheetId="10" hidden="1">Notes!$N$4725</definedName>
    <definedName name="CheckB6606x" localSheetId="10" hidden="1">Notes!$N$4736</definedName>
    <definedName name="CheckB6671a" localSheetId="10" hidden="1">Notes!$N$4877</definedName>
    <definedName name="CheckB6672a" localSheetId="10" hidden="1">Notes!$N$4863</definedName>
    <definedName name="CheckB6710a" localSheetId="10" hidden="1">Notes!$N$4914</definedName>
    <definedName name="CheckB6710b" localSheetId="10" hidden="1">Notes!$N$4927</definedName>
    <definedName name="CheckB6711a" localSheetId="10" hidden="1">Notes!$N$4945</definedName>
    <definedName name="CheckB6791a" localSheetId="10" hidden="1">Notes!$N$4958</definedName>
    <definedName name="CheckB6791b" localSheetId="10" hidden="1">Notes!$N$4966</definedName>
    <definedName name="CheckB6799" localSheetId="22" hidden="1">IncomeStatement!$F$43</definedName>
    <definedName name="CheckB6799" localSheetId="13" hidden="1">IS!$F$30</definedName>
    <definedName name="CheckB6799" localSheetId="4" hidden="1">preIS!$F$45</definedName>
    <definedName name="CheckB6811" localSheetId="4" hidden="1">preIS!$F$50</definedName>
    <definedName name="CheckB6812" localSheetId="4" hidden="1">preIS!$F$51</definedName>
    <definedName name="CheckB6829" localSheetId="22" hidden="1">IncomeStatement!$F$46</definedName>
    <definedName name="CheckB6829" localSheetId="13" hidden="1">IS!$F$33</definedName>
    <definedName name="CheckB6829" localSheetId="4" hidden="1">preIS!$F$52</definedName>
    <definedName name="CheckB6839" localSheetId="22" hidden="1">IncomeStatement!$F$65</definedName>
    <definedName name="CheckB6839" localSheetId="13" hidden="1">IS!$F$52</definedName>
    <definedName name="CheckB6839" localSheetId="4" hidden="1">preIS!$F$74</definedName>
    <definedName name="CheckB6841" localSheetId="4" hidden="1">preIS!$F$75</definedName>
    <definedName name="CheckB6842" localSheetId="4" hidden="1">preIS!$F$76</definedName>
    <definedName name="CheckB7001x" localSheetId="10" hidden="1">Notes!$N$5869</definedName>
    <definedName name="CheckB7046a" localSheetId="10" hidden="1">Notes!$N$5021</definedName>
    <definedName name="CheckB7046x" localSheetId="10" hidden="1">Notes!$N$5880</definedName>
    <definedName name="CheckB7051x" localSheetId="10" hidden="1">Notes!$N$5891</definedName>
    <definedName name="CheckB7061x" localSheetId="10" hidden="1">Notes!$N$5902</definedName>
    <definedName name="CheckB7071x" localSheetId="10" hidden="1">Notes!$N$5913</definedName>
    <definedName name="CheckB7096a" localSheetId="10" hidden="1">Notes!$N$5037</definedName>
    <definedName name="CheckB7096x" localSheetId="10" hidden="1">Notes!$N$5924</definedName>
    <definedName name="CheckB7099" localSheetId="23" hidden="1">CashFlow!$F$33</definedName>
    <definedName name="CheckB7099" localSheetId="14" hidden="1">CF!$F$17</definedName>
    <definedName name="CheckB7099" localSheetId="5" hidden="1">preCF!$F$35</definedName>
    <definedName name="CheckB7101x" localSheetId="10" hidden="1">Notes!$N$5935</definedName>
    <definedName name="CheckB7105x" localSheetId="10" hidden="1">Notes!$N$5946</definedName>
    <definedName name="CheckB7111x" localSheetId="10" hidden="1">Notes!$N$5957</definedName>
    <definedName name="CheckB7146a" localSheetId="10" hidden="1">Notes!$N$5053</definedName>
    <definedName name="CheckB7151x" localSheetId="10" hidden="1">Notes!$N$5976</definedName>
    <definedName name="CheckB7161x" localSheetId="10" hidden="1">Notes!$N$5997</definedName>
    <definedName name="CheckB7196a" localSheetId="10" hidden="1">Notes!$N$5064</definedName>
    <definedName name="CheckB7211x" localSheetId="10" hidden="1">Notes!$N$6008</definedName>
    <definedName name="CheckB7246a" localSheetId="10" hidden="1">Notes!$N$5075</definedName>
    <definedName name="CheckB7251x" localSheetId="10" hidden="1">Notes!$N$6020</definedName>
    <definedName name="CheckB7261x" localSheetId="10" hidden="1">Notes!$N$6032</definedName>
    <definedName name="CheckB7296a" localSheetId="10" hidden="1">Notes!$N$5086</definedName>
    <definedName name="CheckB7348" localSheetId="23" hidden="1">CashFlow!$F$59</definedName>
    <definedName name="CheckB7348" localSheetId="14" hidden="1">CF!$F$42</definedName>
    <definedName name="CheckB7348" localSheetId="5" hidden="1">preCF!$F$63</definedName>
    <definedName name="CheckB7349" localSheetId="23" hidden="1">CashFlow!$F$60</definedName>
    <definedName name="CheckB7349" localSheetId="14" hidden="1">CF!$F$43</definedName>
    <definedName name="CheckB7349" localSheetId="5" hidden="1">preCF!$F$64</definedName>
    <definedName name="CheckB7399" localSheetId="23" hidden="1">CashFlow!$F$61</definedName>
    <definedName name="CheckB7399" localSheetId="14" hidden="1">CF!$F$44</definedName>
    <definedName name="CheckB7399" localSheetId="5" hidden="1">preCF!$F$65</definedName>
    <definedName name="CheckB7500a" localSheetId="10" hidden="1">Notes!$N$5097</definedName>
    <definedName name="CheckB7500b" localSheetId="10" hidden="1">Notes!$N$5120</definedName>
    <definedName name="CheckB7500c" localSheetId="10" hidden="1">Notes!$N$5128</definedName>
    <definedName name="CheckB7500e" localSheetId="10" hidden="1">Notes!$N$5157</definedName>
    <definedName name="CheckB7500f" localSheetId="10" hidden="1">Notes!$N$5173</definedName>
    <definedName name="CheckB7500g" localSheetId="10" hidden="1">Notes!$N$5137</definedName>
    <definedName name="CheckB7500h" localSheetId="10" hidden="1">Notes!$N$5147</definedName>
    <definedName name="CheckB7502" localSheetId="23" hidden="1">CashFlow!$F$68</definedName>
    <definedName name="CheckB7502" localSheetId="14" hidden="1">CF!$F$51</definedName>
    <definedName name="CheckB7502" localSheetId="5" hidden="1">preCF!$F$71</definedName>
    <definedName name="CheckB7503a" localSheetId="10" hidden="1">Notes!$N$6055</definedName>
    <definedName name="CheckB7505a" localSheetId="10" hidden="1">Notes!$N$6064</definedName>
    <definedName name="CheckB7506a" localSheetId="10" hidden="1">Notes!$N$6075</definedName>
    <definedName name="CheckB7507a" localSheetId="10" hidden="1">Notes!$N$6084</definedName>
    <definedName name="CheckB7508a" localSheetId="10" hidden="1">Notes!$N$6093</definedName>
    <definedName name="CheckB7509a" localSheetId="10" hidden="1">Notes!$N$6107</definedName>
    <definedName name="CheckB7510a" localSheetId="10" hidden="1">Notes!$N$6117</definedName>
    <definedName name="CheckB7511a" localSheetId="10" hidden="1">Notes!$N$6126</definedName>
    <definedName name="CheckB7512a" localSheetId="10" hidden="1">Notes!$N$6137</definedName>
    <definedName name="CheckB7515a" localSheetId="10" hidden="1">Notes!$N$6146</definedName>
    <definedName name="CheckB7516a" localSheetId="10" hidden="1">Notes!$N$6155</definedName>
    <definedName name="CheckB7517a" localSheetId="10" hidden="1">Notes!$N$6164</definedName>
    <definedName name="CheckB7518a" localSheetId="10" hidden="1">Notes!$N$6186</definedName>
    <definedName name="CheckB7519a" localSheetId="10" hidden="1">Notes!$N$6213</definedName>
    <definedName name="CheckB7523a" localSheetId="10" hidden="1">Notes!$N$6242</definedName>
    <definedName name="CheckB7525" localSheetId="23" hidden="1">CashFlow!$F$85</definedName>
    <definedName name="CheckB7525" localSheetId="14" hidden="1">CF!$F$68</definedName>
    <definedName name="CheckB7525" localSheetId="5" hidden="1">preCF!$F$88</definedName>
    <definedName name="CheckB7539" localSheetId="23" hidden="1">CashFlow!$F$95</definedName>
    <definedName name="CheckB7539" localSheetId="14" hidden="1">CF!$F$78</definedName>
    <definedName name="CheckB7539" localSheetId="5" hidden="1">preCF!$F$98</definedName>
    <definedName name="CheckB8001" localSheetId="15" hidden="1">CE!$AC$9</definedName>
    <definedName name="CheckB8001" localSheetId="24" hidden="1">OwnersEquity!$AC$9</definedName>
    <definedName name="CheckB8001" localSheetId="7" hidden="1">preCE!$AE$9</definedName>
    <definedName name="CheckB8040" localSheetId="15" hidden="1">CE!$AC$15</definedName>
    <definedName name="CheckB8040" localSheetId="24" hidden="1">OwnersEquity!$AC$15</definedName>
    <definedName name="CheckB8040" localSheetId="7" hidden="1">preCE!$AE$18</definedName>
    <definedName name="CheckB8099" localSheetId="15" hidden="1">CE!$AC$36</definedName>
    <definedName name="CheckB8099" localSheetId="24" hidden="1">OwnersEquity!$AC$37</definedName>
    <definedName name="CheckB8099" localSheetId="7" hidden="1">preCE!$AE$40</definedName>
    <definedName name="CheckB8101" localSheetId="15" hidden="1">CE!$Q$9</definedName>
    <definedName name="CheckB8101" localSheetId="24" hidden="1">OwnersEquity!$Q$9</definedName>
    <definedName name="CheckB8101" localSheetId="7" hidden="1">preCE!$R$9</definedName>
    <definedName name="CheckB8199" localSheetId="15" hidden="1">CE!$Q$36</definedName>
    <definedName name="CheckB8199" localSheetId="24" hidden="1">OwnersEquity!$Q$37</definedName>
    <definedName name="CheckB8199" localSheetId="7" hidden="1">preCE!$R$40</definedName>
    <definedName name="CheckB8201" localSheetId="15" hidden="1">CE!$U$9</definedName>
    <definedName name="CheckB8201" localSheetId="24" hidden="1">OwnersEquity!$U$9</definedName>
    <definedName name="CheckB8201" localSheetId="7" hidden="1">preCE!$V$9</definedName>
    <definedName name="CheckB8299" localSheetId="15" hidden="1">CE!$U$36</definedName>
    <definedName name="CheckB8299" localSheetId="24" hidden="1">OwnersEquity!$U$37</definedName>
    <definedName name="CheckB8299" localSheetId="7" hidden="1">preCE!$V$40</definedName>
    <definedName name="CheckB8301" localSheetId="15" hidden="1">CE!$V$9</definedName>
    <definedName name="CheckB8301" localSheetId="24" hidden="1">OwnersEquity!$V$9</definedName>
    <definedName name="CheckB8301" localSheetId="7" hidden="1">preCE!$W$9</definedName>
    <definedName name="CheckB8399" localSheetId="15" hidden="1">CE!$V$36</definedName>
    <definedName name="CheckB8399" localSheetId="24" hidden="1">OwnersEquity!$V$37</definedName>
    <definedName name="CheckB8399" localSheetId="7" hidden="1">preCE!$W$40</definedName>
    <definedName name="CheckB8401" localSheetId="15" hidden="1">CE!$X$9</definedName>
    <definedName name="CheckB8401" localSheetId="24" hidden="1">OwnersEquity!$X$9</definedName>
    <definedName name="CheckB8401" localSheetId="7" hidden="1">preCE!$Y$9</definedName>
    <definedName name="CheckB8499" localSheetId="15" hidden="1">CE!$X$36</definedName>
    <definedName name="CheckB8499" localSheetId="24" hidden="1">OwnersEquity!$X$37</definedName>
    <definedName name="CheckB8499" localSheetId="7" hidden="1">preCE!$Y$40</definedName>
    <definedName name="CheckB8501" localSheetId="15" hidden="1">CE!$Y$9</definedName>
    <definedName name="CheckB8501" localSheetId="24" hidden="1">OwnersEquity!$Y$9</definedName>
    <definedName name="CheckB8501" localSheetId="7" hidden="1">preCE!$Z$9</definedName>
    <definedName name="CheckB8599" localSheetId="15" hidden="1">CE!$Y$36</definedName>
    <definedName name="CheckB8599" localSheetId="24" hidden="1">OwnersEquity!$Y$37</definedName>
    <definedName name="CheckB8599" localSheetId="7" hidden="1">preCE!$Z$40</definedName>
    <definedName name="CheckB8601" localSheetId="24" hidden="1">OwnersEquity!$Z$9</definedName>
    <definedName name="CheckB8601" localSheetId="7" hidden="1">preCE!$AA$9</definedName>
    <definedName name="CheckB8699" localSheetId="15" hidden="1">CE!$Z$36</definedName>
    <definedName name="CheckB8699" localSheetId="24" hidden="1">OwnersEquity!$Z$37</definedName>
    <definedName name="CheckB8699" localSheetId="7" hidden="1">preCE!$AA$40</definedName>
    <definedName name="CheckB8701" localSheetId="15" hidden="1">CE!$AA$9</definedName>
    <definedName name="CheckB8701" localSheetId="24" hidden="1">OwnersEquity!$AA$9</definedName>
    <definedName name="CheckB8701" localSheetId="7" hidden="1">preCE!$AB$9</definedName>
    <definedName name="CheckB8740" localSheetId="15" hidden="1">CE!$AA$15</definedName>
    <definedName name="CheckB8740" localSheetId="24" hidden="1">OwnersEquity!$AA$15</definedName>
    <definedName name="CheckB8740" localSheetId="7" hidden="1">preCE!$AB$18</definedName>
    <definedName name="CheckB8799" localSheetId="15" hidden="1">CE!$AA$36</definedName>
    <definedName name="CheckB8799" localSheetId="24" hidden="1">OwnersEquity!$AA$37</definedName>
    <definedName name="CheckB8799" localSheetId="7" hidden="1">preCE!$AB$40</definedName>
    <definedName name="CheckB8801" localSheetId="15" hidden="1">CE!$AB$9</definedName>
    <definedName name="CheckB8801" localSheetId="24" hidden="1">OwnersEquity!$AB$9</definedName>
    <definedName name="CheckB8801" localSheetId="7" hidden="1">preCE!$AC$9</definedName>
    <definedName name="CheckB8899" localSheetId="15" hidden="1">CE!$AB$36</definedName>
    <definedName name="CheckB8899" localSheetId="24"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5" hidden="1">CE!$R$9</definedName>
    <definedName name="CheckB8b01" localSheetId="24" hidden="1">OwnersEquity!$R$9</definedName>
    <definedName name="CheckB8b99" localSheetId="15" hidden="1">CE!$R$36</definedName>
    <definedName name="CheckB8b99" localSheetId="24" hidden="1">OwnersEquity!$R$37</definedName>
    <definedName name="CheckB8b99" localSheetId="7" hidden="1">preCE!$S$40</definedName>
    <definedName name="CheckB8c01" localSheetId="15" hidden="1">CE!$S$9</definedName>
    <definedName name="CheckB8c01" localSheetId="24" hidden="1">OwnersEquity!$S$9</definedName>
    <definedName name="CheckB8c01" localSheetId="7" hidden="1">preCE!$T$9</definedName>
    <definedName name="CheckB8c99" localSheetId="15" hidden="1">CE!$S$36</definedName>
    <definedName name="CheckB8c99" localSheetId="24" hidden="1">OwnersEquity!$S$37</definedName>
    <definedName name="CheckB8c99" localSheetId="7" hidden="1">preCE!$T$40</definedName>
    <definedName name="CheckB8d01" localSheetId="15" hidden="1">CE!$T$9</definedName>
    <definedName name="CheckB8d01" localSheetId="24" hidden="1">OwnersEquity!$T$9</definedName>
    <definedName name="CheckB8d01" localSheetId="7" hidden="1">preCE!$U$9</definedName>
    <definedName name="CheckB8d99" localSheetId="15" hidden="1">CE!$T$36</definedName>
    <definedName name="CheckB8d99" localSheetId="24" hidden="1">OwnersEquity!$T$37</definedName>
    <definedName name="CheckB8d99" localSheetId="7" hidden="1">preCE!$U$40</definedName>
    <definedName name="CheckB8g01" localSheetId="15" hidden="1">CE!$W$9</definedName>
    <definedName name="CheckB8g01" localSheetId="24" hidden="1">OwnersEquity!$W$9</definedName>
    <definedName name="CheckB8g01" localSheetId="7" hidden="1">preCE!$X$9</definedName>
    <definedName name="CheckB8g40" localSheetId="15" hidden="1">CE!$W$15</definedName>
    <definedName name="CheckB8g40" localSheetId="24" hidden="1">OwnersEquity!$W$15</definedName>
    <definedName name="CheckB8g40" localSheetId="7" hidden="1">preCE!$X$18</definedName>
    <definedName name="CheckB8g99" localSheetId="15" hidden="1">CE!$W$36</definedName>
    <definedName name="CheckB8g99" localSheetId="24" hidden="1">OwnersEquity!$W$37</definedName>
    <definedName name="CheckB8g99" localSheetId="7" hidden="1">preCE!$X$40</definedName>
    <definedName name="CheckB9120c" localSheetId="10" hidden="1">Notes!$N$5648</definedName>
    <definedName name="CheckB9120d" localSheetId="10" hidden="1">Notes!$N$5658</definedName>
    <definedName name="CheckB9120e" localSheetId="10" hidden="1">Notes!$N$5668</definedName>
    <definedName name="CheckB9120f" localSheetId="10" hidden="1">Notes!$N$5678</definedName>
    <definedName name="CheckB9120g" localSheetId="10" hidden="1">Notes!$N$5688</definedName>
    <definedName name="CheckB9120h" localSheetId="10" hidden="1">Notes!$N$5698</definedName>
    <definedName name="CheckB9120i" localSheetId="10" hidden="1">Notes!$N$5708</definedName>
    <definedName name="CheckB9120j" localSheetId="10" hidden="1">Notes!$N$5718</definedName>
    <definedName name="CheckB9120k" localSheetId="10" hidden="1">Notes!$N$5728</definedName>
    <definedName name="CheckB9120l" localSheetId="10" hidden="1">Notes!$N$5738</definedName>
    <definedName name="CheckB9120m" localSheetId="10" hidden="1">Notes!$N$5622</definedName>
    <definedName name="CheckB9120n" localSheetId="10" hidden="1">Notes!$N$5635</definedName>
    <definedName name="CheckB9120o" localSheetId="10" hidden="1">Notes!$N$5746</definedName>
    <definedName name="CheckB9120p" localSheetId="10" hidden="1">Notes!$N$5761</definedName>
    <definedName name="CheckB9314a" localSheetId="10" hidden="1">Notes!$N$5184</definedName>
    <definedName name="CheckB9325g" localSheetId="10" hidden="1">Notes!$N$5320</definedName>
    <definedName name="CheckB9325h" localSheetId="10" hidden="1">Notes!$N$5337</definedName>
    <definedName name="CheckB9325i" localSheetId="10" hidden="1">Notes!$N$5354</definedName>
    <definedName name="CheckB9325j" localSheetId="10" hidden="1">Notes!$N$5370</definedName>
    <definedName name="CheckB9325k" localSheetId="10" hidden="1">Notes!$N$5386</definedName>
    <definedName name="CheckB9325m" localSheetId="10" hidden="1">Notes!$N$5420</definedName>
    <definedName name="CheckB9331a" localSheetId="10" hidden="1">Notes!$N$5455</definedName>
    <definedName name="CheckB9331b" localSheetId="10" hidden="1">Notes!$N$5602</definedName>
    <definedName name="CheckB9331g" localSheetId="10" hidden="1">Notes!$N$5576</definedName>
    <definedName name="CheckB9331i" localSheetId="10" hidden="1">Notes!$N$5549</definedName>
    <definedName name="CheckB9331j" localSheetId="10" hidden="1">Notes!$N$5558</definedName>
    <definedName name="CheckB9331k" localSheetId="10" hidden="1">Notes!$N$5501</definedName>
    <definedName name="CheckB9367a" localSheetId="10" hidden="1">Notes!$N$5775</definedName>
    <definedName name="CheckB9367b" localSheetId="10" hidden="1">Notes!$N$5796</definedName>
    <definedName name="CheckB9371h" localSheetId="10" hidden="1">Notes!$N$5276</definedName>
    <definedName name="CheckB9371i" localSheetId="10" hidden="1">Notes!$N$5291</definedName>
    <definedName name="CheckB9371j" localSheetId="10" hidden="1">Notes!$N$5306</definedName>
    <definedName name="CheckB9601a" localSheetId="10" hidden="1">Notes!$N$5805</definedName>
    <definedName name="CheckB9601b" localSheetId="10" hidden="1">Notes!$N$5847</definedName>
    <definedName name="CheckB9601c" localSheetId="10" hidden="1">Notes!$N$5837</definedName>
    <definedName name="CheckB9601d" localSheetId="10" hidden="1">Notes!$N$5857</definedName>
    <definedName name="CheckB9690a" localSheetId="10" hidden="1">Notes!$N$4985</definedName>
    <definedName name="CheckB9690b" localSheetId="10" hidden="1">Notes!$N$4999</definedName>
    <definedName name="CheckB9690c" localSheetId="10" hidden="1">Notes!$N$5009</definedName>
    <definedName name="client">#N/A</definedName>
    <definedName name="COLUMN_NO">#N/A</definedName>
    <definedName name="Coname">#N/A</definedName>
    <definedName name="CP">#N/A</definedName>
    <definedName name="CS" hidden="1">{#N/A,#N/A,FALSE,"BBPREP"}</definedName>
    <definedName name="CTB">#N/A</definedName>
    <definedName name="current_asset">#N/A</definedName>
    <definedName name="currentyear">#N/A</definedName>
    <definedName name="C产品">#N/A</definedName>
    <definedName name="d">#N/A</definedName>
    <definedName name="D999.">#N/A</definedName>
    <definedName name="DATA">#N/A</definedName>
    <definedName name="_xlnm.Database">#N/A</definedName>
    <definedName name="Database_Notes" localSheetId="27" hidden="1">STATDATA!$R$1:$AB$1</definedName>
    <definedName name="Database_Parameters" localSheetId="27" hidden="1">STATDATA!$L$1:$M$30</definedName>
    <definedName name="Database_Trialbal" localSheetId="27" hidden="1">STATDATA!$A$1:$I$1</definedName>
    <definedName name="datafile">#N/A</definedName>
    <definedName name="DayNo">#N/A</definedName>
    <definedName name="db">#N/A</definedName>
    <definedName name="DEX" hidden="1">#N/A</definedName>
    <definedName name="dgs">#N/A</definedName>
    <definedName name="DYB0503AB1">#N/A</definedName>
    <definedName name="DYF0316AF1">#N/A</definedName>
    <definedName name="DYF0316AF3">#N/A</definedName>
    <definedName name="DYF1616AF1">#N/A</definedName>
    <definedName name="DYF1616AF3">#N/A</definedName>
    <definedName name="DYF6907AS4" hidden="1">#N/A</definedName>
    <definedName name="DYF6907AS5" hidden="1">#N/A</definedName>
    <definedName name="DYF6969AF6" hidden="1">#N/A</definedName>
    <definedName name="DYF7407AS4" hidden="1">#N/A</definedName>
    <definedName name="DYF7407AS5" hidden="1">#N/A</definedName>
    <definedName name="DYF7474AF13" hidden="1">#N/A</definedName>
    <definedName name="DYF7474AF14" hidden="1">#N/A</definedName>
    <definedName name="DYF7474AF15" hidden="1">#N/A</definedName>
    <definedName name="DYF7474AF16" hidden="1">#N/A</definedName>
    <definedName name="DYF7474AF17" hidden="1">#N/A</definedName>
    <definedName name="DYF7474AF25" hidden="1">#N/A</definedName>
    <definedName name="DYF7474AF27" hidden="1">#N/A</definedName>
    <definedName name="DYF7474AF28" hidden="1">#N/A</definedName>
    <definedName name="DYF7474AF4" hidden="1">#N/A</definedName>
    <definedName name="DYF7575AF10" hidden="1">#N/A</definedName>
    <definedName name="DYF7575AF11" hidden="1">#N/A</definedName>
    <definedName name="DYF7575AF12" hidden="1">#N/A</definedName>
    <definedName name="DYF7575AF26" hidden="1">#N/A</definedName>
    <definedName name="DYF7604AS8" hidden="1">#N/A</definedName>
    <definedName name="DYF7607AS20" hidden="1">#N/A</definedName>
    <definedName name="DYF7607AS4" hidden="1">#N/A</definedName>
    <definedName name="DYF7607AS5" hidden="1">#N/A</definedName>
    <definedName name="DYF7669AF6" hidden="1">#N/A</definedName>
    <definedName name="DYF7674AF13" hidden="1">#N/A</definedName>
    <definedName name="DYF7674AF14" hidden="1">#N/A</definedName>
    <definedName name="DYF7674AF17" hidden="1">#N/A</definedName>
    <definedName name="DYF7675AF10" hidden="1">#N/A</definedName>
    <definedName name="DYF7675AF11" hidden="1">#N/A</definedName>
    <definedName name="DYF7675AF26" hidden="1">#N/A</definedName>
    <definedName name="DYF8383AF3" hidden="1">#N/A</definedName>
    <definedName name="DYF8686AF22" hidden="1">#N/A</definedName>
    <definedName name="DYS0303AS1" hidden="1">#N/A</definedName>
    <definedName name="DYS0303AS21" hidden="1">#N/A</definedName>
    <definedName name="DYS0404AS8" hidden="1">#N/A</definedName>
    <definedName name="DYS0503AS1" hidden="1">#N/A</definedName>
    <definedName name="DYS0503AS21" hidden="1">#N/A</definedName>
    <definedName name="DYS0707AS20" hidden="1">#N/A</definedName>
    <definedName name="DYS0707AS23" hidden="1">#N/A</definedName>
    <definedName name="DYS0707AS24" hidden="1">#N/A</definedName>
    <definedName name="DYS0707AS4" hidden="1">#N/A</definedName>
    <definedName name="DYS0707AS5" hidden="1">#N/A</definedName>
    <definedName name="DYS0786AF22" hidden="1">#N/A</definedName>
    <definedName name="DYS0807AS24" hidden="1">#N/A</definedName>
    <definedName name="DYS0983AF3" hidden="1">#N/A</definedName>
    <definedName name="D产品">#N/A</definedName>
    <definedName name="E">#N/A</definedName>
    <definedName name="EAS_Range_AccountDrCr" localSheetId="36">'9000A错报程序表'!$C$1</definedName>
    <definedName name="EAS_Range_AccountDrCr" localSheetId="39">'9000B对错报性质的评价'!$C$1</definedName>
    <definedName name="EAS_Range_AccountDrCr" localSheetId="40">'9000C错报评价'!$C$1</definedName>
    <definedName name="EAS_Range_AccountDrCr" localSheetId="41">'9000D对错报的沟通'!$C$1</definedName>
    <definedName name="EAS_Range_AccountDrCr" localSheetId="37">'9002B未更正错报（不包括披露错报）汇总表'!$C$1</definedName>
    <definedName name="EAS_Range_AccountDrCr" localSheetId="38">'9002C未更正披露错报汇总表'!$C$1</definedName>
    <definedName name="EAS_Range_AccountName" localSheetId="36">'9000A错报程序表'!$A$4</definedName>
    <definedName name="EAS_Range_AccountName" localSheetId="39">'9000B对错报性质的评价'!$A$4</definedName>
    <definedName name="EAS_Range_AccountName" localSheetId="40">'9000C错报评价'!$A$4</definedName>
    <definedName name="EAS_Range_AccountName" localSheetId="41">'9000D对错报的沟通'!$A$4</definedName>
    <definedName name="EAS_Range_AccountName" localSheetId="37">'9002B未更正错报（不包括披露错报）汇总表'!$A$4</definedName>
    <definedName name="EAS_Range_AccountName" localSheetId="38">'9002C未更正披露错报汇总表'!$A$4</definedName>
    <definedName name="EAS_Range_AuditProc" localSheetId="36">'9000A错报程序表'!$A$8:$K$26</definedName>
    <definedName name="EAS_Range_ClientName" localSheetId="36">'9000A错报程序表'!$B$3</definedName>
    <definedName name="EAS_Range_ClientName" localSheetId="39">'9000B对错报性质的评价'!$B$3</definedName>
    <definedName name="EAS_Range_ClientName" localSheetId="40">'9000C错报评价'!$B$3</definedName>
    <definedName name="EAS_Range_ClientName" localSheetId="41">'9000D对错报的沟通'!$B$3</definedName>
    <definedName name="EAS_Range_ClientName" localSheetId="37">'9002B未更正错报（不包括披露错报）汇总表'!$B$3</definedName>
    <definedName name="EAS_Range_ClientName" localSheetId="38">'9002C未更正披露错报汇总表'!$B$3</definedName>
    <definedName name="EAS_Range_PeriodEnd" localSheetId="36">'9000A错报程序表'!$B$5</definedName>
    <definedName name="EAS_Range_PeriodEnd" localSheetId="39">'9000B对错报性质的评价'!$B$5</definedName>
    <definedName name="EAS_Range_PeriodEnd" localSheetId="40">'9000C错报评价'!$B$5</definedName>
    <definedName name="EAS_Range_PeriodEnd" localSheetId="41">'9000D对错报的沟通'!$B$5</definedName>
    <definedName name="EAS_Range_PeriodEnd" localSheetId="37">'9002B未更正错报（不包括披露错报）汇总表'!$B$5</definedName>
    <definedName name="EAS_Range_PeriodEnd" localSheetId="38">'9002C未更正披露错报汇总表'!$B$5</definedName>
    <definedName name="EAS_Range_PreparedDate" localSheetId="36">'9000A错报程序表'!$A$2</definedName>
    <definedName name="EAS_Range_PreparedDate" localSheetId="39">'9000B对错报性质的评价'!$A$2</definedName>
    <definedName name="EAS_Range_PreparedDate" localSheetId="40">'9000C错报评价'!$A$2</definedName>
    <definedName name="EAS_Range_PreparedDate" localSheetId="41">'9000D对错报的沟通'!$A$2</definedName>
    <definedName name="EAS_Range_PreparedDate" localSheetId="37">'9002B未更正错报（不包括披露错报）汇总表'!$A$2</definedName>
    <definedName name="EAS_Range_PreparedDate" localSheetId="38">'9002C未更正披露错报汇总表'!$A$2</definedName>
    <definedName name="EAS_Range_Preparer" localSheetId="36">'9000A错报程序表'!$D$1</definedName>
    <definedName name="EAS_Range_Preparer" localSheetId="39">'9000B对错报性质的评价'!$D$1</definedName>
    <definedName name="EAS_Range_Preparer" localSheetId="40">'9000C错报评价'!$D$1</definedName>
    <definedName name="EAS_Range_Preparer" localSheetId="41">'9000D对错报的沟通'!$D$1</definedName>
    <definedName name="EAS_Range_Preparer" localSheetId="37">'9002B未更正错报（不包括披露错报）汇总表'!$D$1</definedName>
    <definedName name="EAS_Range_Preparer" localSheetId="38">'9002C未更正披露错报汇总表'!$D$1</definedName>
    <definedName name="EAS_Range_ReviewedDate" localSheetId="36">'9000A错报程序表'!$A$6</definedName>
    <definedName name="EAS_Range_ReviewedDate" localSheetId="39">'9000B对错报性质的评价'!$A$6</definedName>
    <definedName name="EAS_Range_ReviewedDate" localSheetId="40">'9000C错报评价'!$A$6</definedName>
    <definedName name="EAS_Range_ReviewedDate" localSheetId="41">'9000D对错报的沟通'!$A$6</definedName>
    <definedName name="EAS_Range_ReviewedDate" localSheetId="37">'9002B未更正错报（不包括披露错报）汇总表'!$A$6</definedName>
    <definedName name="EAS_Range_ReviewedDate" localSheetId="38">'9002C未更正披露错报汇总表'!$A$6</definedName>
    <definedName name="EAS_Range_Reviewer" localSheetId="36">'9000A错报程序表'!$A$5</definedName>
    <definedName name="EAS_Range_Reviewer" localSheetId="39">'9000B对错报性质的评价'!$A$5</definedName>
    <definedName name="EAS_Range_Reviewer" localSheetId="40">'9000C错报评价'!$A$5</definedName>
    <definedName name="EAS_Range_Reviewer" localSheetId="41">'9000D对错报的沟通'!$A$5</definedName>
    <definedName name="EAS_Range_Reviewer" localSheetId="37">'9002B未更正错报（不包括披露错报）汇总表'!$A$5</definedName>
    <definedName name="EAS_Range_Reviewer" localSheetId="38">'9002C未更正披露错报汇总表'!$A$5</definedName>
    <definedName name="EAS_Range_Subject" localSheetId="36">'9000A错报程序表'!$B$4</definedName>
    <definedName name="EAS_Range_Subject" localSheetId="39">'9000B对错报性质的评价'!$B$4</definedName>
    <definedName name="EAS_Range_Subject" localSheetId="40">'9000C错报评价'!$B$4</definedName>
    <definedName name="EAS_Range_Subject" localSheetId="41">'9000D对错报的沟通'!$B$4</definedName>
    <definedName name="EAS_Range_Subject" localSheetId="37">'9002B未更正错报（不包括披露错报）汇总表'!$B$4</definedName>
    <definedName name="EAS_Range_Subject" localSheetId="38">'9002C未更正披露错报汇总表'!$B$4</definedName>
    <definedName name="EAS_Range_TemplID" localSheetId="36">'9000A错报程序表'!$A$3</definedName>
    <definedName name="EAS_Range_TemplID" localSheetId="39">'9000B对错报性质的评价'!$A$3</definedName>
    <definedName name="EAS_Range_TemplID" localSheetId="40">'9000C错报评价'!$A$3</definedName>
    <definedName name="EAS_Range_TemplID" localSheetId="41">'9000D对错报的沟通'!$A$3</definedName>
    <definedName name="EAS_Range_TemplID" localSheetId="37">'9002B未更正错报（不包括披露错报）汇总表'!$A$3</definedName>
    <definedName name="EAS_Range_TemplID" localSheetId="38">'9002C未更正披露错报汇总表'!$A$3</definedName>
    <definedName name="EAS_Range_WPReference" localSheetId="36">'9000A错报程序表'!$B$1</definedName>
    <definedName name="EAS_Range_WPReference" localSheetId="39">'9000B对错报性质的评价'!$B$1</definedName>
    <definedName name="EAS_Range_WPReference" localSheetId="40">'9000C错报评价'!$B$1</definedName>
    <definedName name="EAS_Range_WPReference" localSheetId="41">'9000D对错报的沟通'!$B$1</definedName>
    <definedName name="EAS_Range_WPReference" localSheetId="37">'9002B未更正错报（不包括披露错报）汇总表'!$B$1</definedName>
    <definedName name="EAS_Range_WPReference" localSheetId="38">'9002C未更正披露错报汇总表'!$B$1</definedName>
    <definedName name="EAS_SheetType" localSheetId="36">"FSZ"</definedName>
    <definedName name="EAS_SheetType" localSheetId="39">"FSZ"</definedName>
    <definedName name="EAS_SheetType" localSheetId="40">"FSZ"</definedName>
    <definedName name="EAS_SheetType" localSheetId="41">"FSZ"</definedName>
    <definedName name="EAS_SheetType" localSheetId="37">"FSZ"</definedName>
    <definedName name="EAS_SheetType" localSheetId="38">"FSZ"</definedName>
    <definedName name="EAS_TemplVer" localSheetId="36" hidden="1">"19.09"</definedName>
    <definedName name="EAS_TemplVer" localSheetId="39" hidden="1">"19.09"</definedName>
    <definedName name="EAS_TemplVer" localSheetId="40" hidden="1">"19.09"</definedName>
    <definedName name="EAS_TemplVer" localSheetId="41" hidden="1">"19.09"</definedName>
    <definedName name="EAS_TemplVer" localSheetId="37" hidden="1">"19.09"</definedName>
    <definedName name="EAS_TemplVer" localSheetId="38" hidden="1">"19.09"</definedName>
    <definedName name="EDC" hidden="1">#N/A</definedName>
    <definedName name="EffectiveFrom">#N/A</definedName>
    <definedName name="EffectiveTo">#N/A</definedName>
    <definedName name="EndDay">#N/A</definedName>
    <definedName name="E产品">#N/A</definedName>
    <definedName name="FAD" hidden="1">#N/A</definedName>
    <definedName name="FASD" hidden="1">#N/A</definedName>
    <definedName name="FEDC" hidden="1">#N/A</definedName>
    <definedName name="fff">#N/A</definedName>
    <definedName name="fileno">#N/A</definedName>
    <definedName name="fix2000.dbf">#N/A</definedName>
    <definedName name="Fixed_assests">#N/A</definedName>
    <definedName name="fixlj2000.dbf">#N/A</definedName>
    <definedName name="fl01AS1" hidden="1">#N/A</definedName>
    <definedName name="fl03AS1" hidden="1">#N/A</definedName>
    <definedName name="fl03AS21" hidden="1">#N/A</definedName>
    <definedName name="fl04AF1" hidden="1">#N/A</definedName>
    <definedName name="fl04AS8" hidden="1">#N/A</definedName>
    <definedName name="fl07AS20" hidden="1">#N/A</definedName>
    <definedName name="fl07AS23" hidden="1">#N/A</definedName>
    <definedName name="fl07AS24" hidden="1">#N/A</definedName>
    <definedName name="fl07AS4" hidden="1">#N/A</definedName>
    <definedName name="fl07AS5" hidden="1">#N/A</definedName>
    <definedName name="fl11AF1">#N/A</definedName>
    <definedName name="fl16AF1">#N/A</definedName>
    <definedName name="fl24AP1" hidden="1">#N/A</definedName>
    <definedName name="fl69AF6" hidden="1">#N/A</definedName>
    <definedName name="fl74AF13" hidden="1">#N/A</definedName>
    <definedName name="fl74AF14" hidden="1">#N/A</definedName>
    <definedName name="fl74AF15" hidden="1">#N/A</definedName>
    <definedName name="fl74AF16" hidden="1">#N/A</definedName>
    <definedName name="fl74AF17" hidden="1">#N/A</definedName>
    <definedName name="fl74AF25" hidden="1">#N/A</definedName>
    <definedName name="fl74AF27" hidden="1">#N/A</definedName>
    <definedName name="fl74AF28" hidden="1">#N/A</definedName>
    <definedName name="fl75AF10" hidden="1">#N/A</definedName>
    <definedName name="fl75AF11" hidden="1">#N/A</definedName>
    <definedName name="fl75AF12" hidden="1">#N/A</definedName>
    <definedName name="fl75AF26" hidden="1">#N/A</definedName>
    <definedName name="fl83AF3" hidden="1">#N/A</definedName>
    <definedName name="fl86AF22" hidden="1">#N/A</definedName>
    <definedName name="FLnumber">0</definedName>
    <definedName name="FortuneGloryKao">#N/A</definedName>
    <definedName name="FortuneGloryLauKwong">#N/A</definedName>
    <definedName name="FortuneGloryLiuCheung">#N/A</definedName>
    <definedName name="FortuneGloryPeterLiu">#N/A</definedName>
    <definedName name="FortuneGloryWongHang">#N/A</definedName>
    <definedName name="FortuneGloryWongWai">#N/A</definedName>
    <definedName name="F产品">#N/A</definedName>
    <definedName name="GoldenDragonChanYinLing">#N/A</definedName>
    <definedName name="gong">#N/A</definedName>
    <definedName name="gy">#N/A</definedName>
    <definedName name="gz">#N/A</definedName>
    <definedName name="G产品">#N/A</definedName>
    <definedName name="head">#N/A</definedName>
    <definedName name="hhbb110">#N/A</definedName>
    <definedName name="hhbb111">#N/A</definedName>
    <definedName name="hhbb112">#N/A</definedName>
    <definedName name="hhbb113">#N/A</definedName>
    <definedName name="hhbb114">#N/A</definedName>
    <definedName name="hhbb115">#N/A</definedName>
    <definedName name="hhbb116">#N/A</definedName>
    <definedName name="hhbb117">#N/A</definedName>
    <definedName name="hhbb118">#N/A</definedName>
    <definedName name="hhbb119">#N/A</definedName>
    <definedName name="hhbb120">#N/A</definedName>
    <definedName name="hhbb121">#N/A</definedName>
    <definedName name="hhbb122">#N/A</definedName>
    <definedName name="hhbb123">#N/A</definedName>
    <definedName name="hhbb124">#N/A</definedName>
    <definedName name="hhbb125">#N/A</definedName>
    <definedName name="hhbb126">#N/A</definedName>
    <definedName name="hhbb127">#N/A</definedName>
    <definedName name="hhbb128">#N/A</definedName>
    <definedName name="hhbb129">#N/A</definedName>
    <definedName name="hhbb130">#N/A</definedName>
    <definedName name="hhbb131">#N/A</definedName>
    <definedName name="hhbb132">#N/A</definedName>
    <definedName name="hhbb133">#N/A</definedName>
    <definedName name="hhbb134">#N/A</definedName>
    <definedName name="hhbb135">#N/A</definedName>
    <definedName name="hhbb136">#N/A</definedName>
    <definedName name="hhbb137">#N/A</definedName>
    <definedName name="hhbb138">#N/A</definedName>
    <definedName name="hhbb139">#N/A</definedName>
    <definedName name="hhbb140">#N/A</definedName>
    <definedName name="hhbb141">#N/A</definedName>
    <definedName name="hhbb142">#N/A</definedName>
    <definedName name="hhbb143">#N/A</definedName>
    <definedName name="hhbb144">#N/A</definedName>
    <definedName name="hhbb145">#N/A</definedName>
    <definedName name="hhbb146">#N/A</definedName>
    <definedName name="hhbb147">#N/A</definedName>
    <definedName name="hhbb148">#N/A</definedName>
    <definedName name="hhbb149">#N/A</definedName>
    <definedName name="hhbb150">#N/A</definedName>
    <definedName name="hhbb151">#N/A</definedName>
    <definedName name="hhbb152">#N/A</definedName>
    <definedName name="hhbb153">#N/A</definedName>
    <definedName name="hhbb154">#N/A</definedName>
    <definedName name="hhbb155">#N/A</definedName>
    <definedName name="hhbb156">#N/A</definedName>
    <definedName name="hhbb157">#N/A</definedName>
    <definedName name="hhbb158">#N/A</definedName>
    <definedName name="hhbb159">#N/A</definedName>
    <definedName name="hhbb160">#N/A</definedName>
    <definedName name="hhbb161">#N/A</definedName>
    <definedName name="hhbb162">#N/A</definedName>
    <definedName name="hhbb163">#N/A</definedName>
    <definedName name="hhbb164">#N/A</definedName>
    <definedName name="hhbb165">#N/A</definedName>
    <definedName name="hhbb166">#N/A</definedName>
    <definedName name="hhbb167">#N/A</definedName>
    <definedName name="hhbb168">#N/A</definedName>
    <definedName name="hhbb169">#N/A</definedName>
    <definedName name="hhbb170">#N/A</definedName>
    <definedName name="hhbb171">#N/A</definedName>
    <definedName name="hhbb172">#N/A</definedName>
    <definedName name="hhbb173">#N/A</definedName>
    <definedName name="hhbb174">#N/A</definedName>
    <definedName name="hhbb175">#N/A</definedName>
    <definedName name="hhbb176">#N/A</definedName>
    <definedName name="hhbb177">#N/A</definedName>
    <definedName name="hhbb178">#N/A</definedName>
    <definedName name="hhbb179">#N/A</definedName>
    <definedName name="hhbb180">#N/A</definedName>
    <definedName name="hhbb181">#N/A</definedName>
    <definedName name="hhbb182">#N/A</definedName>
    <definedName name="hhbb183">#N/A</definedName>
    <definedName name="hhbb184">#N/A</definedName>
    <definedName name="hhbb185">#N/A</definedName>
    <definedName name="hhbb186">#N/A</definedName>
    <definedName name="hhbb187">#N/A</definedName>
    <definedName name="hhbb188">#N/A</definedName>
    <definedName name="hhbb189">#N/A</definedName>
    <definedName name="hhbb190">#N/A</definedName>
    <definedName name="hhbb191">#N/A</definedName>
    <definedName name="hhbb192">#N/A</definedName>
    <definedName name="hhbb193">#N/A</definedName>
    <definedName name="hhbb194">#N/A</definedName>
    <definedName name="hhbb195">#N/A</definedName>
    <definedName name="hhbb196">#N/A</definedName>
    <definedName name="hhbb197">#N/A</definedName>
    <definedName name="hhbb198">#N/A</definedName>
    <definedName name="hhbb199">#N/A</definedName>
    <definedName name="hhbb200">#N/A</definedName>
    <definedName name="hhbb201">#N/A</definedName>
    <definedName name="hhbb202">#N/A</definedName>
    <definedName name="hhbb203">#N/A</definedName>
    <definedName name="hhbb204">#N/A</definedName>
    <definedName name="hhbb205">#N/A</definedName>
    <definedName name="hhbb206">#N/A</definedName>
    <definedName name="hhbb207">#N/A</definedName>
    <definedName name="hhbb208">#N/A</definedName>
    <definedName name="hhbb209">#N/A</definedName>
    <definedName name="hhbb210">#N/A</definedName>
    <definedName name="hhbb211">#N/A</definedName>
    <definedName name="hhbb212">#N/A</definedName>
    <definedName name="hhbb213">#N/A</definedName>
    <definedName name="hhbb214">#N/A</definedName>
    <definedName name="hhbb215">#N/A</definedName>
    <definedName name="hhbb216">#N/A</definedName>
    <definedName name="hhbb217">#N/A</definedName>
    <definedName name="hhbb218">#N/A</definedName>
    <definedName name="hhbb219">#N/A</definedName>
    <definedName name="hhbb220">#N/A</definedName>
    <definedName name="hhbb221">#N/A</definedName>
    <definedName name="hhbb222">#N/A</definedName>
    <definedName name="hhbb223">#N/A</definedName>
    <definedName name="hhbb224">#N/A</definedName>
    <definedName name="hhbb225">#N/A</definedName>
    <definedName name="hhbb226">#N/A</definedName>
    <definedName name="hhbb227">#N/A</definedName>
    <definedName name="hhbb228">#N/A</definedName>
    <definedName name="hhbb229">#N/A</definedName>
    <definedName name="hhbb230">#N/A</definedName>
    <definedName name="hhbb231">#N/A</definedName>
    <definedName name="hhbb232">#N/A</definedName>
    <definedName name="hhbb233">#N/A</definedName>
    <definedName name="hhbb234">#N/A</definedName>
    <definedName name="hhbb235">#N/A</definedName>
    <definedName name="hhbb236">#N/A</definedName>
    <definedName name="hhbb237">#N/A</definedName>
    <definedName name="hhbb238">#N/A</definedName>
    <definedName name="hhbb239">#N/A</definedName>
    <definedName name="hhbb240">#N/A</definedName>
    <definedName name="hhbb241">#N/A</definedName>
    <definedName name="hhbb242">#N/A</definedName>
    <definedName name="hhbb243">#N/A</definedName>
    <definedName name="hhbb244">#N/A</definedName>
    <definedName name="hhbb245">#N/A</definedName>
    <definedName name="hhbb246">#N/A</definedName>
    <definedName name="hhbb247">#N/A</definedName>
    <definedName name="hhbb248">#N/A</definedName>
    <definedName name="hhbb249">#N/A</definedName>
    <definedName name="hhbb250">#N/A</definedName>
    <definedName name="hhbb251">#N/A</definedName>
    <definedName name="hhbb252">#N/A</definedName>
    <definedName name="hhbb253">#N/A</definedName>
    <definedName name="hhbb254">#N/A</definedName>
    <definedName name="hhbb255">#N/A</definedName>
    <definedName name="hhbb256">#N/A</definedName>
    <definedName name="hhbb257">#N/A</definedName>
    <definedName name="hhbb258">#N/A</definedName>
    <definedName name="hhbb259">#N/A</definedName>
    <definedName name="hhbb260">#N/A</definedName>
    <definedName name="hhbb261">#N/A</definedName>
    <definedName name="hhbb262">#N/A</definedName>
    <definedName name="hhbb263">#N/A</definedName>
    <definedName name="hhbb264">#N/A</definedName>
    <definedName name="hhbb265">#N/A</definedName>
    <definedName name="hhbb266">#N/A</definedName>
    <definedName name="hhbb267">#N/A</definedName>
    <definedName name="hhbb268">#N/A</definedName>
    <definedName name="hhbb269">#N/A</definedName>
    <definedName name="hhbb270">#N/A</definedName>
    <definedName name="hhbb271">#N/A</definedName>
    <definedName name="hhbb272">#N/A</definedName>
    <definedName name="hhbb273">#N/A</definedName>
    <definedName name="hhbb274">#N/A</definedName>
    <definedName name="hhbb275">#N/A</definedName>
    <definedName name="hhbb276">#N/A</definedName>
    <definedName name="hhbb277">#N/A</definedName>
    <definedName name="hhbb278">#N/A</definedName>
    <definedName name="hhbb279">#N/A</definedName>
    <definedName name="hhbb280">#N/A</definedName>
    <definedName name="hhbb281">#N/A</definedName>
    <definedName name="hhbb282">#N/A</definedName>
    <definedName name="hhbb283">#N/A</definedName>
    <definedName name="hhbb284">#N/A</definedName>
    <definedName name="hhbb285">#N/A</definedName>
    <definedName name="hhbb286">#N/A</definedName>
    <definedName name="hhbb287">#N/A</definedName>
    <definedName name="hhbb288">#N/A</definedName>
    <definedName name="hhbb289">#N/A</definedName>
    <definedName name="hhbb290">#N/A</definedName>
    <definedName name="hhbb291">#N/A</definedName>
    <definedName name="hhbb292">#N/A</definedName>
    <definedName name="hhbb293">#N/A</definedName>
    <definedName name="hhbb294">#N/A</definedName>
    <definedName name="hhbb295">#N/A</definedName>
    <definedName name="hhbb296">#N/A</definedName>
    <definedName name="hhbb297">#N/A</definedName>
    <definedName name="hhbb298">#N/A</definedName>
    <definedName name="hhbb299">#N/A</definedName>
    <definedName name="hhbb300">#N/A</definedName>
    <definedName name="hhbb301">#N/A</definedName>
    <definedName name="hhbb302">#N/A</definedName>
    <definedName name="hhbb303">#N/A</definedName>
    <definedName name="hhbb304">#N/A</definedName>
    <definedName name="hhbb305">#N/A</definedName>
    <definedName name="hhbb306">#N/A</definedName>
    <definedName name="hhbb307">#N/A</definedName>
    <definedName name="hhbb308">#N/A</definedName>
    <definedName name="hhbb309">#N/A</definedName>
    <definedName name="hhbb310">#N/A</definedName>
    <definedName name="hhbb311">#N/A</definedName>
    <definedName name="hhbb312">#N/A</definedName>
    <definedName name="hhbb313">#N/A</definedName>
    <definedName name="hhbb314">#N/A</definedName>
    <definedName name="hhbb315">#N/A</definedName>
    <definedName name="hhbb316">#N/A</definedName>
    <definedName name="hhbb317">#N/A</definedName>
    <definedName name="hhbb318">#N/A</definedName>
    <definedName name="hhbb319">#N/A</definedName>
    <definedName name="hhbb320">#N/A</definedName>
    <definedName name="hhbb321">#N/A</definedName>
    <definedName name="hhbb322">#N/A</definedName>
    <definedName name="hhbb323">#N/A</definedName>
    <definedName name="hhbb324">#N/A</definedName>
    <definedName name="hhbb325">#N/A</definedName>
    <definedName name="hhbb326">#N/A</definedName>
    <definedName name="hhbb327">#N/A</definedName>
    <definedName name="hhbb328">#N/A</definedName>
    <definedName name="hhbb329">#N/A</definedName>
    <definedName name="hhbb330">#N/A</definedName>
    <definedName name="hhbb331">#N/A</definedName>
    <definedName name="hhbb332">#N/A</definedName>
    <definedName name="hhbb333">#N/A</definedName>
    <definedName name="hhbb334">#N/A</definedName>
    <definedName name="hhbb335">#N/A</definedName>
    <definedName name="hhbb336">#N/A</definedName>
    <definedName name="hhbb337">#N/A</definedName>
    <definedName name="hhbb338">#N/A</definedName>
    <definedName name="hhbb339">#N/A</definedName>
    <definedName name="hhbb340">#N/A</definedName>
    <definedName name="hhbb341">#N/A</definedName>
    <definedName name="hhbb342">#N/A</definedName>
    <definedName name="hhbb343">#N/A</definedName>
    <definedName name="hhbb344">#N/A</definedName>
    <definedName name="hhbb345">#N/A</definedName>
    <definedName name="hhbb346">#N/A</definedName>
    <definedName name="hhbb347">#N/A</definedName>
    <definedName name="hhbb348">#N/A</definedName>
    <definedName name="hhbb349">#N/A</definedName>
    <definedName name="hhbb350">#N/A</definedName>
    <definedName name="hhbb351">#N/A</definedName>
    <definedName name="hhbb352">#N/A</definedName>
    <definedName name="hhbb353">#N/A</definedName>
    <definedName name="hhbb354">#N/A</definedName>
    <definedName name="hhbb355">#N/A</definedName>
    <definedName name="hhbb356">#N/A</definedName>
    <definedName name="hhbb357">#N/A</definedName>
    <definedName name="hhbb358">#N/A</definedName>
    <definedName name="hhbb359">#N/A</definedName>
    <definedName name="hhbb360">#N/A</definedName>
    <definedName name="hhbb361">#N/A</definedName>
    <definedName name="hhbb362">#N/A</definedName>
    <definedName name="hhbb363">#N/A</definedName>
    <definedName name="hhbb364">#N/A</definedName>
    <definedName name="hhbb365">#N/A</definedName>
    <definedName name="hhbb366">#N/A</definedName>
    <definedName name="hhbb367">#N/A</definedName>
    <definedName name="hhbb368">#N/A</definedName>
    <definedName name="hhbb369">#N/A</definedName>
    <definedName name="hhbb370">#N/A</definedName>
    <definedName name="hhbb371">#N/A</definedName>
    <definedName name="hhbb372">#N/A</definedName>
    <definedName name="hhbb373">#N/A</definedName>
    <definedName name="hhbb374">#N/A</definedName>
    <definedName name="hhbb375">#N/A</definedName>
    <definedName name="hhbb376">#N/A</definedName>
    <definedName name="hhbb377">#N/A</definedName>
    <definedName name="hhbb378">#N/A</definedName>
    <definedName name="hhbb379">#N/A</definedName>
    <definedName name="hhbb380">#N/A</definedName>
    <definedName name="hhbb381">#N/A</definedName>
    <definedName name="hhbb382">#N/A</definedName>
    <definedName name="hhbb383">#N/A</definedName>
    <definedName name="hhbb384">#N/A</definedName>
    <definedName name="hhbb385">#N/A</definedName>
    <definedName name="hhbb386">#N/A</definedName>
    <definedName name="hhbb387">#N/A</definedName>
    <definedName name="hhbb388">#N/A</definedName>
    <definedName name="hhbb389">#N/A</definedName>
    <definedName name="hhbb390">#N/A</definedName>
    <definedName name="hhbb391">#N/A</definedName>
    <definedName name="hhbb392">#N/A</definedName>
    <definedName name="hhbb393">#N/A</definedName>
    <definedName name="hhbb394">#N/A</definedName>
    <definedName name="hhbb395">#N/A</definedName>
    <definedName name="hhbb396">#N/A</definedName>
    <definedName name="hhbb397">#N/A</definedName>
    <definedName name="hhbb398">#N/A</definedName>
    <definedName name="hhbb399">#N/A</definedName>
    <definedName name="hhbb400">#N/A</definedName>
    <definedName name="hhbb401">#N/A</definedName>
    <definedName name="hhbb402">#N/A</definedName>
    <definedName name="HowyearKao">#N/A</definedName>
    <definedName name="HowyearLauKwong">#N/A</definedName>
    <definedName name="HowyearPeterLiu">#N/A</definedName>
    <definedName name="HowyearWongHang">#N/A</definedName>
    <definedName name="HowyearWongWai">#N/A</definedName>
    <definedName name="H产品">#N/A</definedName>
    <definedName name="income_tax_ye">#N/A</definedName>
    <definedName name="ITR">#N/A</definedName>
    <definedName name="kehu">#N/A</definedName>
    <definedName name="kehu2">#N/A</definedName>
    <definedName name="kehu3">#N/A</definedName>
    <definedName name="kemu" hidden="1">#N/A</definedName>
    <definedName name="ljst_all">#N/A</definedName>
    <definedName name="ljst_bf">#N/A</definedName>
    <definedName name="Long_term_investment">#N/A</definedName>
    <definedName name="lxw">#N/A</definedName>
    <definedName name="LYE">#N/A</definedName>
    <definedName name="m">#N/A</definedName>
    <definedName name="mx" hidden="1">#N/A</definedName>
    <definedName name="MXP2424AP1" hidden="1">#N/A</definedName>
    <definedName name="MXS0303AS1" hidden="1">#N/A</definedName>
    <definedName name="MXS0404AS8" hidden="1">#N/A</definedName>
    <definedName name="N">#N/A</definedName>
    <definedName name="NAME">#N/A</definedName>
    <definedName name="nixin">#N/A</definedName>
    <definedName name="NONG">#N/A</definedName>
    <definedName name="NOTE_1015a" localSheetId="10" hidden="1">Notes!$E$21:$M$58</definedName>
    <definedName name="NOTE_1015b" localSheetId="10" hidden="1">Notes!$E$11:$I$19</definedName>
    <definedName name="NOTE_1015c" localSheetId="10" hidden="1">Notes!$E$60:$I$69</definedName>
    <definedName name="NOTE_1101a" localSheetId="10" hidden="1">Notes!$E$91:$I$107</definedName>
    <definedName name="NOTE_1102a" localSheetId="10" hidden="1">Notes!$E$72:$I$88</definedName>
    <definedName name="NOTE_1115a" localSheetId="10" hidden="1">Notes!$E$110:$I$118</definedName>
    <definedName name="NOTE_1121a" localSheetId="10" hidden="1">Notes!$E$131:$I$137</definedName>
    <definedName name="NOTE_1121b" localSheetId="10" hidden="1">Notes!$E$139:$H$145</definedName>
    <definedName name="NOTE_1121c" localSheetId="10" hidden="1">Notes!$E$161:$H$169</definedName>
    <definedName name="NOTE_1121d" localSheetId="10" hidden="1">Notes!$E$147:$I$159</definedName>
    <definedName name="NOTE_1121e" localSheetId="10" hidden="1">Notes!$E$121:$M$129</definedName>
    <definedName name="NOTE_1121f" localSheetId="10" hidden="1">Notes!$E$171:$L$184</definedName>
    <definedName name="NOTE_1121fCHKH01" localSheetId="10" hidden="1">Notes!$G$185:$M$191</definedName>
    <definedName name="NOTE_1121g" localSheetId="10" hidden="1">Notes!$E$193:$K$206</definedName>
    <definedName name="NOTE_1121gCHKH01" localSheetId="10" hidden="1">Notes!$G$207:$L$213</definedName>
    <definedName name="NOTE_1121h" localSheetId="10" hidden="1">Notes!$E$215:$J$228</definedName>
    <definedName name="NOTE_1121hCHKH01" localSheetId="10" hidden="1">Notes!$G$229:$K$235</definedName>
    <definedName name="NOTE_1121i" localSheetId="10" hidden="1">Notes!$E$252:$N$265</definedName>
    <definedName name="NOTE_1121iCHKH01" localSheetId="10" hidden="1">Notes!$G$266:$O$272</definedName>
    <definedName name="NOTE_1121j" localSheetId="10" hidden="1">Notes!$E$274:$I$285</definedName>
    <definedName name="NOTE_1121k" localSheetId="10" hidden="1">Notes!$E$287:$H$292</definedName>
    <definedName name="NOTE_1121l" localSheetId="10" hidden="1">Notes!$E$294:$L$305</definedName>
    <definedName name="NOTE_1121m" localSheetId="10" hidden="1">Notes!$E$307:$J$315</definedName>
    <definedName name="NOTE_1121n" localSheetId="10" hidden="1">Notes!$E$237:$J$250</definedName>
    <definedName name="NOTE_112202" localSheetId="10" hidden="1">Notes!$E$416:$J$429</definedName>
    <definedName name="NOTE_1122a" localSheetId="10" hidden="1">Notes!$E$486:$L$499</definedName>
    <definedName name="NOTE_1122b" localSheetId="10" hidden="1">Notes!$E$501:$L$514</definedName>
    <definedName name="NOTE_1122c" localSheetId="10" hidden="1">Notes!$E$669:$J$677</definedName>
    <definedName name="NOTE_1122d" localSheetId="10" hidden="1">Notes!$E$536:$J$551</definedName>
    <definedName name="NOTE_1122dCHKH01" localSheetId="10" hidden="1">Notes!$G$552:$K$558</definedName>
    <definedName name="NOTE_1122e" localSheetId="10" hidden="1">Notes!$E$560:$K$568</definedName>
    <definedName name="NOTE_1122f" localSheetId="10" hidden="1">Notes!$E$570:$L$578</definedName>
    <definedName name="NOTE_1122g" localSheetId="10" hidden="1">Notes!$E$516:$K$527</definedName>
    <definedName name="NOTE_1122gCHKH01" localSheetId="10" hidden="1">Notes!$G$528:$L$534</definedName>
    <definedName name="NOTE_1122h" localSheetId="10" hidden="1">Notes!$E$602:$I$610</definedName>
    <definedName name="NOTE_1122i" localSheetId="10" hidden="1">Notes!$E$619:$L$628</definedName>
    <definedName name="NOTE_1122j" localSheetId="10" hidden="1">Notes!$E$318:$I$333</definedName>
    <definedName name="NOTE_1122k" localSheetId="10" hidden="1">Notes!$E$630:$J$647</definedName>
    <definedName name="NOTE_1122l" localSheetId="10" hidden="1">Notes!$E$679:$K$687</definedName>
    <definedName name="NOTE_1122m" localSheetId="10" hidden="1">Notes!$E$649:$J$657</definedName>
    <definedName name="NOTE_1122n" localSheetId="10" hidden="1">Notes!$E$659:$J$667</definedName>
    <definedName name="NOTE_1122p" localSheetId="10" hidden="1">Notes!$E$335:$L$348</definedName>
    <definedName name="NOTE_1122pCHKH01" localSheetId="10" hidden="1">Notes!$G$349:$M$355</definedName>
    <definedName name="NOTE_1122q" localSheetId="10" hidden="1">Notes!$E$431:$L$440</definedName>
    <definedName name="NOTE_1122qCHKH01" localSheetId="10" hidden="1">Notes!$G$441:$M$447</definedName>
    <definedName name="NOTE_1122r" localSheetId="10" hidden="1">Notes!$E$357:$K$370</definedName>
    <definedName name="NOTE_1122rCHKH01" localSheetId="10" hidden="1">Notes!$G$371:$L$377</definedName>
    <definedName name="NOTE_1122s" localSheetId="10" hidden="1">Notes!$E$379:$J$392</definedName>
    <definedName name="NOTE_1122sCHKH01" localSheetId="10" hidden="1">Notes!$G$393:$K$399</definedName>
    <definedName name="NOTE_1122t" localSheetId="10" hidden="1">Notes!$E$401:$J$414</definedName>
    <definedName name="NOTE_1122u" localSheetId="10" hidden="1">Notes!$E$580:$N$593</definedName>
    <definedName name="NOTE_1122uCHKH01" localSheetId="10" hidden="1">Notes!$G$594:$O$600</definedName>
    <definedName name="NOTE_1122v" localSheetId="10" hidden="1">Notes!$E$612:$H$617</definedName>
    <definedName name="NOTE_1122x" localSheetId="10" hidden="1">Notes!$E$689:$N$696</definedName>
    <definedName name="NOTE_1122y" localSheetId="10" hidden="1">Notes!$E$449:$K$460</definedName>
    <definedName name="NOTE_1122yCHKH01" localSheetId="10" hidden="1">Notes!$G$461:$L$467</definedName>
    <definedName name="NOTE_1122z" localSheetId="10" hidden="1">Notes!$E$469:$J$484</definedName>
    <definedName name="NOTE_1124a" localSheetId="10" hidden="1">Notes!$E$699:$I$705</definedName>
    <definedName name="NOTE_1124b" localSheetId="10" hidden="1">Notes!$E$707:$K$720</definedName>
    <definedName name="NOTE_1124c" localSheetId="10" hidden="1">Notes!$E$722:$K$732</definedName>
    <definedName name="NOTE_1124cCHKH01" localSheetId="10" hidden="1">Notes!$G$733:$L$739</definedName>
    <definedName name="NOTE_1124d" localSheetId="10" hidden="1">Notes!$E$741:$K$754</definedName>
    <definedName name="NOTE_1124dCHKH01" localSheetId="10" hidden="1">Notes!$G$755:$L$761</definedName>
    <definedName name="NOTE_1124e" localSheetId="10" hidden="1">Notes!$E$763:$K$776</definedName>
    <definedName name="NOTE_1124f" localSheetId="10" hidden="1">Notes!$E$849:$N$857</definedName>
    <definedName name="NOTE_1124g" localSheetId="10" hidden="1">Notes!$E$778:$K$791</definedName>
    <definedName name="NOTE_1124h" localSheetId="10" hidden="1">Notes!$E$793:$K$803</definedName>
    <definedName name="NOTE_1124hCHKH01" localSheetId="10" hidden="1">Notes!$G$804:$L$810</definedName>
    <definedName name="NOTE_1124i" localSheetId="10" hidden="1">Notes!$E$812:$K$825</definedName>
    <definedName name="NOTE_1124iCHKH01" localSheetId="10" hidden="1">Notes!$G$826:$L$832</definedName>
    <definedName name="NOTE_1124j" localSheetId="10" hidden="1">Notes!$E$834:$K$847</definedName>
    <definedName name="NOTE_1125a" localSheetId="10" hidden="1">Notes!$E$860:$K$870</definedName>
    <definedName name="NOTE_1125c" localSheetId="10" hidden="1">Notes!$E$872:$I$889</definedName>
    <definedName name="NOTE_1125d" localSheetId="10" hidden="1">Notes!$E$891:$J$899</definedName>
    <definedName name="NOTE_1125e" localSheetId="10" hidden="1">Notes!$E$911:$I$919</definedName>
    <definedName name="NOTE_1125f" localSheetId="10" hidden="1">Notes!$E$901:$I$909</definedName>
    <definedName name="NOTE_1125x" localSheetId="10" hidden="1">Notes!$E$921:$P$932</definedName>
    <definedName name="NOTE_1131a" localSheetId="10" hidden="1">Notes!$E$968:$I$976</definedName>
    <definedName name="NOTE_1131b" localSheetId="10" hidden="1">Notes!$E$978:$K$986</definedName>
    <definedName name="NOTE_1132a" localSheetId="10" hidden="1">Notes!$E$945:$I$955</definedName>
    <definedName name="NOTE_1132b" localSheetId="10" hidden="1">Notes!$E$957:$K$965</definedName>
    <definedName name="NOTE_1220a" localSheetId="10" hidden="1">Notes!$E$935:$I$942</definedName>
    <definedName name="NOTE_122100" localSheetId="10" hidden="1">Notes!$E$1028:$J$1035</definedName>
    <definedName name="NOTE_122100CHKH01" localSheetId="10" hidden="1">Notes!$G$1036:$K$1042</definedName>
    <definedName name="NOTE_122101" localSheetId="10" hidden="1">Notes!$E$1044:$L$1056</definedName>
    <definedName name="NOTE_122102" localSheetId="10" hidden="1">Notes!$E$1132:$L$1144</definedName>
    <definedName name="NOTE_122103" localSheetId="10" hidden="1">Notes!$E$1220:$L$1232</definedName>
    <definedName name="NOTE_122104" localSheetId="10" hidden="1">Notes!$E$1492:$K$1509</definedName>
    <definedName name="NOTE_122111" localSheetId="10" hidden="1">Notes!$E$1058:$K$1071</definedName>
    <definedName name="NOTE_122111CHKH01" localSheetId="10" hidden="1">Notes!$G$1072:$L$1078</definedName>
    <definedName name="NOTE_122112" localSheetId="10" hidden="1">Notes!$E$1080:$J$1093</definedName>
    <definedName name="NOTE_122112CHKH01" localSheetId="10" hidden="1">Notes!$G$1094:$K$1100</definedName>
    <definedName name="NOTE_122113" localSheetId="10" hidden="1">Notes!$E$1102:$J$1115</definedName>
    <definedName name="NOTE_122114" localSheetId="10" hidden="1">Notes!$E$1117:$J$1130</definedName>
    <definedName name="NOTE_122121" localSheetId="10" hidden="1">Notes!$E$1146:$K$1159</definedName>
    <definedName name="NOTE_122121CHKH01" localSheetId="10" hidden="1">Notes!$G$1160:$L$1166</definedName>
    <definedName name="NOTE_122122" localSheetId="10" hidden="1">Notes!$E$1168:$J$1181</definedName>
    <definedName name="NOTE_122122CHKH01" localSheetId="10" hidden="1">Notes!$G$1182:$K$1188</definedName>
    <definedName name="NOTE_122123" localSheetId="10" hidden="1">Notes!$E$1190:$J$1203</definedName>
    <definedName name="NOTE_122124" localSheetId="10" hidden="1">Notes!$E$1205:$J$1218</definedName>
    <definedName name="NOTE_122131" localSheetId="10" hidden="1">Notes!$E$1234:$K$1247</definedName>
    <definedName name="NOTE_122131CHKH01" localSheetId="10" hidden="1">Notes!$G$1248:$L$1254</definedName>
    <definedName name="NOTE_122132" localSheetId="10" hidden="1">Notes!$E$1256:$J$1269</definedName>
    <definedName name="NOTE_122132CHKH01" localSheetId="10" hidden="1">Notes!$G$1270:$K$1276</definedName>
    <definedName name="NOTE_122133" localSheetId="10" hidden="1">Notes!$E$1278:$J$1291</definedName>
    <definedName name="NOTE_122134" localSheetId="10" hidden="1">Notes!$E$1293:$J$1306</definedName>
    <definedName name="NOTE_1221a" localSheetId="10" hidden="1">Notes!$E$1366:$L$1379</definedName>
    <definedName name="NOTE_1221aCHKH01" localSheetId="10" hidden="1">Notes!$G$1380:$M$1386</definedName>
    <definedName name="NOTE_1221b" localSheetId="10" hidden="1">Notes!$E$1388:$L$1401</definedName>
    <definedName name="NOTE_1221bCHKH01" localSheetId="10" hidden="1">Notes!$G$1402:$M$1408</definedName>
    <definedName name="NOTE_1221c" localSheetId="10" hidden="1">Notes!$E$1588:$J$1596</definedName>
    <definedName name="NOTE_1221d" localSheetId="10" hidden="1">Notes!$E$1429:$L$1441</definedName>
    <definedName name="NOTE_1221dCHKH01" localSheetId="10" hidden="1">Notes!$G$1442:$M$1448</definedName>
    <definedName name="NOTE_1221e" localSheetId="10" hidden="1">Notes!$E$1450:$K$1458</definedName>
    <definedName name="NOTE_1221f" localSheetId="10" hidden="1">Notes!$E$1460:$L$1468</definedName>
    <definedName name="NOTE_1221g" localSheetId="10" hidden="1">Notes!$E$1410:$K$1420</definedName>
    <definedName name="NOTE_1221gCHKH01" localSheetId="10" hidden="1">Notes!$G$1421:$L$1427</definedName>
    <definedName name="NOTE_1221h" localSheetId="10" hidden="1">Notes!$E$1511:$I$1519</definedName>
    <definedName name="NOTE_1221i" localSheetId="10" hidden="1">Notes!$E$1528:$L$1537</definedName>
    <definedName name="NOTE_1221j" localSheetId="10" hidden="1">Notes!$E$989:$I$1005</definedName>
    <definedName name="NOTE_1221jCHKH01" localSheetId="10" hidden="1">Notes!$G$1006:$J$1012</definedName>
    <definedName name="NOTE_1221k" localSheetId="10" hidden="1">Notes!$E$1539:$L$1556</definedName>
    <definedName name="NOTE_1221l" localSheetId="10" hidden="1">Notes!$E$1014:$I$1026</definedName>
    <definedName name="NOTE_1221m" localSheetId="10" hidden="1">Notes!$E$1598:$K$1606</definedName>
    <definedName name="NOTE_1221n" localSheetId="10" hidden="1">Notes!$E$1568:$J$1576</definedName>
    <definedName name="NOTE_1221o" localSheetId="10" hidden="1">Notes!$E$1578:$J$1586</definedName>
    <definedName name="NOTE_1221r" localSheetId="10" hidden="1">Notes!$E$1558:$K$1566</definedName>
    <definedName name="NOTE_1221t" localSheetId="10" hidden="1">Notes!$E$1308:$L$1318</definedName>
    <definedName name="NOTE_1221tCHKH01" localSheetId="10" hidden="1">Notes!$G$1319:$M$1325</definedName>
    <definedName name="NOTE_1221v" localSheetId="10" hidden="1">Notes!$E$1327:$K$1340</definedName>
    <definedName name="NOTE_1221vCHKH01" localSheetId="10" hidden="1">Notes!$G$1341:$L$1347</definedName>
    <definedName name="NOTE_1221w" localSheetId="10" hidden="1">Notes!$E$1349:$J$1364</definedName>
    <definedName name="NOTE_1221x" localSheetId="10" hidden="1">Notes!$E$1608:$N$1615</definedName>
    <definedName name="NOTE_1221y" localSheetId="10" hidden="1">Notes!$E$1470:$N$1483</definedName>
    <definedName name="NOTE_1221yCHKH01" localSheetId="10" hidden="1">Notes!$G$1484:$O$1490</definedName>
    <definedName name="NOTE_1221z" localSheetId="10" hidden="1">Notes!$E$1521:$H$1526</definedName>
    <definedName name="NOTE_1315b" localSheetId="10" hidden="1">Notes!$E$1765:$K$1773</definedName>
    <definedName name="NOTE_1315f" localSheetId="10" hidden="1">Notes!$E$1775:$L$1788</definedName>
    <definedName name="NOTE_1400a" localSheetId="10" hidden="1">Notes!$E$1618:$M$1635</definedName>
    <definedName name="NOTE_1400b" localSheetId="10" hidden="1">Notes!$E$1637:$M$1654</definedName>
    <definedName name="NOTE_1400c" localSheetId="10" hidden="1">Notes!$E$1737:$K$1752</definedName>
    <definedName name="NOTE_1400d" localSheetId="10" hidden="1">Notes!$E$1683:$M$1691</definedName>
    <definedName name="NOTE_1400dCHKH01" localSheetId="10" hidden="1">Notes!$G$1692:$N$1698</definedName>
    <definedName name="NOTE_1400e" localSheetId="10" hidden="1">Notes!$E$1700:$M$1708</definedName>
    <definedName name="NOTE_1400eCHKH01" localSheetId="10" hidden="1">Notes!$G$1709:$N$1715</definedName>
    <definedName name="NOTE_1400g" localSheetId="10" hidden="1">Notes!$E$1717:$K$1725</definedName>
    <definedName name="NOTE_1400h" localSheetId="10" hidden="1">Notes!$E$1666:$H$1674</definedName>
    <definedName name="NOTE_1400hCHKH01" localSheetId="10" hidden="1">Notes!$G$1675:$I$1681</definedName>
    <definedName name="NOTE_1400s" localSheetId="10" hidden="1">Notes!$E$1727:$J$1735</definedName>
    <definedName name="NOTE_1400t" localSheetId="10" hidden="1">Notes!$E$1656:$I$1664</definedName>
    <definedName name="NOTE_1400x" localSheetId="10" hidden="1">Notes!$E$1754:$Q$1762</definedName>
    <definedName name="NOTE_1495a" localSheetId="10" hidden="1">Notes!$E$1791:$I$1798</definedName>
    <definedName name="NOTE_1495b" localSheetId="10" hidden="1">Notes!$E$1800:$O$1810</definedName>
    <definedName name="NOTE_1496a" localSheetId="10" hidden="1">Notes!$E$1813:$I$1821</definedName>
    <definedName name="NOTE_1501a" localSheetId="10" hidden="1">Notes!$E$2158:$M$2170</definedName>
    <definedName name="NOTE_1501d" localSheetId="10" hidden="1">Notes!$E$2172:$K$2180</definedName>
    <definedName name="NOTE_1501e" localSheetId="10" hidden="1">Notes!$E$2182:$J$2190</definedName>
    <definedName name="NOTE_1501f" localSheetId="10" hidden="1">Notes!$E$2192:$J$2200</definedName>
    <definedName name="NOTE_1503a" localSheetId="10" hidden="1">Notes!$E$1948:$M$1960</definedName>
    <definedName name="NOTE_1503d" localSheetId="10" hidden="1">Notes!$E$2014:$M$2020</definedName>
    <definedName name="NOTE_1503e" localSheetId="10" hidden="1">Notes!$E$1962:$K$1970</definedName>
    <definedName name="NOTE_1503g" localSheetId="10" hidden="1">Notes!$E$2022:$M$2030</definedName>
    <definedName name="NOTE_1503i" localSheetId="10" hidden="1">Notes!$E$1972:$K$1985</definedName>
    <definedName name="NOTE_1503j" localSheetId="10" hidden="1">Notes!$E$1987:$M$2000</definedName>
    <definedName name="NOTE_1503k" localSheetId="10" hidden="1">Notes!$E$2002:$J$2012</definedName>
    <definedName name="NOTE_1505a" localSheetId="10" hidden="1">Notes!$E$1824:$M$1837</definedName>
    <definedName name="NOTE_1505b" localSheetId="10" hidden="1">Notes!$E$1839:$O$1852</definedName>
    <definedName name="NOTE_1505c" localSheetId="10" hidden="1">Notes!$E$1870:$L$1881</definedName>
    <definedName name="NOTE_1505d" localSheetId="10" hidden="1">Notes!$E$1883:$L$1894</definedName>
    <definedName name="NOTE_1505e" localSheetId="10" hidden="1">Notes!$E$1896:$L$1907</definedName>
    <definedName name="NOTE_1505f" localSheetId="10" hidden="1">Notes!$E$1928:$K$1945</definedName>
    <definedName name="NOTE_1505g" localSheetId="10" hidden="1">Notes!$E$1854:$J$1861</definedName>
    <definedName name="NOTE_1505gCHKH01" localSheetId="10" hidden="1">Notes!$G$1862:$K$1868</definedName>
    <definedName name="NOTE_1505k" localSheetId="10" hidden="1">Notes!$E$1909:$N$1919</definedName>
    <definedName name="NOTE_1505kCHKH01" localSheetId="10" hidden="1">Notes!$G$1920:$O$1926</definedName>
    <definedName name="NOTE_1508a" localSheetId="10" hidden="1">Notes!$E$2033:$Q$2047</definedName>
    <definedName name="NOTE_1508b" localSheetId="10" hidden="1">Notes!$E$2049:$O$2062</definedName>
    <definedName name="NOTE_1508c" localSheetId="10" hidden="1">Notes!$E$2064:$I$2071</definedName>
    <definedName name="NOTE_1508cCHKH01" localSheetId="10" hidden="1">Notes!$G$2072:$J$2078</definedName>
    <definedName name="NOTE_1508d" localSheetId="10" hidden="1">Notes!$E$2080:$K$2091</definedName>
    <definedName name="NOTE_1508e" localSheetId="10" hidden="1">Notes!$E$2093:$K$2104</definedName>
    <definedName name="NOTE_1508f" localSheetId="10" hidden="1">Notes!$E$2106:$K$2117</definedName>
    <definedName name="NOTE_1508g" localSheetId="10" hidden="1">Notes!$E$2138:$K$2155</definedName>
    <definedName name="NOTE_1508k" localSheetId="10" hidden="1">Notes!$E$2119:$N$2129</definedName>
    <definedName name="NOTE_1508kCHKH01" localSheetId="10" hidden="1">Notes!$G$2130:$O$2136</definedName>
    <definedName name="NOTE_1511b" localSheetId="10" hidden="1">Notes!$E$2464:$R$2495</definedName>
    <definedName name="NOTE_1511c" localSheetId="10" hidden="1">Notes!$E$2413:$M$2423</definedName>
    <definedName name="NOTE_1511cCHKH01" localSheetId="10" hidden="1">Notes!$G$2424:$N$2430</definedName>
    <definedName name="NOTE_1511d" localSheetId="10" hidden="1">Notes!$E$2432:$M$2455</definedName>
    <definedName name="NOTE_1511dCHKH01" localSheetId="10" hidden="1">Notes!$G$2456:$N$2462</definedName>
    <definedName name="NOTE_1521b" localSheetId="10" hidden="1">Notes!$E$2600:$K$2617</definedName>
    <definedName name="NOTE_1521c" localSheetId="10" hidden="1">Notes!$E$2619:$I$2627</definedName>
    <definedName name="NOTE_1521h" localSheetId="10" hidden="1">Notes!$E$2558:$K$2598</definedName>
    <definedName name="NOTE_1521s" localSheetId="10" hidden="1">Notes!$E$2629:$L$2637</definedName>
    <definedName name="NOTE_1531a" localSheetId="10" hidden="1">Notes!$E$2203:$N$2217</definedName>
    <definedName name="NOTE_1531b" localSheetId="10" hidden="1">Notes!$E$2392:$I$2400</definedName>
    <definedName name="NOTE_1531c" localSheetId="10" hidden="1">Notes!$E$2369:$J$2377</definedName>
    <definedName name="NOTE_1531f" localSheetId="10" hidden="1">Notes!$E$2402:$J$2410</definedName>
    <definedName name="NOTE_1531g" localSheetId="10" hidden="1">Notes!$E$2331:$N$2341</definedName>
    <definedName name="NOTE_1531gCHKH01" localSheetId="10" hidden="1">Notes!$G$2342:$O$2348</definedName>
    <definedName name="NOTE_1531h" localSheetId="10" hidden="1">Notes!$E$2294:$K$2307</definedName>
    <definedName name="NOTE_1531hCHKH01" localSheetId="10" hidden="1">Notes!$G$2308:$L$2314</definedName>
    <definedName name="NOTE_1531i" localSheetId="10" hidden="1">Notes!$E$2235:$L$2246</definedName>
    <definedName name="NOTE_1531j" localSheetId="10" hidden="1">Notes!$E$2248:$L$2259</definedName>
    <definedName name="NOTE_1531k" localSheetId="10" hidden="1">Notes!$E$2261:$L$2272</definedName>
    <definedName name="NOTE_1531m" localSheetId="10" hidden="1">Notes!$E$2316:$J$2329</definedName>
    <definedName name="NOTE_1531p" localSheetId="10" hidden="1">Notes!$E$2274:$L$2285</definedName>
    <definedName name="NOTE_1531pCHKH01" localSheetId="10" hidden="1">Notes!$G$2286:$M$2292</definedName>
    <definedName name="NOTE_1531q" localSheetId="10" hidden="1">Notes!$E$2350:$K$2367</definedName>
    <definedName name="NOTE_1531s" localSheetId="10" hidden="1">Notes!$E$2379:$J$2390</definedName>
    <definedName name="NOTE_1531t" localSheetId="10" hidden="1">Notes!$E$2219:$J$2226</definedName>
    <definedName name="NOTE_1531tCHKH01" localSheetId="10" hidden="1">Notes!$G$2227:$K$2233</definedName>
    <definedName name="NOTE_1535c" localSheetId="10" hidden="1">Notes!$E$2619:$I$2627</definedName>
    <definedName name="NOTE_1538a" localSheetId="10" hidden="1">Notes!$E$2498:$I$2505</definedName>
    <definedName name="NOTE_1538b" localSheetId="10" hidden="1">Notes!$E$2507:$M$2518</definedName>
    <definedName name="NOTE_1539a" localSheetId="10" hidden="1">Notes!$E$2521:$I$2529</definedName>
    <definedName name="NOTE_1539b" localSheetId="10" hidden="1">Notes!$E$2531:$M$2542</definedName>
    <definedName name="NOTE_1539c" localSheetId="10" hidden="1">Notes!$E$2544:$K$2555</definedName>
    <definedName name="NOTE_1601b" localSheetId="10" hidden="1">Notes!$E$2706:$L$2718</definedName>
    <definedName name="NOTE_1601c" localSheetId="10" hidden="1">Notes!$E$2720:$K$2732</definedName>
    <definedName name="NOTE_1601d" localSheetId="10" hidden="1">Notes!$E$2734:$H$2747</definedName>
    <definedName name="NOTE_1601f" localSheetId="10" hidden="1">Notes!$E$2762:$M$2770</definedName>
    <definedName name="NOTE_1601k" localSheetId="10" hidden="1">Notes!$E$2649:$P$2697</definedName>
    <definedName name="NOTE_1601kCHKH01" localSheetId="10" hidden="1">Notes!$G$2698:$Q$2704</definedName>
    <definedName name="NOTE_1601l" localSheetId="10" hidden="1">Notes!$E$2749:$I$2760</definedName>
    <definedName name="NOTE_1601s" localSheetId="10" hidden="1">Notes!$E$2772:$L$2780</definedName>
    <definedName name="NOTE_1601x" localSheetId="10" hidden="1">Notes!$E$2782:$I$2795</definedName>
    <definedName name="NOTE_1604a" localSheetId="10" hidden="1">Notes!$E$2831:$M$2846</definedName>
    <definedName name="NOTE_1604b" localSheetId="10" hidden="1">Notes!$E$2848:$M$2861</definedName>
    <definedName name="NOTE_1604c" localSheetId="10" hidden="1">Notes!$E$2863:$M$2876</definedName>
    <definedName name="NOTE_1604d" localSheetId="10" hidden="1">Notes!$E$2898:$I$2906</definedName>
    <definedName name="NOTE_1604g" localSheetId="10" hidden="1">Notes!$E$2878:$J$2889</definedName>
    <definedName name="NOTE_1604gCHKH01" localSheetId="10" hidden="1">Notes!$G$2890:$K$2896</definedName>
    <definedName name="NOTE_1605a" localSheetId="10" hidden="1">Notes!$E$2909:$M$2918</definedName>
    <definedName name="NOTE_1606a" localSheetId="10" hidden="1">Notes!$E$2811:$L$2819</definedName>
    <definedName name="NOTE_1606b" localSheetId="10" hidden="1">Notes!$E$2798:$I$2809</definedName>
    <definedName name="NOTE_1611a" localSheetId="10" hidden="1">Notes!$E$2640:$I$2646</definedName>
    <definedName name="NOTE_1616a" localSheetId="10" hidden="1">Notes!$E$2822:$I$2828</definedName>
    <definedName name="NOTE_1621b" localSheetId="10" hidden="1">Notes!$E$2983:$P$3004</definedName>
    <definedName name="NOTE_1621c" localSheetId="10" hidden="1">Notes!$E$2921:$O$2981</definedName>
    <definedName name="NOTE_1631b" localSheetId="10" hidden="1">Notes!$E$3007:$L$3041</definedName>
    <definedName name="NOTE_1700a" localSheetId="10" hidden="1">Notes!$E$3174:$K$3174</definedName>
    <definedName name="NOTE_1700b" localSheetId="10" hidden="1">Notes!$E$3176:$P$3186</definedName>
    <definedName name="NOTE_1701a" localSheetId="10" hidden="1">Notes!$E$3044:$P$3105</definedName>
    <definedName name="NOTE_1701aCHKH01" localSheetId="10" hidden="1">Notes!$G$3106:$Q$3112</definedName>
    <definedName name="NOTE_1701e" localSheetId="10" hidden="1">Notes!$E$3127:$L$3135</definedName>
    <definedName name="NOTE_1701f" localSheetId="10" hidden="1">Notes!$E$3114:$I$3125</definedName>
    <definedName name="NOTE_1701g" localSheetId="10" hidden="1">Notes!$E$3137:$L$3148</definedName>
    <definedName name="NOTE_1701h" localSheetId="10" hidden="1">Notes!$E$3150:$P$3161</definedName>
    <definedName name="NOTE_1701x" localSheetId="10" hidden="1">Notes!$E$3163:$I$3173</definedName>
    <definedName name="NOTE_1704a" localSheetId="10" hidden="1">Notes!$E$5210:$J$5274</definedName>
    <definedName name="NOTE_1711a" localSheetId="10" hidden="1">Notes!$E$3189:$M$3199</definedName>
    <definedName name="NOTE_1711b" localSheetId="10" hidden="1">Notes!$E$3201:$M$3211</definedName>
    <definedName name="NOTE_1801a" localSheetId="10" hidden="1">Notes!$E$3214:$L$3224</definedName>
    <definedName name="NOTE_1801x" localSheetId="10" hidden="1">Notes!$E$3226:$I$3236</definedName>
    <definedName name="NOTE_1811a" localSheetId="10" hidden="1">Notes!$E$3238:$K$3238</definedName>
    <definedName name="NOTE_1829a" localSheetId="10" hidden="1">Notes!$E$3241:$K$3255</definedName>
    <definedName name="NOTE_1829b" localSheetId="10" hidden="1">Notes!$E$3257:$K$3268</definedName>
    <definedName name="NOTE_1829c" localSheetId="10" hidden="1">Notes!$E$3270:$K$3275</definedName>
    <definedName name="NOTE_1829e" localSheetId="10" hidden="1">Notes!$E$3277:$I$3285</definedName>
    <definedName name="NOTE_1829f" localSheetId="10" hidden="1">Notes!$E$3287:$J$3297</definedName>
    <definedName name="NOTE_1829fCHKH01" localSheetId="10" hidden="1">Notes!$G$3298:$J$3304</definedName>
    <definedName name="NOTE_1996a" localSheetId="10" hidden="1">Notes!$E$3307:$I$3317</definedName>
    <definedName name="NOTE_1997a" localSheetId="10" hidden="1">Notes!$E$5196:$I$5207</definedName>
    <definedName name="NOTE_2001a" localSheetId="10" hidden="1">Notes!$E$3320:$I$3328</definedName>
    <definedName name="NOTE_2001b" localSheetId="10" hidden="1">Notes!$E$3360:$K$3369</definedName>
    <definedName name="NOTE_2001c" localSheetId="10" hidden="1">Notes!$E$3371:$J$3379</definedName>
    <definedName name="NOTE_2001d" localSheetId="10" hidden="1">Notes!$E$3330:$J$3338</definedName>
    <definedName name="NOTE_2001e" localSheetId="10" hidden="1">Notes!$E$3340:$J$3348</definedName>
    <definedName name="NOTE_2001f" localSheetId="10" hidden="1">Notes!$E$3350:$J$3358</definedName>
    <definedName name="NOTE_2101a" localSheetId="10" hidden="1">Notes!$E$3410:$I$3419</definedName>
    <definedName name="NOTE_2102a" localSheetId="10" hidden="1">Notes!$E$3382:$K$3393</definedName>
    <definedName name="NOTE_2102b" localSheetId="10" hidden="1">Notes!$E$3395:$J$3407</definedName>
    <definedName name="NOTE_2115a" localSheetId="10" hidden="1">Notes!$E$3422:$I$3430</definedName>
    <definedName name="NOTE_2201a" localSheetId="10" hidden="1">Notes!$E$3433:$I$3441</definedName>
    <definedName name="NOTE_2202a" localSheetId="10" hidden="1">Notes!$E$3472:$I$3480</definedName>
    <definedName name="NOTE_2202c" localSheetId="10" hidden="1">Notes!$E$3492:$I$3500</definedName>
    <definedName name="NOTE_2202d" localSheetId="10" hidden="1">Notes!$E$3482:$J$3490</definedName>
    <definedName name="NOTE_2202e" localSheetId="10" hidden="1">Notes!$E$3444:$I$3453</definedName>
    <definedName name="NOTE_2202f" localSheetId="10" hidden="1">Notes!$E$3455:$I$3463</definedName>
    <definedName name="NOTE_2202fCHKH01" localSheetId="10" hidden="1">Notes!$G$3464:$J$3470</definedName>
    <definedName name="NOTE_2202g" localSheetId="10" hidden="1">Notes!$E$3502:$J$3510</definedName>
    <definedName name="NOTE_2202x" localSheetId="10" hidden="1">Notes!$E$3512:$I$3529</definedName>
    <definedName name="NOTE_2205a" localSheetId="10" hidden="1">Notes!$E$3559:$I$3567</definedName>
    <definedName name="NOTE_2205c" localSheetId="10" hidden="1">Notes!$E$3589:$I$3597</definedName>
    <definedName name="NOTE_2205e" localSheetId="10" hidden="1">Notes!$E$3579:$K$3587</definedName>
    <definedName name="NOTE_2205f" localSheetId="10" hidden="1">Notes!$E$3532:$I$3540</definedName>
    <definedName name="NOTE_2205g" localSheetId="10" hidden="1">Notes!$E$3542:$I$3550</definedName>
    <definedName name="NOTE_2205gCHKH01" localSheetId="10" hidden="1">Notes!$G$3551:$J$3557</definedName>
    <definedName name="NOTE_2205h" localSheetId="10" hidden="1">Notes!$E$3569:$H$3577</definedName>
    <definedName name="NOTE_2205x" localSheetId="10" hidden="1">Notes!$E$3599:$I$3616</definedName>
    <definedName name="NOTE_2211a" localSheetId="10" hidden="1">Notes!$E$3619:$K$3627</definedName>
    <definedName name="NOTE_2211b" localSheetId="10" hidden="1">Notes!$E$3629:$K$3649</definedName>
    <definedName name="NOTE_2211bCHKH01" localSheetId="10" hidden="1">Notes!$G$3650:$L$3656</definedName>
    <definedName name="NOTE_2211c" localSheetId="10" hidden="1">Notes!$E$3658:$K$3673</definedName>
    <definedName name="NOTE_2211cCHKH01" localSheetId="10" hidden="1">Notes!$G$3674:$L$3680</definedName>
    <definedName name="NOTE_2211d" localSheetId="10" hidden="1">Notes!$E$3682:$K$3712</definedName>
    <definedName name="NOTE_2211x" localSheetId="10" hidden="1">Notes!$E$3714:$I$3725</definedName>
    <definedName name="NOTE_2221a" localSheetId="10" hidden="1">Notes!$E$3728:$K$3745</definedName>
    <definedName name="NOTE_2221x" localSheetId="10" hidden="1">Notes!$E$3747:$K$3758</definedName>
    <definedName name="NOTE_2231a" localSheetId="10" hidden="1">Notes!$E$3771:$I$3789</definedName>
    <definedName name="NOTE_2231b" localSheetId="10" hidden="1">Notes!$E$3791:$I$3799</definedName>
    <definedName name="NOTE_2232a" localSheetId="10" hidden="1">Notes!$E$3802:$I$3817</definedName>
    <definedName name="NOTE_2232b" localSheetId="10" hidden="1">Notes!$E$3819:$I$3827</definedName>
    <definedName name="NOTE_2241a" localSheetId="10" hidden="1">Notes!$E$3887:$I$3895</definedName>
    <definedName name="NOTE_2241b" localSheetId="10" hidden="1">Notes!$E$3867:$J$3875</definedName>
    <definedName name="NOTE_2241c" localSheetId="10" hidden="1">Notes!$E$3857:$I$3865</definedName>
    <definedName name="NOTE_2241e" localSheetId="10" hidden="1">Notes!$E$3830:$I$3838</definedName>
    <definedName name="NOTE_2241f" localSheetId="10" hidden="1">Notes!$E$3840:$I$3848</definedName>
    <definedName name="NOTE_2241fCHKH01" localSheetId="10" hidden="1">Notes!$G$3849:$J$3855</definedName>
    <definedName name="NOTE_2241g" localSheetId="10" hidden="1">Notes!$E$3877:$J$3885</definedName>
    <definedName name="NOTE_2241x" localSheetId="10" hidden="1">Notes!$E$3897:$I$3914</definedName>
    <definedName name="NOTE_2246a" localSheetId="10" hidden="1">Notes!$E$3761:$I$3768</definedName>
    <definedName name="NOTE_2315a" localSheetId="10" hidden="1">Notes!$E$3917:$I$3925</definedName>
    <definedName name="NOTE_2395a" localSheetId="10" hidden="1">Notes!$E$3928:$I$3936</definedName>
    <definedName name="NOTE_2395b" localSheetId="10" hidden="1">Notes!$E$3938:$I$3946</definedName>
    <definedName name="NOTE_2395e" localSheetId="10" hidden="1">Notes!$E$3948:$Q$3956</definedName>
    <definedName name="NOTE_2395f" localSheetId="10" hidden="1">Notes!$E$3958:$I$3966</definedName>
    <definedName name="NOTE_2396a" localSheetId="10" hidden="1">Notes!$E$3969:$I$3978</definedName>
    <definedName name="NOTE_2396c" localSheetId="10" hidden="1">Notes!$E$3980:$Q$3988</definedName>
    <definedName name="NOTE_2396cCHKH01" localSheetId="10" hidden="1">Notes!$G$3989:$Q$3995</definedName>
    <definedName name="NOTE_2401a" localSheetId="10" hidden="1">Notes!$E$4262:$L$4268</definedName>
    <definedName name="NOTE_2401b" localSheetId="10" hidden="1">Notes!$E$4270:$N$4278</definedName>
    <definedName name="NOTE_2401bCHKH01" localSheetId="10" hidden="1">Notes!$G$4279:$O$4285</definedName>
    <definedName name="NOTE_2501a" localSheetId="10" hidden="1">Notes!$E$3998:$J$4009</definedName>
    <definedName name="NOTE_2501c" localSheetId="10" hidden="1">Notes!$E$4041:$J$4049</definedName>
    <definedName name="NOTE_2501d" localSheetId="10" hidden="1">Notes!$E$4011:$L$4019</definedName>
    <definedName name="NOTE_2501e" localSheetId="10" hidden="1">Notes!$E$4021:$L$4029</definedName>
    <definedName name="NOTE_2501f" localSheetId="10" hidden="1">Notes!$E$4031:$K$4039</definedName>
    <definedName name="NOTE_2502a" localSheetId="10" hidden="1">Notes!$E$4062:$Q$4073</definedName>
    <definedName name="NOTE_2502b" localSheetId="10" hidden="1">Notes!$E$4052:$I$4060</definedName>
    <definedName name="NOTE_2502c" localSheetId="10" hidden="1">Notes!$E$4085:$O$4095</definedName>
    <definedName name="NOTE_2502d" localSheetId="10" hidden="1">Notes!$E$4075:$O$4083</definedName>
    <definedName name="NOTE_2502e" localSheetId="10" hidden="1">Notes!$E$4097:$J$4105</definedName>
    <definedName name="NOTE_2701c" localSheetId="10" hidden="1">Notes!$E$4119:$I$4128</definedName>
    <definedName name="NOTE_2701cCHKH01" localSheetId="10" hidden="1">Notes!$G$4129:$J$4135</definedName>
    <definedName name="NOTE_2701d" localSheetId="10" hidden="1">Notes!$E$4137:$J$4145</definedName>
    <definedName name="NOTE_2706a" localSheetId="10" hidden="1">Notes!$E$4108:$I$4116</definedName>
    <definedName name="NOTE_2711a" localSheetId="10" hidden="1">Notes!$E$4148:$L$4156</definedName>
    <definedName name="NOTE_2711b" localSheetId="10" hidden="1">Notes!$E$4158:$J$4166</definedName>
    <definedName name="NOTE_2715a" localSheetId="10" hidden="1">Notes!$E$4169:$I$4177</definedName>
    <definedName name="NOTE_2715b" localSheetId="10" hidden="1">Notes!$E$4179:$I$4197</definedName>
    <definedName name="NOTE_2715c" localSheetId="10" hidden="1">Notes!$E$4199:$I$4212</definedName>
    <definedName name="NOTE_2715d" localSheetId="10" hidden="1">Notes!$E$4214:$I$4221</definedName>
    <definedName name="NOTE_2715g" localSheetId="10" hidden="1">Notes!$E$4223:$I$4232</definedName>
    <definedName name="NOTE_2715h" localSheetId="10" hidden="1">Notes!$E$4234:$J$4245</definedName>
    <definedName name="NOTE_2801a" localSheetId="10" hidden="1">Notes!$E$4248:$J$4259</definedName>
    <definedName name="NOTE_2901a" localSheetId="10" hidden="1">Notes!$E$3239:$K$3239</definedName>
    <definedName name="NOTE_2996a" localSheetId="10" hidden="1">Notes!$E$4288:$I$4296</definedName>
    <definedName name="NOTE_2996x" localSheetId="10" hidden="1">Notes!$E$4298:$Q$4306</definedName>
    <definedName name="NOTE_4001a" localSheetId="10" hidden="1">Notes!$E$4309:$N$4316</definedName>
    <definedName name="NOTE_4001b" localSheetId="10" hidden="1">Notes!$E$4318:$M$4328</definedName>
    <definedName name="NOTE_4002a" localSheetId="10" hidden="1">Notes!$E$4352:$K$4358</definedName>
    <definedName name="NOTE_4015a" localSheetId="10" hidden="1">Notes!$E$4341:$O$4349</definedName>
    <definedName name="NOTE_4015b" localSheetId="10" hidden="1">Notes!$E$4331:$O$4339</definedName>
    <definedName name="NOTE_4101a" localSheetId="10" hidden="1">Notes!$E$4438:$K$4447</definedName>
    <definedName name="NOTE_4101b" localSheetId="10" hidden="1">Notes!$E$4425:$M$4436</definedName>
    <definedName name="NOTE_4102a" localSheetId="10" hidden="1">Notes!$E$4450:$K$4455</definedName>
    <definedName name="NOTE_4200a" localSheetId="10" hidden="1">Notes!$E$4458:$I$4473</definedName>
    <definedName name="NOTE_4200b" localSheetId="10" hidden="1">Notes!$E$4475:$H$4484</definedName>
    <definedName name="NOTE_4201a" localSheetId="10" hidden="1">Notes!$E$4361:$K$4365</definedName>
    <definedName name="NOTE_4215a" localSheetId="10" hidden="1">Notes!$E$4393:$N$4411</definedName>
    <definedName name="NOTE_4215b" localSheetId="10" hidden="1">Notes!$E$4368:$P$4391</definedName>
    <definedName name="NOTE_4301a" localSheetId="10" hidden="1">Notes!$E$4414:$K$4422</definedName>
    <definedName name="NOTE_6001a" localSheetId="10" hidden="1">Notes!$E$4486:$I$4486</definedName>
    <definedName name="NOTE_6001x" localSheetId="10" hidden="1">Notes!$E$4613:$I$4621</definedName>
    <definedName name="NOTE_6064a" localSheetId="10" hidden="1">Notes!$E$4499:$I$4506</definedName>
    <definedName name="NOTE_6064b" localSheetId="10" hidden="1">Notes!$E$4508:$I$4515</definedName>
    <definedName name="NOTE_6064c" localSheetId="10" hidden="1">Notes!$E$4517:$K$4532</definedName>
    <definedName name="NOTE_6064cCHKH01" localSheetId="10" hidden="1">Notes!$G$4533:$K$4539</definedName>
    <definedName name="NOTE_6064d" localSheetId="10" hidden="1">Notes!$E$4541:$K$4555</definedName>
    <definedName name="NOTE_6064dCHKH01" localSheetId="10" hidden="1">Notes!$G$4556:$K$4562</definedName>
    <definedName name="NOTE_6064e" localSheetId="10" hidden="1">Notes!$E$4564:$K$4574</definedName>
    <definedName name="NOTE_6064eCHKH01" localSheetId="10" hidden="1">Notes!$G$4575:$K$4581</definedName>
    <definedName name="NOTE_6064f" localSheetId="10" hidden="1">Notes!$E$4583:$H$4596</definedName>
    <definedName name="NOTE_6064g" localSheetId="10" hidden="1">Notes!$E$4598:$H$4611</definedName>
    <definedName name="NOTE_6064h" localSheetId="10" hidden="1">Notes!$E$4489:$K$4497</definedName>
    <definedName name="NOTE_6101a" localSheetId="10" hidden="1">Notes!$E$4850:$I$4861</definedName>
    <definedName name="NOTE_6101b" localSheetId="10" hidden="1">Notes!$E$4837:$I$4848</definedName>
    <definedName name="NOTE_6102a" localSheetId="10" hidden="1">Notes!$E$4823:$I$4834</definedName>
    <definedName name="NOTE_6111a" localSheetId="10" hidden="1">Notes!$E$4800:$I$4820</definedName>
    <definedName name="NOTE_6171a" localSheetId="10" hidden="1">Notes!$E$4900:$I$4912</definedName>
    <definedName name="NOTE_6181a" localSheetId="10" hidden="1">Notes!$E$4777:$J$4789</definedName>
    <definedName name="NOTE_6181aCHKH01" localSheetId="10" hidden="1">Notes!$G$4790:$K$4797</definedName>
    <definedName name="NOTE_6401a" localSheetId="10" hidden="1">Notes!$E$4487:$I$4487</definedName>
    <definedName name="NOTE_6401x" localSheetId="10" hidden="1">Notes!$E$4623:$I$4631</definedName>
    <definedName name="NOTE_6600a" localSheetId="10" hidden="1">Notes!$E$4634:$I$4651</definedName>
    <definedName name="NOTE_6600x" localSheetId="10" hidden="1">Notes!$E$4653:$I$4661</definedName>
    <definedName name="NOTE_6601a" localSheetId="10" hidden="1">Notes!$E$4664:$I$4682</definedName>
    <definedName name="NOTE_6601x" localSheetId="10" hidden="1">Notes!$E$4684:$I$4692</definedName>
    <definedName name="NOTE_6602a" localSheetId="10" hidden="1">Notes!$E$4695:$I$4713</definedName>
    <definedName name="NOTE_6602x" localSheetId="10" hidden="1">Notes!$E$4715:$I$4723</definedName>
    <definedName name="NOTE_6603a" localSheetId="10" hidden="1">Notes!$E$4751:$I$4764</definedName>
    <definedName name="NOTE_6603x" localSheetId="10" hidden="1">Notes!$E$4766:$I$4774</definedName>
    <definedName name="NOTE_6606a" localSheetId="10" hidden="1">Notes!$E$4726:$I$4735</definedName>
    <definedName name="NOTE_6606x" localSheetId="10" hidden="1">Notes!$E$4737:$J$4748</definedName>
    <definedName name="NOTE_6671a" localSheetId="10" hidden="1">Notes!$E$4878:$I$4897</definedName>
    <definedName name="NOTE_6672a" localSheetId="10" hidden="1">Notes!$E$4864:$I$4875</definedName>
    <definedName name="NOTE_6710a" localSheetId="10" hidden="1">Notes!$E$4915:$J$4926</definedName>
    <definedName name="NOTE_6710b" localSheetId="10" hidden="1">Notes!$E$4928:$J$4936</definedName>
    <definedName name="NOTE_6710bCHKH01" localSheetId="10" hidden="1">Notes!$G$4937:$K$4943</definedName>
    <definedName name="NOTE_6711a" localSheetId="10" hidden="1">Notes!$E$4946:$J$4956</definedName>
    <definedName name="NOTE_6791a" localSheetId="10" hidden="1">Notes!$E$4959:$I$4965</definedName>
    <definedName name="NOTE_6791b" localSheetId="10" hidden="1">Notes!$E$4967:$I$4983</definedName>
    <definedName name="NOTE_7001x" localSheetId="10" hidden="1">Notes!$E$5870:$J$5878</definedName>
    <definedName name="NOTE_7046a" localSheetId="10" hidden="1">Notes!$E$5022:$I$5035</definedName>
    <definedName name="NOTE_7046x" localSheetId="10" hidden="1">Notes!$E$5881:$J$5889</definedName>
    <definedName name="NOTE_7051x" localSheetId="10" hidden="1">Notes!$E$5892:$J$5900</definedName>
    <definedName name="NOTE_7061x" localSheetId="10" hidden="1">Notes!$E$5903:$J$5911</definedName>
    <definedName name="NOTE_7071x" localSheetId="10" hidden="1">Notes!$E$5914:$J$5922</definedName>
    <definedName name="NOTE_7096a" localSheetId="10" hidden="1">Notes!$E$5038:$I$5051</definedName>
    <definedName name="NOTE_7096x" localSheetId="10" hidden="1">Notes!$E$5925:$J$5933</definedName>
    <definedName name="NOTE_7101x" localSheetId="10" hidden="1">Notes!$E$5936:$J$5944</definedName>
    <definedName name="NOTE_7105x" localSheetId="10" hidden="1">Notes!$E$5947:$J$5955</definedName>
    <definedName name="NOTE_7111x" localSheetId="10" hidden="1">Notes!$E$5958:$J$5974</definedName>
    <definedName name="NOTE_7146a" localSheetId="10" hidden="1">Notes!$E$5054:$I$5062</definedName>
    <definedName name="NOTE_7151x" localSheetId="10" hidden="1">Notes!$E$5977:$J$5995</definedName>
    <definedName name="NOTE_7161x" localSheetId="10" hidden="1">Notes!$E$5998:$J$6006</definedName>
    <definedName name="NOTE_7196a" localSheetId="10" hidden="1">Notes!$E$5065:$I$5073</definedName>
    <definedName name="NOTE_7211x" localSheetId="10" hidden="1">Notes!$E$6009:$J$6018</definedName>
    <definedName name="NOTE_7246a" localSheetId="10" hidden="1">Notes!$E$5076:$I$5084</definedName>
    <definedName name="NOTE_7251x" localSheetId="10" hidden="1">Notes!$E$6021:$J$6030</definedName>
    <definedName name="NOTE_7261x" localSheetId="10" hidden="1">Notes!$E$6033:$J$6052</definedName>
    <definedName name="NOTE_7296a" localSheetId="10" hidden="1">Notes!$E$5087:$I$5095</definedName>
    <definedName name="NOTE_7400a" localSheetId="10" hidden="1">Notes!$E$5019:$I$5019</definedName>
    <definedName name="NOTE_7500a" localSheetId="10" hidden="1">Notes!$E$5098:$I$5119</definedName>
    <definedName name="NOTE_7500b" localSheetId="10" hidden="1">Notes!$E$5121:$I$5127</definedName>
    <definedName name="NOTE_7500c" localSheetId="10" hidden="1">Notes!$E$5129:$I$5136</definedName>
    <definedName name="NOTE_7500e" localSheetId="10" hidden="1">Notes!$E$5158:$I$5172</definedName>
    <definedName name="NOTE_7500f" localSheetId="10" hidden="1">Notes!$E$5174:$H$5182</definedName>
    <definedName name="NOTE_7500g" localSheetId="10" hidden="1">Notes!$E$5138:$H$5146</definedName>
    <definedName name="NOTE_7500h" localSheetId="10" hidden="1">Notes!$E$5148:$H$5156</definedName>
    <definedName name="NOTE_7503a" localSheetId="10" hidden="1">Notes!$E$6056:$I$6062</definedName>
    <definedName name="NOTE_7505a" localSheetId="10" hidden="1">Notes!$E$6065:$I$6073</definedName>
    <definedName name="NOTE_7506a" localSheetId="10" hidden="1">Notes!$E$6076:$I$6082</definedName>
    <definedName name="NOTE_7507a" localSheetId="10" hidden="1">Notes!$E$6085:$I$6091</definedName>
    <definedName name="NOTE_7508a" localSheetId="10" hidden="1">Notes!$E$6094:$I$6105</definedName>
    <definedName name="NOTE_7509a" localSheetId="10" hidden="1">Notes!$E$6108:$I$6115</definedName>
    <definedName name="NOTE_7510a" localSheetId="10" hidden="1">Notes!$E$6118:$I$6124</definedName>
    <definedName name="NOTE_7511a" localSheetId="10" hidden="1">Notes!$E$6127:$I$6135</definedName>
    <definedName name="NOTE_7512a" localSheetId="10" hidden="1">Notes!$E$6138:$I$6144</definedName>
    <definedName name="NOTE_7515a" localSheetId="10" hidden="1">Notes!$E$6147:$K$6153</definedName>
    <definedName name="NOTE_7516a" localSheetId="10" hidden="1">Notes!$E$6156:$K$6162</definedName>
    <definedName name="NOTE_7517a" localSheetId="10" hidden="1">Notes!$E$6165:$K$6184</definedName>
    <definedName name="NOTE_7518a" localSheetId="10" hidden="1">Notes!$E$6187:$K$6211</definedName>
    <definedName name="NOTE_7519a" localSheetId="10" hidden="1">Notes!$E$6214:$K$6240</definedName>
    <definedName name="NOTE_7523a" localSheetId="10" hidden="1">Notes!$E$6243:$I$6249</definedName>
    <definedName name="NOTE_9120c" localSheetId="10" hidden="1">Notes!$E$5649:$M$5657</definedName>
    <definedName name="NOTE_9120d" localSheetId="10" hidden="1">Notes!$E$5659:$M$5667</definedName>
    <definedName name="NOTE_9120e" localSheetId="10" hidden="1">Notes!$E$5669:$J$5677</definedName>
    <definedName name="NOTE_9120f" localSheetId="10" hidden="1">Notes!$E$5679:$J$5687</definedName>
    <definedName name="NOTE_9120g" localSheetId="10" hidden="1">Notes!$E$5689:$K$5697</definedName>
    <definedName name="NOTE_9120h" localSheetId="10" hidden="1">Notes!$E$5699:$K$5707</definedName>
    <definedName name="NOTE_9120i" localSheetId="10" hidden="1">Notes!$E$5709:$K$5717</definedName>
    <definedName name="NOTE_9120j" localSheetId="10" hidden="1">Notes!$E$5719:$K$5727</definedName>
    <definedName name="NOTE_9120k" localSheetId="10" hidden="1">Notes!$E$5729:$J$5737</definedName>
    <definedName name="NOTE_9120l" localSheetId="10" hidden="1">Notes!$E$5739:$I$5745</definedName>
    <definedName name="NOTE_9120m" localSheetId="10" hidden="1">Notes!$E$5623:$J$5634</definedName>
    <definedName name="NOTE_9120n" localSheetId="10" hidden="1">Notes!$E$5636:$J$5647</definedName>
    <definedName name="NOTE_9120o" localSheetId="10" hidden="1">Notes!$E$5747:$L$5760</definedName>
    <definedName name="NOTE_9120p" localSheetId="10" hidden="1">Notes!$E$5762:$J$5773</definedName>
    <definedName name="NOTE_9314a" localSheetId="10" hidden="1">Notes!$E$5185:$I$5193</definedName>
    <definedName name="NOTE_9325g" localSheetId="10" hidden="1">Notes!$E$5321:$L$5336</definedName>
    <definedName name="NOTE_9325h" localSheetId="10" hidden="1">Notes!$E$5338:$L$5353</definedName>
    <definedName name="NOTE_9325i" localSheetId="10" hidden="1">Notes!$E$5355:$M$5369</definedName>
    <definedName name="NOTE_9325j" localSheetId="10" hidden="1">Notes!$E$5371:$M$5385</definedName>
    <definedName name="NOTE_9325k" localSheetId="10" hidden="1">Notes!$E$5387:$J$5419</definedName>
    <definedName name="NOTE_9325m" localSheetId="10" hidden="1">Notes!$E$5421:$J$5453</definedName>
    <definedName name="NOTE_9331a" localSheetId="10" hidden="1">Notes!$E$5456:$K$5500</definedName>
    <definedName name="NOTE_9331b" localSheetId="10" hidden="1">Notes!$E$5603:$K$5620</definedName>
    <definedName name="NOTE_9331g" localSheetId="10" hidden="1">Notes!$E$5577:$R$5601</definedName>
    <definedName name="NOTE_9331i" localSheetId="10" hidden="1">Notes!$E$5550:$J$5557</definedName>
    <definedName name="NOTE_9331j" localSheetId="10" hidden="1">Notes!$E$5559:$K$5575</definedName>
    <definedName name="NOTE_9331k" localSheetId="10" hidden="1">Notes!$E$5502:$K$5548</definedName>
    <definedName name="NOTE_9367a" localSheetId="10" hidden="1">Notes!$E$5776:$I$5795</definedName>
    <definedName name="NOTE_9367b" localSheetId="10" hidden="1">Notes!$E$5797:$M$5803</definedName>
    <definedName name="NOTE_9371h" localSheetId="10" hidden="1">Notes!$E$5277:$L$5290</definedName>
    <definedName name="NOTE_9371i" localSheetId="10" hidden="1">Notes!$E$5292:$L$5305</definedName>
    <definedName name="NOTE_9371j" localSheetId="10" hidden="1">Notes!$E$5307:$I$5318</definedName>
    <definedName name="NOTE_9601a" localSheetId="10" hidden="1">Notes!$E$5806:$J$5836</definedName>
    <definedName name="NOTE_9601b" localSheetId="10" hidden="1">Notes!$E$5848:$I$5856</definedName>
    <definedName name="NOTE_9601c" localSheetId="10" hidden="1">Notes!$E$5838:$I$5846</definedName>
    <definedName name="NOTE_9601d" localSheetId="10" hidden="1">Notes!$E$5858:$I$5866</definedName>
    <definedName name="NOTE_9690a" localSheetId="10" hidden="1">Notes!$E$4986:$I$4998</definedName>
    <definedName name="NOTE_9690b" localSheetId="10" hidden="1">Notes!$E$5000:$Q$5008</definedName>
    <definedName name="NOTE_9690c" localSheetId="10" hidden="1">Notes!$E$5010:$O$5018</definedName>
    <definedName name="NXform">#N/A</definedName>
    <definedName name="oldPath" hidden="1">"E:\潘汝彬\物资装备2004年预审计\审计工作\本部\供应中心\西安石油(供应中心)2003"</definedName>
    <definedName name="Other_assets">#N/A</definedName>
    <definedName name="owners_equity">#N/A</definedName>
    <definedName name="Parameter_ColsHide" localSheetId="17" hidden="1">"A:A,C:G,AA:AD"</definedName>
    <definedName name="Parameter_ColsHide" localSheetId="20" hidden="1">"A:A,C:G,AA:AD"</definedName>
    <definedName name="Parameter_ColsHide" localSheetId="21" hidden="1">"A:D"</definedName>
    <definedName name="Parameter_ColsHide" localSheetId="12" hidden="1">"A:D"</definedName>
    <definedName name="Parameter_ColsHide" localSheetId="23" hidden="1">"A:B"</definedName>
    <definedName name="Parameter_ColsHide" localSheetId="15">"A:B"</definedName>
    <definedName name="Parameter_ColsHide" localSheetId="14" hidden="1">"A:B"</definedName>
    <definedName name="Parameter_ColsHide" localSheetId="18" hidden="1">"A:A,C:G"</definedName>
    <definedName name="Parameter_ColsHide" localSheetId="2" hidden="1">"D:D,I:I"</definedName>
    <definedName name="Parameter_ColsHide" localSheetId="22" hidden="1">"A:B"</definedName>
    <definedName name="Parameter_ColsHide" localSheetId="13" hidden="1">"A:B"</definedName>
    <definedName name="Parameter_ColsHide" localSheetId="1" hidden="1">"G:H"</definedName>
    <definedName name="Parameter_ColsHide" localSheetId="9" hidden="1">"A:C"</definedName>
    <definedName name="Parameter_ColsHide" localSheetId="10" hidden="1">"A:E"</definedName>
    <definedName name="Parameter_ColsHide" localSheetId="24">"A:B"</definedName>
    <definedName name="Parameter_ColsHide" localSheetId="3" hidden="1">"A:C,H:H"</definedName>
    <definedName name="Parameter_ColsHide" localSheetId="7" hidden="1">"A:B"</definedName>
    <definedName name="Parameter_ColsHide" localSheetId="5" hidden="1">"A:B"</definedName>
    <definedName name="Parameter_ColsHide" localSheetId="4" hidden="1">"A:B"</definedName>
    <definedName name="Parameter_ColsHide" localSheetId="16" hidden="1">"A:C"</definedName>
    <definedName name="Parameter_ColsHide" localSheetId="19" hidden="1">"A:A,C:G,AA:AD"</definedName>
    <definedName name="Parameter_EntryNum" localSheetId="17" hidden="1">AJE!$F$4</definedName>
    <definedName name="Parameter_EntryNum" localSheetId="20" hidden="1">'AJE1'!$F$4</definedName>
    <definedName name="Parameter_EntryNum" localSheetId="18" hidden="1">CFJE!$F$4</definedName>
    <definedName name="Parameter_EntryNum" localSheetId="19" hidden="1">UJE!$F$4</definedName>
    <definedName name="Parameter_RowsHide" localSheetId="17" hidden="1">"1:3"</definedName>
    <definedName name="Parameter_RowsHide" localSheetId="20" hidden="1">"1:3"</definedName>
    <definedName name="Parameter_RowsHide" localSheetId="21" hidden="1">"1:1"</definedName>
    <definedName name="Parameter_RowsHide" localSheetId="12" hidden="1">"1:1"</definedName>
    <definedName name="Parameter_RowsHide" localSheetId="23" hidden="1">"1:1"</definedName>
    <definedName name="Parameter_RowsHide" localSheetId="15">"1:2"</definedName>
    <definedName name="Parameter_RowsHide" localSheetId="14" hidden="1">"1:1"</definedName>
    <definedName name="Parameter_RowsHide" localSheetId="18" hidden="1">"1:3"</definedName>
    <definedName name="Parameter_RowsHide" localSheetId="22" hidden="1">"1:1"</definedName>
    <definedName name="Parameter_RowsHide" localSheetId="13" hidden="1">"1:1"</definedName>
    <definedName name="Parameter_RowsHide" localSheetId="1" hidden="1">"1:1"</definedName>
    <definedName name="Parameter_RowsHide" localSheetId="9" hidden="1">"1:1,7:7"</definedName>
    <definedName name="Parameter_RowsHide" localSheetId="10" hidden="1">"1:1"</definedName>
    <definedName name="Parameter_RowsHide" localSheetId="24">"1:2"</definedName>
    <definedName name="Parameter_RowsHide" localSheetId="3" hidden="1">"1:1,6:7"</definedName>
    <definedName name="Parameter_RowsHide" localSheetId="7" hidden="1">"1:2"</definedName>
    <definedName name="Parameter_RowsHide" localSheetId="5" hidden="1">"1:1,6:7"</definedName>
    <definedName name="Parameter_RowsHide" localSheetId="4" hidden="1">"1:1,6:7"</definedName>
    <definedName name="Parameter_RowsHide" localSheetId="16" hidden="1">"1:1,5:5"</definedName>
    <definedName name="Parameter_RowsHide" localSheetId="19" hidden="1">"1:3"</definedName>
    <definedName name="Parameter_TableCli" localSheetId="17" hidden="1">"1"</definedName>
    <definedName name="Parameter_TableCli" localSheetId="20" hidden="1">"1"</definedName>
    <definedName name="Parameter_TableCli" localSheetId="21" hidden="1">"1"</definedName>
    <definedName name="Parameter_TableCli" localSheetId="12" hidden="1">"1"</definedName>
    <definedName name="Parameter_TableCli" localSheetId="23" hidden="1">"1"</definedName>
    <definedName name="Parameter_TableCli" localSheetId="15">"1"</definedName>
    <definedName name="Parameter_TableCli" localSheetId="14" hidden="1">"1"</definedName>
    <definedName name="Parameter_TableCli" localSheetId="18" hidden="1">"1"</definedName>
    <definedName name="Parameter_TableCli" localSheetId="25" hidden="1">"-1"</definedName>
    <definedName name="Parameter_TableCli" localSheetId="26" hidden="1">"-1"</definedName>
    <definedName name="Parameter_TableCli" localSheetId="2" hidden="1">"1"</definedName>
    <definedName name="Parameter_TableCli" localSheetId="22" hidden="1">"1"</definedName>
    <definedName name="Parameter_TableCli" localSheetId="13" hidden="1">"1"</definedName>
    <definedName name="Parameter_TableCli" localSheetId="1" hidden="1">"-1"</definedName>
    <definedName name="Parameter_TableCli" localSheetId="9" hidden="1">"1"</definedName>
    <definedName name="Parameter_TableCli" localSheetId="10" hidden="1">"1"</definedName>
    <definedName name="Parameter_TableCli" localSheetId="24">"1"</definedName>
    <definedName name="Parameter_TableCli" localSheetId="3" hidden="1">"1"</definedName>
    <definedName name="Parameter_TableCli" localSheetId="7" hidden="1">"1"</definedName>
    <definedName name="Parameter_TableCli" localSheetId="5" hidden="1">"1"</definedName>
    <definedName name="Parameter_TableCli" localSheetId="4" hidden="1">"1"</definedName>
    <definedName name="Parameter_TableCli" localSheetId="16" hidden="1">"1"</definedName>
    <definedName name="Parameter_TableCli" localSheetId="19" hidden="1">"1"</definedName>
    <definedName name="Parameter_TableCli" localSheetId="35" hidden="1">"1"</definedName>
    <definedName name="Parameter_TableCli" localSheetId="31" hidden="1">"1"</definedName>
    <definedName name="Parameter_TableCli" localSheetId="32" hidden="1">"1"</definedName>
    <definedName name="Parameter_TableCli" localSheetId="33" hidden="1">"1"</definedName>
    <definedName name="Parameter_TableCli" localSheetId="34" hidden="1">"1"</definedName>
    <definedName name="Parameter_TableCon" localSheetId="17" hidden="1">"IND"</definedName>
    <definedName name="Parameter_TableCon" localSheetId="20" hidden="1">"IND"</definedName>
    <definedName name="Parameter_TableCon" localSheetId="21" hidden="1">"IND"</definedName>
    <definedName name="Parameter_TableCon" localSheetId="12" hidden="1">"IND"</definedName>
    <definedName name="Parameter_TableCon" localSheetId="23" hidden="1">"IND"</definedName>
    <definedName name="Parameter_TableCon" localSheetId="15">"IND"</definedName>
    <definedName name="Parameter_TableCon" localSheetId="14" hidden="1">"IND"</definedName>
    <definedName name="Parameter_TableCon" localSheetId="18" hidden="1">"IND"</definedName>
    <definedName name="Parameter_TableCon" localSheetId="25" hidden="1">"IND"</definedName>
    <definedName name="Parameter_TableCon" localSheetId="26" hidden="1">"IND"</definedName>
    <definedName name="Parameter_TableCon" localSheetId="2" hidden="1">"GEN"</definedName>
    <definedName name="Parameter_TableCon" localSheetId="22" hidden="1">"IND"</definedName>
    <definedName name="Parameter_TableCon" localSheetId="13" hidden="1">"IND"</definedName>
    <definedName name="Parameter_TableCon" localSheetId="1" hidden="1">"IND"</definedName>
    <definedName name="Parameter_TableCon" localSheetId="9" hidden="1">"GEN"</definedName>
    <definedName name="Parameter_TableCon" localSheetId="10" hidden="1">"IND"</definedName>
    <definedName name="Parameter_TableCon" localSheetId="24">"IND"</definedName>
    <definedName name="Parameter_TableCon" localSheetId="3" hidden="1">"IND"</definedName>
    <definedName name="Parameter_TableCon" localSheetId="7" hidden="1">"IND"</definedName>
    <definedName name="Parameter_TableCon" localSheetId="5" hidden="1">"IND"</definedName>
    <definedName name="Parameter_TableCon" localSheetId="4" hidden="1">"IND"</definedName>
    <definedName name="Parameter_TableCon" localSheetId="16" hidden="1">"IND"</definedName>
    <definedName name="Parameter_TableCon" localSheetId="19" hidden="1">"IND"</definedName>
    <definedName name="Parameter_TableCon" localSheetId="35" hidden="1">"GEN"</definedName>
    <definedName name="Parameter_TableCon" localSheetId="31" hidden="1">"GEN"</definedName>
    <definedName name="Parameter_TableCon" localSheetId="32" hidden="1">"GEN"</definedName>
    <definedName name="Parameter_TableCon" localSheetId="33" hidden="1">"GEN"</definedName>
    <definedName name="Parameter_TableCon" localSheetId="34" hidden="1">"GEN"</definedName>
    <definedName name="Parameter_TableHeaders" localSheetId="21" hidden="1">"2:4"</definedName>
    <definedName name="Parameter_TableHeaders" localSheetId="12" hidden="1">"2:4"</definedName>
    <definedName name="Parameter_TableHeaders" localSheetId="23" hidden="1">"2:5"</definedName>
    <definedName name="Parameter_TableHeaders" localSheetId="15">"3:5"</definedName>
    <definedName name="Parameter_TableHeaders" localSheetId="14" hidden="1">"2:5"</definedName>
    <definedName name="Parameter_TableHeaders" localSheetId="2">"2:6"</definedName>
    <definedName name="Parameter_TableHeaders" localSheetId="22" hidden="1">"2:5"</definedName>
    <definedName name="Parameter_TableHeaders" localSheetId="13" hidden="1">"2:5"</definedName>
    <definedName name="Parameter_TableHeaders" localSheetId="9" hidden="1">"2:6"</definedName>
    <definedName name="Parameter_TableHeaders" localSheetId="10" hidden="1">"2:6"</definedName>
    <definedName name="Parameter_TableHeaders" localSheetId="24">"3:5"</definedName>
    <definedName name="Parameter_TableHeaders" localSheetId="3" hidden="1">"2:5"</definedName>
    <definedName name="Parameter_TableHeaders" localSheetId="7" hidden="1">"3:5"</definedName>
    <definedName name="Parameter_TableHeaders" localSheetId="5" hidden="1">"2:5"</definedName>
    <definedName name="Parameter_TableHeaders" localSheetId="4" hidden="1">"2:5"</definedName>
    <definedName name="Parameter_TableHeaders" localSheetId="16" hidden="1">"2:6"</definedName>
    <definedName name="Parameter_TableHeaders" localSheetId="35">"2:6"</definedName>
    <definedName name="Parameter_TableHeaders" localSheetId="31">"2:6"</definedName>
    <definedName name="Parameter_TableHeaders" localSheetId="32">"2:6"</definedName>
    <definedName name="Parameter_TableHeaders" localSheetId="33">"2:6"</definedName>
    <definedName name="Parameter_TableHeaders" localSheetId="34">"2:6"</definedName>
    <definedName name="Parameter_TableName" localSheetId="17" hidden="1">"JE"</definedName>
    <definedName name="Parameter_TableName" localSheetId="20" hidden="1">"JE"</definedName>
    <definedName name="Parameter_TableName" localSheetId="21" hidden="1">"BS"</definedName>
    <definedName name="Parameter_TableName" localSheetId="12" hidden="1">"BS"</definedName>
    <definedName name="Parameter_TableName" localSheetId="23" hidden="1">"CF"</definedName>
    <definedName name="Parameter_TableName" localSheetId="15">"CE"</definedName>
    <definedName name="Parameter_TableName" localSheetId="14" hidden="1">"CF"</definedName>
    <definedName name="Parameter_TableName" localSheetId="18" hidden="1">"JE"</definedName>
    <definedName name="Parameter_TableName" localSheetId="25" hidden="1">"WP"</definedName>
    <definedName name="Parameter_TableName" localSheetId="26" hidden="1">"WP"</definedName>
    <definedName name="Parameter_TableName" localSheetId="2" hidden="1">"OT"</definedName>
    <definedName name="Parameter_TableName" localSheetId="22" hidden="1">"IS"</definedName>
    <definedName name="Parameter_TableName" localSheetId="13" hidden="1">"IS"</definedName>
    <definedName name="Parameter_TableName" localSheetId="1" hidden="1">"ME"</definedName>
    <definedName name="Parameter_TableName" localSheetId="9" hidden="1">"OT"</definedName>
    <definedName name="Parameter_TableName" localSheetId="10" hidden="1">"NO"</definedName>
    <definedName name="Parameter_TableName" localSheetId="24">"CE"</definedName>
    <definedName name="Parameter_TableName" localSheetId="3" hidden="1">"BS"</definedName>
    <definedName name="Parameter_TableName" localSheetId="7" hidden="1">"CE"</definedName>
    <definedName name="Parameter_TableName" localSheetId="5" hidden="1">"CF"</definedName>
    <definedName name="Parameter_TableName" localSheetId="4" hidden="1">"IS"</definedName>
    <definedName name="Parameter_TableName" localSheetId="16" hidden="1">"TB"</definedName>
    <definedName name="Parameter_TableName" localSheetId="19" hidden="1">"JE"</definedName>
    <definedName name="Parameter_TableName" localSheetId="35" hidden="1">"OT"</definedName>
    <definedName name="Parameter_TableName" localSheetId="31" hidden="1">"OT"</definedName>
    <definedName name="Parameter_TableName" localSheetId="32" hidden="1">"OT"</definedName>
    <definedName name="Parameter_TableName" localSheetId="33" hidden="1">"OT"</definedName>
    <definedName name="Parameter_TableName" localSheetId="34" hidden="1">"OT"</definedName>
    <definedName name="Parameter_TableRep" localSheetId="17" hidden="1">"-1"</definedName>
    <definedName name="Parameter_TableRep" localSheetId="20" hidden="1">"-1"</definedName>
    <definedName name="Parameter_TableRep" localSheetId="21" hidden="1">"1"</definedName>
    <definedName name="Parameter_TableRep" localSheetId="12" hidden="1">"1"</definedName>
    <definedName name="Parameter_TableRep" localSheetId="23" hidden="1">"3"</definedName>
    <definedName name="Parameter_TableRep" localSheetId="15">"4"</definedName>
    <definedName name="Parameter_TableRep" localSheetId="14" hidden="1">"3"</definedName>
    <definedName name="Parameter_TableRep" localSheetId="18" hidden="1">"-1"</definedName>
    <definedName name="Parameter_TableRep" localSheetId="25" hidden="1">"-1"</definedName>
    <definedName name="Parameter_TableRep" localSheetId="26" hidden="1">"-1"</definedName>
    <definedName name="Parameter_TableRep" localSheetId="2" hidden="1">"-1"</definedName>
    <definedName name="Parameter_TableRep" localSheetId="22" hidden="1">"2"</definedName>
    <definedName name="Parameter_TableRep" localSheetId="13" hidden="1">"2"</definedName>
    <definedName name="Parameter_TableRep" localSheetId="1" hidden="1">"-1"</definedName>
    <definedName name="Parameter_TableRep" localSheetId="9" hidden="1">"-1"</definedName>
    <definedName name="Parameter_TableRep" localSheetId="10" hidden="1">"-1"</definedName>
    <definedName name="Parameter_TableRep" localSheetId="24">"4"</definedName>
    <definedName name="Parameter_TableRep" localSheetId="3" hidden="1">"-1"</definedName>
    <definedName name="Parameter_TableRep" localSheetId="7" hidden="1">"-1"</definedName>
    <definedName name="Parameter_TableRep" localSheetId="5" hidden="1">"-1"</definedName>
    <definedName name="Parameter_TableRep" localSheetId="4" hidden="1">"-1"</definedName>
    <definedName name="Parameter_TableRep" localSheetId="16" hidden="1">"-1"</definedName>
    <definedName name="Parameter_TableRep" localSheetId="19" hidden="1">"-1"</definedName>
    <definedName name="Parameter_TableRep" localSheetId="35" hidden="1">"-1"</definedName>
    <definedName name="Parameter_TableRep" localSheetId="31" hidden="1">"-1"</definedName>
    <definedName name="Parameter_TableRep" localSheetId="32" hidden="1">"-1"</definedName>
    <definedName name="Parameter_TableRep" localSheetId="33" hidden="1">"-1"</definedName>
    <definedName name="Parameter_TableRep" localSheetId="34" hidden="1">"-1"</definedName>
    <definedName name="Parameter_TableTem" localSheetId="17" hidden="1">"A11.03GEN"</definedName>
    <definedName name="Parameter_TableTem" localSheetId="20" hidden="1">"A11.03GEN"</definedName>
    <definedName name="Parameter_TableTem" localSheetId="21" hidden="1">"A11.03GEN"</definedName>
    <definedName name="Parameter_TableTem" localSheetId="12" hidden="1">"A11.03GEN"</definedName>
    <definedName name="Parameter_TableTem" localSheetId="23" hidden="1">"A11.03GEN"</definedName>
    <definedName name="Parameter_TableTem" localSheetId="15">"A11.03GEN"</definedName>
    <definedName name="Parameter_TableTem" localSheetId="14" hidden="1">"A11.03GEN"</definedName>
    <definedName name="Parameter_TableTem" localSheetId="18" hidden="1">"A11.03GEN"</definedName>
    <definedName name="Parameter_TableTem" localSheetId="25" hidden="1">"A11.03GEN"</definedName>
    <definedName name="Parameter_TableTem" localSheetId="26" hidden="1">"A11.03GEN"</definedName>
    <definedName name="Parameter_TableTem" localSheetId="2" hidden="1">"A11.03GEN"</definedName>
    <definedName name="Parameter_TableTem" localSheetId="22" hidden="1">"A11.03GEN"</definedName>
    <definedName name="Parameter_TableTem" localSheetId="13" hidden="1">"A11.03GEN"</definedName>
    <definedName name="Parameter_TableTem" localSheetId="1" hidden="1">"A11.03GEN"</definedName>
    <definedName name="Parameter_TableTem" localSheetId="9" hidden="1">"A11.03GEN"</definedName>
    <definedName name="Parameter_TableTem" localSheetId="10" hidden="1">"A11.03GEN"</definedName>
    <definedName name="Parameter_TableTem" localSheetId="24">"A11.03GEN"</definedName>
    <definedName name="Parameter_TableTem" localSheetId="3" hidden="1">"A11.03GEN"</definedName>
    <definedName name="Parameter_TableTem" localSheetId="7" hidden="1">"A11.03GEN"</definedName>
    <definedName name="Parameter_TableTem" localSheetId="5" hidden="1">"A11.03GEN"</definedName>
    <definedName name="Parameter_TableTem" localSheetId="4" hidden="1">"A11.03GEN"</definedName>
    <definedName name="Parameter_TableTem" localSheetId="16" hidden="1">"A11.03GEN"</definedName>
    <definedName name="Parameter_TableTem" localSheetId="19" hidden="1">"A11.03GEN"</definedName>
    <definedName name="Parameter_TableTem" localSheetId="35" hidden="1">"A11.03GEN"</definedName>
    <definedName name="Parameter_TableTem" localSheetId="31" hidden="1">"A11.03GEN"</definedName>
    <definedName name="Parameter_TableTem" localSheetId="32" hidden="1">"A11.03GEN"</definedName>
    <definedName name="Parameter_TableTem" localSheetId="33" hidden="1">"A11.03GEN"</definedName>
    <definedName name="Parameter_TableTem" localSheetId="34" hidden="1">"A11.03GEN"</definedName>
    <definedName name="Parameter_TableVersion" localSheetId="17" hidden="1">"WPERE211.1225"</definedName>
    <definedName name="Parameter_TableVersion" localSheetId="20" hidden="1">"WPERE211.1225"</definedName>
    <definedName name="Parameter_TableVersion" localSheetId="21" hidden="1">"WPERE211.1225"</definedName>
    <definedName name="Parameter_TableVersion" localSheetId="12" hidden="1">"WPERE211.1225"</definedName>
    <definedName name="Parameter_TableVersion" localSheetId="23" hidden="1">"WPERE211.1225"</definedName>
    <definedName name="Parameter_TableVersion" localSheetId="15">"WPERE211.1225"</definedName>
    <definedName name="Parameter_TableVersion" localSheetId="14" hidden="1">"WPERE211.1225"</definedName>
    <definedName name="Parameter_TableVersion" localSheetId="18" hidden="1">"WPERE211.1225"</definedName>
    <definedName name="Parameter_TableVersion" localSheetId="25" hidden="1">"WPERE211.1225"</definedName>
    <definedName name="Parameter_TableVersion" localSheetId="26" hidden="1">"WPERE211.1225"</definedName>
    <definedName name="Parameter_TableVersion" localSheetId="2" hidden="1">"WPERE211.1225"</definedName>
    <definedName name="Parameter_TableVersion" localSheetId="22" hidden="1">"WPERE211.1225"</definedName>
    <definedName name="Parameter_TableVersion" localSheetId="13" hidden="1">"WPERE211.1225"</definedName>
    <definedName name="Parameter_TableVersion" localSheetId="1" hidden="1">"WPERE211.1225"</definedName>
    <definedName name="Parameter_TableVersion" localSheetId="9" hidden="1">"WPERE211.1225"</definedName>
    <definedName name="Parameter_TableVersion" localSheetId="30" hidden="1">"WPERE211.1225"</definedName>
    <definedName name="Parameter_TableVersion" localSheetId="29" hidden="1">"WPERE211.1225"</definedName>
    <definedName name="Parameter_TableVersion" localSheetId="10" hidden="1">"WPERE215.1025"</definedName>
    <definedName name="Parameter_TableVersion" localSheetId="24">"WPERE211.1225"</definedName>
    <definedName name="Parameter_TableVersion" localSheetId="3" hidden="1">"WPERE211.1225"</definedName>
    <definedName name="Parameter_TableVersion" localSheetId="7" hidden="1">"WPERE211.1225"</definedName>
    <definedName name="Parameter_TableVersion" localSheetId="5" hidden="1">"WPERE211.1225"</definedName>
    <definedName name="Parameter_TableVersion" localSheetId="4" hidden="1">"WPERE211.1225"</definedName>
    <definedName name="Parameter_TableVersion" localSheetId="27" hidden="1">"WPERE211.1225"</definedName>
    <definedName name="Parameter_TableVersion" localSheetId="0" hidden="1">"WPERE211.1225"</definedName>
    <definedName name="Parameter_TableVersion" localSheetId="16" hidden="1">"WPERE211.1225"</definedName>
    <definedName name="Parameter_TableVersion" localSheetId="28" hidden="1">"WPERE211.1225"</definedName>
    <definedName name="Parameter_TableVersion" localSheetId="19" hidden="1">"WPERE211.1225"</definedName>
    <definedName name="Parameter_TableVersion" localSheetId="35" hidden="1">"WPERE211.1225"</definedName>
    <definedName name="Parameter_TableVersion" localSheetId="31" hidden="1">"WPERE211.1225"</definedName>
    <definedName name="Parameter_TableVersion" localSheetId="32" hidden="1">"WPERE211.1225"</definedName>
    <definedName name="Parameter_TableVersion" localSheetId="33" hidden="1">"WPERE211.1225"</definedName>
    <definedName name="Parameter_TableVersion" localSheetId="34" hidden="1">"WPERE211.1225"</definedName>
    <definedName name="PeriodsInYear">#N/A</definedName>
    <definedName name="pgyz51">#N/A</definedName>
    <definedName name="pgyz511">#N/A</definedName>
    <definedName name="pgyz512">#N/A</definedName>
    <definedName name="pgyz513">#N/A</definedName>
    <definedName name="pgyz515">#N/A</definedName>
    <definedName name="pgyz52">#N/A</definedName>
    <definedName name="pgyz521">#N/A</definedName>
    <definedName name="pgyz522">#N/A</definedName>
    <definedName name="pgyz523">#N/A</definedName>
    <definedName name="PinYin" hidden="1">STATPARA!$AD$1:$AE$23</definedName>
    <definedName name="preratio8">#N/A</definedName>
    <definedName name="_xlnm.Print_Area" localSheetId="36">'9000A错报程序表'!$B$2:$J$28</definedName>
    <definedName name="_xlnm.Print_Area" localSheetId="39">'9000B对错报性质的评价'!$B$2:$H$38</definedName>
    <definedName name="_xlnm.Print_Area" localSheetId="40">'9000C错报评价'!$B$2:$K$33</definedName>
    <definedName name="_xlnm.Print_Area" localSheetId="41">'9000D对错报的沟通'!$B$2:$K$41</definedName>
    <definedName name="_xlnm.Print_Area" localSheetId="37">'9002B未更正错报（不包括披露错报）汇总表'!$B$2:$P$33</definedName>
    <definedName name="_xlnm.Print_Area" localSheetId="38">'9002C未更正披露错报汇总表'!$B$2:$H$25</definedName>
    <definedName name="_xlnm.Print_Area" localSheetId="17">AJE!$I$4:$P$48</definedName>
    <definedName name="_xlnm.Print_Area" localSheetId="20">'AJE1'!$I$4:$P$48</definedName>
    <definedName name="_xlnm.Print_Area" localSheetId="21">BalanceSheet!$E$2:$L$61</definedName>
    <definedName name="_xlnm.Print_Area" localSheetId="12">BS!$E$2:$L$52</definedName>
    <definedName name="_xlnm.Print_Area" localSheetId="23">CashFlow!$C$2:$F$62</definedName>
    <definedName name="_xlnm.Print_Area" localSheetId="15">CE!$C$3:$AC$37</definedName>
    <definedName name="_xlnm.Print_Area" localSheetId="14">CF!$C$2:$F$45</definedName>
    <definedName name="_xlnm.Print_Area" localSheetId="18">CFJE!$I$4:$P$49</definedName>
    <definedName name="_xlnm.Print_Area" localSheetId="25">CFWP1!$B$2:$J$113</definedName>
    <definedName name="_xlnm.Print_Area" localSheetId="26">CFWP2!$B$2:$I$196</definedName>
    <definedName name="_xlnm.Print_Area" localSheetId="2">Checks!$B$2:$N$85</definedName>
    <definedName name="_xlnm.Print_Area" localSheetId="22">IncomeStatement!$C$2:$F$70</definedName>
    <definedName name="_xlnm.Print_Area" localSheetId="13">IS!$C$2:$F$57</definedName>
    <definedName name="_xlnm.Print_Area" localSheetId="1">Lead!$B$3:$K$59</definedName>
    <definedName name="_xlnm.Print_Area" localSheetId="9">noteChecks!$D$2:$N$409</definedName>
    <definedName name="_xlnm.Print_Area" localSheetId="10">Notes!$G$2:$R$6250</definedName>
    <definedName name="_xlnm.Print_Area" localSheetId="24">OwnersEquity!$C$3:$AC$38</definedName>
    <definedName name="_xlnm.Print_Area" localSheetId="3">preBS!$D$2:$L$69</definedName>
    <definedName name="_xlnm.Print_Area" localSheetId="7">preCE!$C$3:$AE$41</definedName>
    <definedName name="_xlnm.Print_Area" localSheetId="5">preCF!$C$2:$F$66</definedName>
    <definedName name="_xlnm.Print_Area" localSheetId="4">preIS!$C$2:$F$81</definedName>
    <definedName name="_xlnm.Print_Area" localSheetId="16">TB!$E$2:$M$764</definedName>
    <definedName name="_xlnm.Print_Area" localSheetId="19">UJE!$I$4:$P$51</definedName>
    <definedName name="_xlnm.Print_Area" localSheetId="35">非财务信息!$B$2:$I$17</definedName>
    <definedName name="_xlnm.Print_Area" localSheetId="31">未审报表分析!$B$2:$K$130</definedName>
    <definedName name="_xlnm.Print_Area" localSheetId="32">未审财务指标分析!$B$2:$I$39</definedName>
    <definedName name="_xlnm.Print_Area" localSheetId="33">已审报表分析!$B$2:$K$130</definedName>
    <definedName name="_xlnm.Print_Area" localSheetId="34">已审财务指标分析!$B$2:$I$66</definedName>
    <definedName name="_xlnm.Print_Area">#N/A</definedName>
    <definedName name="Print_Area_MI">#N/A</definedName>
    <definedName name="print_area1">#N/A</definedName>
    <definedName name="_xlnm.Print_Titles" localSheetId="36">'9000A错报程序表'!$2:$6</definedName>
    <definedName name="_xlnm.Print_Titles" localSheetId="39">'9000B对错报性质的评价'!$2:$6</definedName>
    <definedName name="_xlnm.Print_Titles" localSheetId="40">'9000C错报评价'!$2:$6</definedName>
    <definedName name="_xlnm.Print_Titles" localSheetId="41">'9000D对错报的沟通'!$2:$6</definedName>
    <definedName name="_xlnm.Print_Titles" localSheetId="37">'9002B未更正错报（不包括披露错报）汇总表'!$2:$6</definedName>
    <definedName name="_xlnm.Print_Titles" localSheetId="38">'9002C未更正披露错报汇总表'!$2:$6</definedName>
    <definedName name="_xlnm.Print_Titles" localSheetId="17">AJE!$4:$8</definedName>
    <definedName name="_xlnm.Print_Titles" localSheetId="20">'AJE1'!$4:$8</definedName>
    <definedName name="_xlnm.Print_Titles" localSheetId="15">CE!$C:$C</definedName>
    <definedName name="_xlnm.Print_Titles" localSheetId="18">CFJE!$4:$8</definedName>
    <definedName name="_xlnm.Print_Titles" localSheetId="25">CFWP1!$2:$6</definedName>
    <definedName name="_xlnm.Print_Titles" localSheetId="26">CFWP2!$2:$6</definedName>
    <definedName name="_xlnm.Print_Titles" localSheetId="2">Checks!$2:$8</definedName>
    <definedName name="_xlnm.Print_Titles" localSheetId="9">noteChecks!$2:$8</definedName>
    <definedName name="_xlnm.Print_Titles" localSheetId="10">Notes!$2:$6</definedName>
    <definedName name="_xlnm.Print_Titles" localSheetId="24">OwnersEquity!$C:$C</definedName>
    <definedName name="_xlnm.Print_Titles" localSheetId="16">TB!$2:$8</definedName>
    <definedName name="_xlnm.Print_Titles" localSheetId="19">UJE!$4:$8</definedName>
    <definedName name="_xlnm.Print_Titles" localSheetId="35">非财务信息!$2:$7</definedName>
    <definedName name="_xlnm.Print_Titles" localSheetId="31">未审报表分析!$2:$8</definedName>
    <definedName name="_xlnm.Print_Titles" localSheetId="32">未审财务指标分析!$2:$8</definedName>
    <definedName name="_xlnm.Print_Titles" localSheetId="33">已审报表分析!$2:$8</definedName>
    <definedName name="_xlnm.Print_Titles" localSheetId="34">已审财务指标分析!$2:$8</definedName>
    <definedName name="_xlnm.Print_Titles">#N/A</definedName>
    <definedName name="pzyz">#N/A</definedName>
    <definedName name="RDES" hidden="1">#N/A</definedName>
    <definedName name="Round_table">#N/A</definedName>
    <definedName name="RYQ">#N/A</definedName>
    <definedName name="score" hidden="1">#N/A</definedName>
    <definedName name="Sheet_AcctClass" localSheetId="11" hidden="1">[1]STATPARA!$AK$1:$AK$8</definedName>
    <definedName name="Sheet_AcctClass" localSheetId="8" hidden="1">[2]STATPARA!$AK$1:$AK$8</definedName>
    <definedName name="Sheet_AcctClass" hidden="1">STATPARA!$AK$1:$AK$8</definedName>
    <definedName name="Sheet_Adjentry" localSheetId="17" hidden="1">AJE!$A$8:$AE$38</definedName>
    <definedName name="Sheet_Adjentry" localSheetId="20" hidden="1">'AJE1'!$A$8:$AE$38</definedName>
    <definedName name="Sheet_Adjentry" localSheetId="18" hidden="1">CFJE!$A$8:$T$38</definedName>
    <definedName name="Sheet_Adjentry" localSheetId="19" hidden="1">UJE!$A$8:$AE$38</definedName>
    <definedName name="Sheet_AjeProof" localSheetId="11" hidden="1">[1]STATPARA!$AI$1:$AI$22</definedName>
    <definedName name="Sheet_AjeProof" localSheetId="8" hidden="1">[2]STATPARA!$AI$1:$AI$22</definedName>
    <definedName name="Sheet_AjeProof" hidden="1">STATPARA!$AI$1:$AI$22</definedName>
    <definedName name="Sheet_AjeSatus" localSheetId="11" hidden="1">[1]STATPARA!$AG$1:$AG$22</definedName>
    <definedName name="Sheet_AjeSatus" localSheetId="8" hidden="1">[2]STATPARA!$AG$1:$AG$22</definedName>
    <definedName name="Sheet_AjeSatus" hidden="1">STATPARA!$AG$1:$AG$22</definedName>
    <definedName name="Sheet_AnalyData" localSheetId="35" hidden="1">非财务信息!$A$7:$I$17</definedName>
    <definedName name="Sheet_AnalyData" localSheetId="31" hidden="1">未审报表分析!$A$8:$K$130</definedName>
    <definedName name="Sheet_AnalyData" localSheetId="32" hidden="1">未审财务指标分析!$A$8:$I$70</definedName>
    <definedName name="Sheet_AnalyData" localSheetId="33" hidden="1">已审报表分析!$A$8:$K$130</definedName>
    <definedName name="Sheet_AnalyData" localSheetId="34" hidden="1">已审财务指标分析!$A$8:$I$109</definedName>
    <definedName name="Sheet_Balance1" localSheetId="11" hidden="1">[1]TB!$T$6:$U$739</definedName>
    <definedName name="Sheet_Balance1" localSheetId="8" hidden="1">[2]TB!$T$6:$U$729</definedName>
    <definedName name="Sheet_Balance1" hidden="1">TB!$T$6:$U$739</definedName>
    <definedName name="Sheet_BS1" hidden="1">BS!$C$6:$H$51</definedName>
    <definedName name="Sheet_BS2" hidden="1">BS!$D$6:$L$51</definedName>
    <definedName name="Sheet_Caption1" localSheetId="21" hidden="1">BalanceSheet!$E$2:$L$2</definedName>
    <definedName name="Sheet_Caption1" localSheetId="12" hidden="1">BS!$E$2:$L$2</definedName>
    <definedName name="Sheet_Caption1" localSheetId="23" hidden="1">CashFlow!$C$2:$F$2</definedName>
    <definedName name="Sheet_Caption1" localSheetId="15" hidden="1">CE!$H$3</definedName>
    <definedName name="Sheet_Caption1" localSheetId="14" hidden="1">CF!$C$2:$F$2</definedName>
    <definedName name="Sheet_Caption1" localSheetId="22" hidden="1">IncomeStatement!$C$2:$F$2</definedName>
    <definedName name="Sheet_Caption1" localSheetId="13" hidden="1">IS!$C$2:$F$2</definedName>
    <definedName name="Sheet_Caption1" localSheetId="24" hidden="1">OwnersEquity!$H$3</definedName>
    <definedName name="Sheet_Caption2" localSheetId="15" hidden="1">CE!$T$3</definedName>
    <definedName name="Sheet_Caption2" localSheetId="24" hidden="1">OwnersEquity!$T$3</definedName>
    <definedName name="Sheet_CE" hidden="1">CE!$B$2:$AC$36</definedName>
    <definedName name="Sheet_CEcol" hidden="1">CE!$B$2:$AC$2</definedName>
    <definedName name="Sheet_CErow" hidden="1">CE!$B$2:$B$36</definedName>
    <definedName name="Sheet_CF" hidden="1">CF!$B$6:$F$44</definedName>
    <definedName name="Sheet_CF7" localSheetId="11" hidden="1">[1]CF!$B$50:$F$78</definedName>
    <definedName name="Sheet_CF7" localSheetId="8" hidden="1">[2]CF!$B$50:$F$78</definedName>
    <definedName name="Sheet_CF7" hidden="1">CF!$B$49:$F$78</definedName>
    <definedName name="Sheet_Check1" localSheetId="21" hidden="1">BalanceSheet!$E$65:$E$69</definedName>
    <definedName name="Sheet_Check1" localSheetId="12" hidden="1">BS!$E$56:$E$60</definedName>
    <definedName name="Sheet_Check1" localSheetId="23" hidden="1">CashFlow!$C$97:$C$101</definedName>
    <definedName name="Sheet_Check1" localSheetId="15" hidden="1">CE!$C$41:$C$45</definedName>
    <definedName name="Sheet_Check1" localSheetId="14" hidden="1">CF!$C$80:$C$84</definedName>
    <definedName name="Sheet_Check1" localSheetId="22" hidden="1">IncomeStatement!$C$74:$C$81</definedName>
    <definedName name="Sheet_Check1" localSheetId="13" hidden="1">IS!$C$61:$C$68</definedName>
    <definedName name="Sheet_Check1" localSheetId="10" hidden="1">Notes!$G$6252:$G$6256</definedName>
    <definedName name="Sheet_Check1" localSheetId="24" hidden="1">OwnersEquity!$C$42:$C$46</definedName>
    <definedName name="Sheet_Check1" localSheetId="3" hidden="1">preBS!$D$90:$D$97</definedName>
    <definedName name="Sheet_Check1" localSheetId="7" hidden="1">preCE!$C$45:$C$57</definedName>
    <definedName name="Sheet_Check1" localSheetId="5" hidden="1">preCF!$C$100:$C$129</definedName>
    <definedName name="Sheet_Check1" localSheetId="4" hidden="1">preIS!$C$85:$C$129</definedName>
    <definedName name="Sheet_Check1" localSheetId="16" hidden="1">TB!$E$784:$E$877</definedName>
    <definedName name="Sheet_Freeze1" localSheetId="17" hidden="1">AJE!$L$9</definedName>
    <definedName name="Sheet_Freeze1" localSheetId="20" hidden="1">'AJE1'!$L$9</definedName>
    <definedName name="Sheet_Freeze1" localSheetId="21" hidden="1">BalanceSheet!$F$7</definedName>
    <definedName name="Sheet_Freeze1" localSheetId="12" hidden="1">BS!$F$7</definedName>
    <definedName name="Sheet_Freeze1" localSheetId="23" hidden="1">CashFlow!$D$7</definedName>
    <definedName name="Sheet_Freeze1" localSheetId="15" hidden="1">CE!$D$9</definedName>
    <definedName name="Sheet_Freeze1" localSheetId="14" hidden="1">CF!$D$7</definedName>
    <definedName name="Sheet_Freeze1" localSheetId="18" hidden="1">CFJE!$L$9</definedName>
    <definedName name="Sheet_Freeze1" localSheetId="22" hidden="1">IncomeStatement!$D$7</definedName>
    <definedName name="Sheet_Freeze1" localSheetId="13" hidden="1">IS!$D$7</definedName>
    <definedName name="Sheet_Freeze1" localSheetId="10" hidden="1">Notes!$H$8</definedName>
    <definedName name="Sheet_Freeze1" localSheetId="24" hidden="1">OwnersEquity!$D$9</definedName>
    <definedName name="Sheet_Freeze1" localSheetId="3" hidden="1">preBS!$E$9</definedName>
    <definedName name="Sheet_Freeze1" localSheetId="7" hidden="1">preCE!$D$9</definedName>
    <definedName name="Sheet_Freeze1" localSheetId="5" hidden="1">preCF!$D$9</definedName>
    <definedName name="Sheet_Freeze1" localSheetId="4" hidden="1">preIS!$D$9</definedName>
    <definedName name="Sheet_Freeze1" localSheetId="16" hidden="1">TB!$F$9</definedName>
    <definedName name="Sheet_Freeze1" localSheetId="19"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localSheetId="11" hidden="1">[1]STATPARA!$B$1:$J$832</definedName>
    <definedName name="Sheet_Items" localSheetId="8" hidden="1">[2]STATPARA!$B$1:$J$832</definedName>
    <definedName name="Sheet_Items" hidden="1">STATPARA!$B$1:$J$875</definedName>
    <definedName name="Sheet_Items2" localSheetId="11" hidden="1">[1]STATPARA!$C$1:$J$832</definedName>
    <definedName name="Sheet_Items2" localSheetId="8" hidden="1">[2]STATPARA!$C$1:$J$832</definedName>
    <definedName name="Sheet_Items2" hidden="1">STATPARA!$C$1:$J$875</definedName>
    <definedName name="Sheet_Link1" localSheetId="32" hidden="1">未审财务指标分析!$C$42</definedName>
    <definedName name="Sheet_Link1" localSheetId="34" hidden="1">已审财务指标分析!$C$69</definedName>
    <definedName name="Sheet_MisstaCause" localSheetId="11" hidden="1">[1]STATPARA!$AQ$1:$AQ$2</definedName>
    <definedName name="Sheet_MisstaCause" localSheetId="8" hidden="1">[2]STATPARA!$AQ$1:$AQ$2</definedName>
    <definedName name="Sheet_MisstaCause" hidden="1">STATPARA!$AQ$1:$AQ$2</definedName>
    <definedName name="Sheet_MisstaType" localSheetId="11" hidden="1">[1]STATPARA!$AM$1:$AM$3</definedName>
    <definedName name="Sheet_MisstaType" localSheetId="8" hidden="1">[2]STATPARA!$AM$1:$AM$3</definedName>
    <definedName name="Sheet_MisstaType" hidden="1">STATPARA!$AM$1:$AM$3</definedName>
    <definedName name="Sheet_NoteChecks" localSheetId="9" hidden="1">noteChecks!$A$8:$Y$408</definedName>
    <definedName name="Sheet_NoteList" localSheetId="11" hidden="1">[1]STATPARA!$S$1:$X$355</definedName>
    <definedName name="Sheet_NoteList" localSheetId="8" hidden="1">[2]STATPARA!$S$1:$X$355</definedName>
    <definedName name="Sheet_NoteList" hidden="1">STATPARA!$S$1:$X$485</definedName>
    <definedName name="Sheet_Prebs1" localSheetId="11" hidden="1">[1]preBS!$C$8:$G$70</definedName>
    <definedName name="Sheet_Prebs1" localSheetId="8" hidden="1">[2]preBS!$C$8:$G$70</definedName>
    <definedName name="Sheet_Prebs1" hidden="1">preBS!$C$8:$G$68</definedName>
    <definedName name="Sheet_Prebs2" localSheetId="11" hidden="1">[1]preBS!$H$8:$L$70</definedName>
    <definedName name="Sheet_Prebs2" localSheetId="8" hidden="1">[2]preBS!$H$8:$L$70</definedName>
    <definedName name="Sheet_Prebs2" hidden="1">preBS!$H$8:$L$68</definedName>
    <definedName name="Sheet_Prebs3" localSheetId="11" hidden="1">[1]preBS!$C$73:$G$90</definedName>
    <definedName name="Sheet_Prebs3" localSheetId="8" hidden="1">[2]preBS!$C$73:$G$90</definedName>
    <definedName name="Sheet_Prebs3" hidden="1">preBS!$C$71:$G$88</definedName>
    <definedName name="Sheet_Precf" localSheetId="11" hidden="1">[1]preCF!$B$8:$F$66</definedName>
    <definedName name="Sheet_Precf" localSheetId="8" hidden="1">[2]preCF!$B$8:$F$66</definedName>
    <definedName name="Sheet_Precf" hidden="1">preCF!$B$8:$F$65</definedName>
    <definedName name="Sheet_Precf7" localSheetId="11" hidden="1">[1]preCF!$B$70:$F$98</definedName>
    <definedName name="Sheet_Precf7" localSheetId="8" hidden="1">[2]preCF!$B$70:$F$98</definedName>
    <definedName name="Sheet_Precf7" hidden="1">preCF!$B$69:$F$98</definedName>
    <definedName name="Sheet_Preis" localSheetId="11" hidden="1">[1]preIS!$B$8:$F$70</definedName>
    <definedName name="Sheet_Preis" localSheetId="8" hidden="1">[2]preIS!$B$8:$F$70</definedName>
    <definedName name="Sheet_Preis" hidden="1">preIS!$B$8:$F$79</definedName>
    <definedName name="Sheet_Presc" localSheetId="11" hidden="1">[1]preCE!$B$2:$AE$39</definedName>
    <definedName name="Sheet_Presc" localSheetId="8" hidden="1">[2]preCE!$B$2:$AE$39</definedName>
    <definedName name="Sheet_Presc" hidden="1">preCE!$B$2:$AE$40</definedName>
    <definedName name="Sheet_Presccol" localSheetId="11" hidden="1">[1]preCE!$B$2:$AE$2</definedName>
    <definedName name="Sheet_Presccol" localSheetId="8" hidden="1">[2]preCE!$B$2:$AE$2</definedName>
    <definedName name="Sheet_Presccol" hidden="1">preCE!$B$2:$AE$2</definedName>
    <definedName name="Sheet_Prescrow" localSheetId="11" hidden="1">[1]preCE!$B$2:$B$39</definedName>
    <definedName name="Sheet_Prescrow" localSheetId="8" hidden="1">[2]preCE!$B$2:$B$39</definedName>
    <definedName name="Sheet_Prescrow" hidden="1">preCE!$B$2:$B$40</definedName>
    <definedName name="Sheet_Trialbal" localSheetId="11" hidden="1">[1]TB!$D$6:$M$739</definedName>
    <definedName name="Sheet_Trialbal" localSheetId="8" hidden="1">[2]TB!$D$6:$M$739</definedName>
    <definedName name="Sheet_Trialbal" hidden="1">TB!$D$6:$M$781</definedName>
    <definedName name="Sheet_TypeName" hidden="1">STATPARA!$BF$1:$BF$8</definedName>
    <definedName name="Sheet_UncorMistaType" localSheetId="11" hidden="1">[1]STATPARA!$AO$1:$AO$3</definedName>
    <definedName name="Sheet_UncorMistaType" localSheetId="8" hidden="1">[2]STATPARA!$AO$1:$AO$3</definedName>
    <definedName name="Sheet_UncorMistaType" hidden="1">STATPARA!$AO$1:$AO$3</definedName>
    <definedName name="Sheet1">#N/A</definedName>
    <definedName name="Sheet10">#N/A</definedName>
    <definedName name="Sheet11">#N/A</definedName>
    <definedName name="Sheet12">#N/A</definedName>
    <definedName name="Sheet13">#N/A</definedName>
    <definedName name="Sheet14">#N/A</definedName>
    <definedName name="Sheet15">#N/A</definedName>
    <definedName name="Sheet16">#N/A</definedName>
    <definedName name="Sheet18">#N/A</definedName>
    <definedName name="Sheet19">#N/A</definedName>
    <definedName name="Sheet2">#N/A</definedName>
    <definedName name="Sheet20">#N/A</definedName>
    <definedName name="Sheet21">#N/A</definedName>
    <definedName name="Sheet22">#N/A</definedName>
    <definedName name="Sheet23">#N/A</definedName>
    <definedName name="Sheet24">#N/A</definedName>
    <definedName name="Sheet3">#N/A</definedName>
    <definedName name="Sheet4">#N/A</definedName>
    <definedName name="Sheet5">#N/A</definedName>
    <definedName name="Sheet6">#N/A</definedName>
    <definedName name="Sheet7">#N/A</definedName>
    <definedName name="Sheet8">#N/A</definedName>
    <definedName name="Sheet9">#N/A</definedName>
    <definedName name="Short_term_liability">#N/A</definedName>
    <definedName name="ss">#N/A</definedName>
    <definedName name="tax_cash_flow">#N/A</definedName>
    <definedName name="TB">#N/A</definedName>
    <definedName name="TBLink1000" localSheetId="16" hidden="1">TB!$E$9:$E$13</definedName>
    <definedName name="TBLink1900" localSheetId="16" hidden="1">TB!$E$717:$E$721</definedName>
    <definedName name="TBLink2000" localSheetId="16" hidden="1">TB!$E$65:$E$68</definedName>
    <definedName name="TBLink6000" localSheetId="16" hidden="1">TB!$E$126:$E$130</definedName>
    <definedName name="TBLink7000" localSheetId="16" hidden="1">TB!$E$656:$E$660</definedName>
    <definedName name="TBLink7500" localSheetId="16" hidden="1">TB!$E$735:$E$740</definedName>
    <definedName name="TBLink8000" localSheetId="16" hidden="1">TB!$E$201:$E$205</definedName>
    <definedName name="tczmz72">#N/A</definedName>
    <definedName name="TEST0">#N/A</definedName>
    <definedName name="TEST4">#N/A</definedName>
    <definedName name="TEST5">#N/A</definedName>
    <definedName name="TEST6">#N/A</definedName>
    <definedName name="TEST7">#N/A</definedName>
    <definedName name="TEST8">#N/A</definedName>
    <definedName name="TEST9">#N/A</definedName>
    <definedName name="TESTHKEY">#N/A</definedName>
    <definedName name="TESTKEYS">#N/A</definedName>
    <definedName name="TESTVKEY">#N/A</definedName>
    <definedName name="TextRefCopy1">#N/A</definedName>
    <definedName name="TextRefCopy10">#N/A</definedName>
    <definedName name="TextRefCopy11">#N/A</definedName>
    <definedName name="TextRefCopy12">#N/A</definedName>
    <definedName name="TextRefCopy13">#N/A</definedName>
    <definedName name="TextRefCopy14">#N/A</definedName>
    <definedName name="TextRefCopy15">#N/A</definedName>
    <definedName name="TextRefCopy16">#N/A</definedName>
    <definedName name="TextRefCopy17">#N/A</definedName>
    <definedName name="TextRefCopy18">#N/A</definedName>
    <definedName name="TextRefCopy19">#N/A</definedName>
    <definedName name="TextRefCopy2">#N/A</definedName>
    <definedName name="TextRefCopy20">#N/A</definedName>
    <definedName name="TextRefCopy21">#N/A</definedName>
    <definedName name="TextRefCopy22">#N/A</definedName>
    <definedName name="TextRefCopy23">#N/A</definedName>
    <definedName name="TextRefCopy24">#N/A</definedName>
    <definedName name="TextRefCopy25">#N/A</definedName>
    <definedName name="TextRefCopy3">#N/A</definedName>
    <definedName name="TextRefCopy4">#N/A</definedName>
    <definedName name="TextRefCopy49">#N/A</definedName>
    <definedName name="TextRefCopy5">#N/A</definedName>
    <definedName name="TextRefCopy6">#N/A</definedName>
    <definedName name="TextRefCopy7">#N/A</definedName>
    <definedName name="TextRefCopy8">#N/A</definedName>
    <definedName name="TextRefCopy9">#N/A</definedName>
    <definedName name="TextRefCopyRangeCount" hidden="1">136</definedName>
    <definedName name="TONY">#N/A</definedName>
    <definedName name="tzyz51">#N/A</definedName>
    <definedName name="tzyz511">#N/A</definedName>
    <definedName name="tzyz512">#N/A</definedName>
    <definedName name="tzyz513">#N/A</definedName>
    <definedName name="tzyz52">#N/A</definedName>
    <definedName name="tzyz521">#N/A</definedName>
    <definedName name="tzyz522">#N/A</definedName>
    <definedName name="tzyz523">#N/A</definedName>
    <definedName name="tzzmz0311">#N/A</definedName>
    <definedName name="tzzmz0312">#N/A</definedName>
    <definedName name="tzzmz0313">#N/A</definedName>
    <definedName name="tzzmz101">#N/A</definedName>
    <definedName name="tzzmz102">#N/A</definedName>
    <definedName name="tzzmz103">#N/A</definedName>
    <definedName name="tzzmz104">#N/A</definedName>
    <definedName name="tzzmz105">#N/A</definedName>
    <definedName name="tzzmz106">#N/A</definedName>
    <definedName name="tzzmz3">#N/A</definedName>
    <definedName name="tzzmz31">#N/A</definedName>
    <definedName name="tzzmz310">#N/A</definedName>
    <definedName name="tzzmz3101">#N/A</definedName>
    <definedName name="tzzmz31010">#N/A</definedName>
    <definedName name="tzzmz31011">#N/A</definedName>
    <definedName name="tzzmz3102">#N/A</definedName>
    <definedName name="tzzmz3103">#N/A</definedName>
    <definedName name="tzzmz3104">#N/A</definedName>
    <definedName name="tzzmz3105">#N/A</definedName>
    <definedName name="tzzmz3106">#N/A</definedName>
    <definedName name="tzzmz3107">#N/A</definedName>
    <definedName name="tzzmz3108">#N/A</definedName>
    <definedName name="tzzmz3109">#N/A</definedName>
    <definedName name="tzzmz311">#N/A</definedName>
    <definedName name="tzzmz312">#N/A</definedName>
    <definedName name="tzzmz313">#N/A</definedName>
    <definedName name="tzzmz314">#N/A</definedName>
    <definedName name="tzzmz32">#N/A</definedName>
    <definedName name="tzzmz321">#N/A</definedName>
    <definedName name="tzzmz322">#N/A</definedName>
    <definedName name="tzzmz33">#N/A</definedName>
    <definedName name="tzzmz34">#N/A</definedName>
    <definedName name="tzzmz35">#N/A</definedName>
    <definedName name="tzzmz36">#N/A</definedName>
    <definedName name="tzzmz37">#N/A</definedName>
    <definedName name="tzzmz38">#N/A</definedName>
    <definedName name="tzzmz39">#N/A</definedName>
    <definedName name="tzzmz4">#N/A</definedName>
    <definedName name="tzzmz41">#N/A</definedName>
    <definedName name="tzzmz42">#N/A</definedName>
    <definedName name="tzzmz43">#N/A</definedName>
    <definedName name="tzzmz51">#N/A</definedName>
    <definedName name="tzzmz511">#N/A</definedName>
    <definedName name="tzzmz512">#N/A</definedName>
    <definedName name="tzzmz513">#N/A</definedName>
    <definedName name="tzzmz52">#N/A</definedName>
    <definedName name="tzzmz521">#N/A</definedName>
    <definedName name="tzzmz522">#N/A</definedName>
    <definedName name="tzzmz523">#N/A</definedName>
    <definedName name="tzzmz53">#N/A</definedName>
    <definedName name="tzzmz54">#N/A</definedName>
    <definedName name="tzzmz541">#N/A</definedName>
    <definedName name="tzzmz542">#N/A</definedName>
    <definedName name="tzzmz55">#N/A</definedName>
    <definedName name="tzzmz56">#N/A</definedName>
    <definedName name="tzzmz61">#N/A</definedName>
    <definedName name="tzzmz62">#N/A</definedName>
    <definedName name="tzzmz71">#N/A</definedName>
    <definedName name="tzzmz72">#N/A</definedName>
    <definedName name="tzzmz81">#N/A</definedName>
    <definedName name="tzzmz82">#N/A</definedName>
    <definedName name="tzzmz91">#N/A</definedName>
    <definedName name="tzzmz910">#N/A</definedName>
    <definedName name="tzzmz911">#N/A</definedName>
    <definedName name="tzzmz912">#N/A</definedName>
    <definedName name="tzzmz913">#N/A</definedName>
    <definedName name="tzzmz914">#N/A</definedName>
    <definedName name="tzzmz92">#N/A</definedName>
    <definedName name="tzzmz93">#N/A</definedName>
    <definedName name="tzzmz94">#N/A</definedName>
    <definedName name="tzzmz95">#N/A</definedName>
    <definedName name="tzzmz96">#N/A</definedName>
    <definedName name="tzzmz97">#N/A</definedName>
    <definedName name="tzzmz98">#N/A</definedName>
    <definedName name="tzzmz99">#N/A</definedName>
    <definedName name="UFP">#N/A</definedName>
    <definedName name="UFPrn">#N/A</definedName>
    <definedName name="UFPrn20000309112818">#N/A</definedName>
    <definedName name="UFPrn20001231102643">#N/A</definedName>
    <definedName name="UFPrn20011030101002">#N/A</definedName>
    <definedName name="UFPrn20020109153713">#N/A</definedName>
    <definedName name="UFPrn20020109153933">#N/A</definedName>
    <definedName name="UFPrn20020122092524">#N/A</definedName>
    <definedName name="UFPrn20020122103413">#N/A</definedName>
    <definedName name="UFPrn20040316152002">#N/A</definedName>
    <definedName name="UFPrn20040607160131">#N/A</definedName>
    <definedName name="UFPrn20040804154156">#N/A</definedName>
    <definedName name="UFPrn20040807092949">#N/A</definedName>
    <definedName name="UFPrn20041109094030">#N/A</definedName>
    <definedName name="UFPrn20041203134042">#N/A</definedName>
    <definedName name="UFPrn20041221091645">#N/A</definedName>
    <definedName name="UFPrn20041221100446">#N/A</definedName>
    <definedName name="UFPrn20050110123203">#N/A</definedName>
    <definedName name="UFPrn20050131090929">#N/A</definedName>
    <definedName name="UFPrn20050204121214">#N/A</definedName>
    <definedName name="UFPrn20050227152657">#N/A</definedName>
    <definedName name="UFPrn20050304085251">#N/A</definedName>
    <definedName name="UFPrn20050304111500">#N/A</definedName>
    <definedName name="UFPrn20050405142025">#N/A</definedName>
    <definedName name="UFPrn20050602162617">#N/A</definedName>
    <definedName name="UFPrn20050707091816">#N/A</definedName>
    <definedName name="UFPrn20050805091745">#N/A</definedName>
    <definedName name="UFPrn20050805092116">#N/A</definedName>
    <definedName name="UFPrn20050905092900">#N/A</definedName>
    <definedName name="UFPrn20051010105841">#N/A</definedName>
    <definedName name="UFPrn20051103141755">#N/A</definedName>
    <definedName name="UFPrn20051208105910">#N/A</definedName>
    <definedName name="UFPrn20051227124432">#N/A</definedName>
    <definedName name="UFPrn20060102102003">#N/A</definedName>
    <definedName name="UFPrn20060102184040">#N/A</definedName>
    <definedName name="UFPrn20060106100943">#N/A</definedName>
    <definedName name="UFPrn20060106104514">#N/A</definedName>
    <definedName name="UFPrn20060106105221">#N/A</definedName>
    <definedName name="UFPrn20060111164230">#N/A</definedName>
    <definedName name="UFPrn20060116092027">#N/A</definedName>
    <definedName name="UFPrn20060116092121">#N/A</definedName>
    <definedName name="UFPrn20060213161045">#N/A</definedName>
    <definedName name="UFPrn20060217083318">#N/A</definedName>
    <definedName name="UFPrn20060217085026">#N/A</definedName>
    <definedName name="UFPrn20060217085740">#N/A</definedName>
    <definedName name="UFPrn20060306091535">#N/A</definedName>
    <definedName name="UFPrn20060314114611">#N/A</definedName>
    <definedName name="UFPrn20060314142701">#N/A</definedName>
    <definedName name="UFPrn20060315105722">#N/A</definedName>
    <definedName name="UFPrn20060315105847">#N/A</definedName>
    <definedName name="UFPrn20060316110650">#N/A</definedName>
    <definedName name="UFPrn20060405162820">#N/A</definedName>
    <definedName name="UFPrn20060511142540">#N/A</definedName>
    <definedName name="UFPrn20060605114658">#N/A</definedName>
    <definedName name="UFPrn20060707090149">#N/A</definedName>
    <definedName name="UFPrn20060803093235">#N/A</definedName>
    <definedName name="UFPrn20060807091407">#N/A</definedName>
    <definedName name="UFPrn20061013121653">#N/A</definedName>
    <definedName name="UFPrn20061019092758">#N/A</definedName>
    <definedName name="UFPrn20061207102800">#N/A</definedName>
    <definedName name="UFPrn20061218083753">#N/A</definedName>
    <definedName name="UFPrn20061218142115">#N/A</definedName>
    <definedName name="UFPrn20070115083315">#N/A</definedName>
    <definedName name="UFPrn20070118094912">#N/A</definedName>
    <definedName name="UFPrn20070118104423">#N/A</definedName>
    <definedName name="UFPrn20070118105749">#N/A</definedName>
    <definedName name="UFPrn20070416124415">#N/A</definedName>
    <definedName name="UFPrn20070429100006">#N/A</definedName>
    <definedName name="UFPrn20070606112348">#N/A</definedName>
    <definedName name="UFPrn20070614090732">#N/A</definedName>
    <definedName name="UFPrn20070614090802">#N/A</definedName>
    <definedName name="UFPrn20070614091033">#N/A</definedName>
    <definedName name="UFPrn20070614091658">#N/A</definedName>
    <definedName name="UFPrn20070614091735">#N/A</definedName>
    <definedName name="UFPrn20070614091757">#N/A</definedName>
    <definedName name="UFPrn20070629143202">#N/A</definedName>
    <definedName name="UFPrn20070629163530">#N/A</definedName>
    <definedName name="UFPrn20070702170818">#N/A</definedName>
    <definedName name="UFPrn20070702170855">#N/A</definedName>
    <definedName name="UFPrn20070904091908">#N/A</definedName>
    <definedName name="UFPrn20070905164023">#N/A</definedName>
    <definedName name="UFPrn20070929093732">#N/A</definedName>
    <definedName name="UFPrn20070929094030">#N/A</definedName>
    <definedName name="UFPrn20071015133735">#N/A</definedName>
    <definedName name="UFPrn20071017134033">#N/A</definedName>
    <definedName name="UFPrn20071101161102">#N/A</definedName>
    <definedName name="UFPrn20071105112011">#N/A</definedName>
    <definedName name="UFPrn20071127093628">#N/A</definedName>
    <definedName name="UFPrn20071203142310">#N/A</definedName>
    <definedName name="UFPrn20071203144809">#N/A</definedName>
    <definedName name="UFPrn20080114135201">#N/A</definedName>
    <definedName name="UFPrn20080114135301">#N/A</definedName>
    <definedName name="UFPrn20080122200521">#N/A</definedName>
    <definedName name="UFPrn20080215142456">#N/A</definedName>
    <definedName name="UFPrn20080310134540">#N/A</definedName>
    <definedName name="UFPrn20080402175843">#N/A</definedName>
    <definedName name="UFPrn20080617095525">#N/A</definedName>
    <definedName name="UFPrn20080618231428">#N/A</definedName>
    <definedName name="UFPrn20080702155655">#N/A</definedName>
    <definedName name="UFPrn20080707094549">#N/A</definedName>
    <definedName name="UFPrn20080707172227">#N/A</definedName>
    <definedName name="UFPrn20080715164141">#N/A</definedName>
    <definedName name="UFPrn20080807155129">#N/A</definedName>
    <definedName name="UFPrn20080807204909">#N/A</definedName>
    <definedName name="UFPrn20080814100406">#N/A</definedName>
    <definedName name="UFPrn20080924150058">#N/A</definedName>
    <definedName name="UFPrn20081015093713">#N/A</definedName>
    <definedName name="UFPrn20081015111359">#N/A</definedName>
    <definedName name="UFPrn20081015203224">#N/A</definedName>
    <definedName name="UFPrn20081110154905">#N/A</definedName>
    <definedName name="UFPrn20081111164606">#N/A</definedName>
    <definedName name="UFPrn20081114094559">#N/A</definedName>
    <definedName name="UFPrn20081114125506">#N/A</definedName>
    <definedName name="UFPrn20081117093057">#N/A</definedName>
    <definedName name="UFPrn20081209180306">#N/A</definedName>
    <definedName name="UFPrn20081225151711">#N/A</definedName>
    <definedName name="UFPrn20081225164644">#N/A</definedName>
    <definedName name="UFPrn20081226190930">#N/A</definedName>
    <definedName name="UFPrn20081226195519">#N/A</definedName>
    <definedName name="UFPrn20081226200348">#N/A</definedName>
    <definedName name="UFPrn20081228101256">#N/A</definedName>
    <definedName name="UFPrn20081229010133">#N/A</definedName>
    <definedName name="UFPrn20081231101340">#N/A</definedName>
    <definedName name="UFPrn20090102220957">#N/A</definedName>
    <definedName name="UFPrn20090103114830">#N/A</definedName>
    <definedName name="UFPrn20090107094658">#N/A</definedName>
    <definedName name="UFPrn20090107095245">#N/A</definedName>
    <definedName name="UFPrn20090108121423">#N/A</definedName>
    <definedName name="UFPrn20090109092035">#N/A</definedName>
    <definedName name="UFPrn20090109093507">#N/A</definedName>
    <definedName name="UFPrn20090331103710">#N/A</definedName>
    <definedName name="UFPrn20090331133214">#N/A</definedName>
    <definedName name="UFPrn20090331133750">#N/A</definedName>
    <definedName name="UFPrn20090331164058">#N/A</definedName>
    <definedName name="UFPrn20090331164140">#N/A</definedName>
    <definedName name="UFPrn20090331164233">#N/A</definedName>
    <definedName name="UFPrn20090407084531">#N/A</definedName>
    <definedName name="UFPrn20090407142736">#N/A</definedName>
    <definedName name="UFPrn20090407142802">#N/A</definedName>
    <definedName name="UFPrn20090407142812">#N/A</definedName>
    <definedName name="UFPrn20090407142824">#N/A</definedName>
    <definedName name="UFPrn20090407152657">#N/A</definedName>
    <definedName name="UFPrn20090408162920">#N/A</definedName>
    <definedName name="UFPrn20090408162952">#N/A</definedName>
    <definedName name="UFPrn20090408163034">#N/A</definedName>
    <definedName name="UFPrn20090408170538">#N/A</definedName>
    <definedName name="UFPrn20090408170614">#N/A</definedName>
    <definedName name="UFPrn20090408180533">#N/A</definedName>
    <definedName name="UFPrn20090409094643">#N/A</definedName>
    <definedName name="UFPrn20090414084926">#N/A</definedName>
    <definedName name="UFPrn20090414105107">#N/A</definedName>
    <definedName name="UFPrn20090414125332">#N/A</definedName>
    <definedName name="UFPrn20090414125349">#N/A</definedName>
    <definedName name="UFPrn20090414125403">#N/A</definedName>
    <definedName name="UFPrn20090414125432">#N/A</definedName>
    <definedName name="UFPrn20090414130617">#N/A</definedName>
    <definedName name="UFPrn20090414133542">#N/A</definedName>
    <definedName name="UFPrn20090414151626">#N/A</definedName>
    <definedName name="UFPrn20090415150155">#N/A</definedName>
    <definedName name="UFPrn20090415151144">#N/A</definedName>
    <definedName name="UFPrn20090415152309">#N/A</definedName>
    <definedName name="UFPrn20090416094742">#N/A</definedName>
    <definedName name="UFPrn20090417130450">#N/A</definedName>
    <definedName name="UFPrn20090417151553">#N/A</definedName>
    <definedName name="UFPrn20090427161610">#N/A</definedName>
    <definedName name="UFPrn20090428161140">#N/A</definedName>
    <definedName name="UFPrn20090428163011">#N/A</definedName>
    <definedName name="UFPrn20090428210040">#N/A</definedName>
    <definedName name="UFPrn20090429100745">#N/A</definedName>
    <definedName name="UFPrn20090429125936">#N/A</definedName>
    <definedName name="UFPrn20090429142026">#N/A</definedName>
    <definedName name="UFPrn20090429150708">#N/A</definedName>
    <definedName name="UFPrn20090429150719">#N/A</definedName>
    <definedName name="UFPrn20090429150733">#N/A</definedName>
    <definedName name="UFPrn20090429160235">#N/A</definedName>
    <definedName name="UFPrn20090430153215">#N/A</definedName>
    <definedName name="UFPrn20090430153229">#N/A</definedName>
    <definedName name="UFPrn20090430160104">#N/A</definedName>
    <definedName name="UFPrn20090504091155">#N/A</definedName>
    <definedName name="UFPrn20090504132218">#N/A</definedName>
    <definedName name="UFPrn20090504132337">#N/A</definedName>
    <definedName name="UFPrn20090506170751">#N/A</definedName>
    <definedName name="UFPrn20090506194722">#N/A</definedName>
    <definedName name="UFPrn20090507202613">#N/A</definedName>
    <definedName name="UFPrn20090520200438">#N/A</definedName>
    <definedName name="UFPrn20090520200610">#N/A</definedName>
    <definedName name="UFPrn20090520200809">#N/A</definedName>
    <definedName name="UFPrn20090521141320">#N/A</definedName>
    <definedName name="UFPrn20090521141406">#N/A</definedName>
    <definedName name="UFPrn20090526093722">#N/A</definedName>
    <definedName name="UFPrn20090601093742">#N/A</definedName>
    <definedName name="UFPrn20090704141545">#N/A</definedName>
    <definedName name="UFPrn20090704142559">#N/A</definedName>
    <definedName name="UFPrn20090704143329">#N/A</definedName>
    <definedName name="UFPrn20090708135750">#N/A</definedName>
    <definedName name="UFPrn20090711172604">#N/A</definedName>
    <definedName name="UFPrn20090716144606">#N/A</definedName>
    <definedName name="UFPrn20090723104736">#N/A</definedName>
    <definedName name="UFPrn20090723104801">#N/A</definedName>
    <definedName name="UFPrn20090724134429">#N/A</definedName>
    <definedName name="UFPrn20090917151124">#N/A</definedName>
    <definedName name="UFPrn20091216154747">#N/A</definedName>
    <definedName name="UFPrn20100103170534">#N/A</definedName>
    <definedName name="UFPrn20100106140403">#N/A</definedName>
    <definedName name="UFPrn20100106193520">#N/A</definedName>
    <definedName name="UFPrn20100322143451">#N/A</definedName>
    <definedName name="UFPrn20100322172238">#N/A</definedName>
    <definedName name="UFPrn20100326164332">#N/A</definedName>
    <definedName name="UFPrn20100422132430">#N/A</definedName>
    <definedName name="UFPrn20100514100221">#N/A</definedName>
    <definedName name="UFPrn20100604090257">#N/A</definedName>
    <definedName name="UFPrn20100613090612">#N/A</definedName>
    <definedName name="UFPrn20100617103520">#N/A</definedName>
    <definedName name="UFPrn20100618085217">#N/A</definedName>
    <definedName name="UFPrn20100621085956">#N/A</definedName>
    <definedName name="UFPrn20100621140428">#N/A</definedName>
    <definedName name="UFPrn20100707140011">#N/A</definedName>
    <definedName name="UFPrn20110108094227">#N/A</definedName>
    <definedName name="UFPrn20110113145745">#N/A</definedName>
    <definedName name="UFPrn20110117111223">#N/A</definedName>
    <definedName name="UFPrn20110216094811">#N/A</definedName>
    <definedName name="UFPrn20110216153555">#N/A</definedName>
    <definedName name="UFPrn20110217141913">#N/A</definedName>
    <definedName name="UFPrn20110217143005">#N/A</definedName>
    <definedName name="UFPrn20110301094139">#N/A</definedName>
    <definedName name="UFPrn20110301161405">#N/A</definedName>
    <definedName name="UFPrn20110516180652">#N/A</definedName>
    <definedName name="UFPrn20110920201855">#N/A</definedName>
    <definedName name="UFPrn20110921113701">#N/A</definedName>
    <definedName name="UFPrn20120203091812">#N/A</definedName>
    <definedName name="UFPrn20120410134700">#N/A</definedName>
    <definedName name="UFPrn20121105104801">#N/A</definedName>
    <definedName name="UFPrn20130131171936">#N/A</definedName>
    <definedName name="UnitWage">#N/A</definedName>
    <definedName name="v">#N/A</definedName>
    <definedName name="VFE" hidden="1">#N/A</definedName>
    <definedName name="Wfl01AB2">#N/A</definedName>
    <definedName name="Wfl01RB2">#N/A</definedName>
    <definedName name="Wfl01UB2">#N/A</definedName>
    <definedName name="Wfl07AS18">#N/A</definedName>
    <definedName name="Wfl07RS18">#N/A</definedName>
    <definedName name="Wfl07US18">#N/A</definedName>
    <definedName name="WflA">#N/A</definedName>
    <definedName name="WflR">#N/A</definedName>
    <definedName name="WflU">#N/A</definedName>
    <definedName name="Work_Program_By_Area_List">#N/A</definedName>
    <definedName name="WPE">#N/A</definedName>
    <definedName name="WPE_ClientName" localSheetId="36" hidden="1">'9000A错报程序表'!$B$3</definedName>
    <definedName name="WPE_ClientName" localSheetId="39" hidden="1">'9000B对错报性质的评价'!$B$3</definedName>
    <definedName name="WPE_ClientName" localSheetId="40" hidden="1">'9000C错报评价'!$B$3</definedName>
    <definedName name="WPE_ClientName" localSheetId="41" hidden="1">'9000D对错报的沟通'!$B$3</definedName>
    <definedName name="WPE_ClientName" localSheetId="37" hidden="1">'9002B未更正错报（不包括披露错报）汇总表'!$B$3</definedName>
    <definedName name="WPE_ClientName" localSheetId="38" hidden="1">'9002C未更正披露错报汇总表'!$B$3</definedName>
    <definedName name="WPE_PeriodEnd" localSheetId="36" hidden="1">'9000A错报程序表'!$B$5</definedName>
    <definedName name="WPE_PeriodEnd" localSheetId="39" hidden="1">'9000B对错报性质的评价'!$B$5</definedName>
    <definedName name="WPE_PeriodEnd" localSheetId="40" hidden="1">'9000C错报评价'!$B$5</definedName>
    <definedName name="WPE_PeriodEnd" localSheetId="41" hidden="1">'9000D对错报的沟通'!$B$5</definedName>
    <definedName name="WPE_PeriodEnd" localSheetId="37" hidden="1">'9002B未更正错报（不包括披露错报）汇总表'!$B$5</definedName>
    <definedName name="WPE_PeriodEnd" localSheetId="38" hidden="1">'9002C未更正披露错报汇总表'!$B$5</definedName>
    <definedName name="WPE_PreparedDate" localSheetId="36" hidden="1">'9000A错报程序表'!$A$2</definedName>
    <definedName name="WPE_PreparedDate" localSheetId="39" hidden="1">'9000B对错报性质的评价'!$A$2</definedName>
    <definedName name="WPE_PreparedDate" localSheetId="40" hidden="1">'9000C错报评价'!$A$2</definedName>
    <definedName name="WPE_PreparedDate" localSheetId="41" hidden="1">'9000D对错报的沟通'!$A$2</definedName>
    <definedName name="WPE_PreparedDate" localSheetId="37" hidden="1">'9002B未更正错报（不包括披露错报）汇总表'!$A$2</definedName>
    <definedName name="WPE_PreparedDate" localSheetId="38" hidden="1">'9002C未更正披露错报汇总表'!$A$2</definedName>
    <definedName name="WPE_Preparer" localSheetId="36" hidden="1">'9000A错报程序表'!$D$1</definedName>
    <definedName name="WPE_Preparer" localSheetId="39" hidden="1">'9000B对错报性质的评价'!$D$1</definedName>
    <definedName name="WPE_Preparer" localSheetId="40" hidden="1">'9000C错报评价'!$D$1</definedName>
    <definedName name="WPE_Preparer" localSheetId="41" hidden="1">'9000D对错报的沟通'!$D$1</definedName>
    <definedName name="WPE_Preparer" localSheetId="37" hidden="1">'9002B未更正错报（不包括披露错报）汇总表'!$D$1</definedName>
    <definedName name="WPE_Preparer" localSheetId="38" hidden="1">'9002C未更正披露错报汇总表'!$D$1</definedName>
    <definedName name="WPE_Range_AccountDrCr" localSheetId="36" hidden="1">'9000A错报程序表'!$C$1</definedName>
    <definedName name="WPE_Range_AccountDrCr" localSheetId="39" hidden="1">'9000B对错报性质的评价'!$C$1</definedName>
    <definedName name="WPE_Range_AccountDrCr" localSheetId="40" hidden="1">'9000C错报评价'!$C$1</definedName>
    <definedName name="WPE_Range_AccountDrCr" localSheetId="41" hidden="1">'9000D对错报的沟通'!$C$1</definedName>
    <definedName name="WPE_Range_AccountDrCr" localSheetId="37" hidden="1">'9002B未更正错报（不包括披露错报）汇总表'!$C$1</definedName>
    <definedName name="WPE_Range_AccountDrCr" localSheetId="38" hidden="1">'9002C未更正披露错报汇总表'!$C$1</definedName>
    <definedName name="WPE_Range_AccountName" localSheetId="36" hidden="1">'9000A错报程序表'!$A$4</definedName>
    <definedName name="WPE_Range_AccountName" localSheetId="39" hidden="1">'9000B对错报性质的评价'!$A$4</definedName>
    <definedName name="WPE_Range_AccountName" localSheetId="40" hidden="1">'9000C错报评价'!$A$4</definedName>
    <definedName name="WPE_Range_AccountName" localSheetId="41" hidden="1">'9000D对错报的沟通'!$A$4</definedName>
    <definedName name="WPE_Range_AccountName" localSheetId="37" hidden="1">'9002B未更正错报（不包括披露错报）汇总表'!$A$4</definedName>
    <definedName name="WPE_Range_AccountName" localSheetId="38" hidden="1">'9002C未更正披露错报汇总表'!$A$4</definedName>
    <definedName name="WPE_Range_AuditProc" localSheetId="36" hidden="1">'9000A错报程序表'!$A$8:$K$26</definedName>
    <definedName name="WPE_Range_GuideButton1" localSheetId="36" hidden="1">'9000A错报程序表'!$I$8</definedName>
    <definedName name="WPE_Range_GuideTxtbox1" localSheetId="36" hidden="1">'9000A错报程序表'!$B$32</definedName>
    <definedName name="WPE_Range_StHeader" localSheetId="36" hidden="1">'9000A错报程序表'!$B$2:$J$6</definedName>
    <definedName name="WPE_Range_StHeader" localSheetId="39" hidden="1">'9000B对错报性质的评价'!$B$2:$H$6</definedName>
    <definedName name="WPE_Range_StHeader" localSheetId="40" hidden="1">'9000C错报评价'!$B$2:$K$6</definedName>
    <definedName name="WPE_Range_StHeader" localSheetId="41" hidden="1">'9000D对错报的沟通'!$B$2:$K$6</definedName>
    <definedName name="WPE_Range_StHeader" localSheetId="37" hidden="1">'9002B未更正错报（不包括披露错报）汇总表'!$B$2:$P$6</definedName>
    <definedName name="WPE_Range_StHeader" localSheetId="38" hidden="1">'9002C未更正披露错报汇总表'!$B$2:$H$6</definedName>
    <definedName name="WPE_Range_Subject" localSheetId="36" hidden="1">'9000A错报程序表'!$B$4</definedName>
    <definedName name="WPE_Range_Subject" localSheetId="39" hidden="1">'9000B对错报性质的评价'!$B$4</definedName>
    <definedName name="WPE_Range_Subject" localSheetId="40" hidden="1">'9000C错报评价'!$B$4</definedName>
    <definedName name="WPE_Range_Subject" localSheetId="41" hidden="1">'9000D对错报的沟通'!$B$4</definedName>
    <definedName name="WPE_Range_Subject" localSheetId="37" hidden="1">'9002B未更正错报（不包括披露错报）汇总表'!$B$4</definedName>
    <definedName name="WPE_Range_Subject" localSheetId="38" hidden="1">'9002C未更正披露错报汇总表'!$B$4</definedName>
    <definedName name="WPE_Range_TemplID" localSheetId="36" hidden="1">'9000A错报程序表'!$A$3</definedName>
    <definedName name="WPE_Range_TemplID" localSheetId="39" hidden="1">'9000B对错报性质的评价'!$A$3</definedName>
    <definedName name="WPE_Range_TemplID" localSheetId="40" hidden="1">'9000C错报评价'!$A$3</definedName>
    <definedName name="WPE_Range_TemplID" localSheetId="41" hidden="1">'9000D对错报的沟通'!$A$3</definedName>
    <definedName name="WPE_Range_TemplID" localSheetId="37" hidden="1">'9002B未更正错报（不包括披露错报）汇总表'!$A$3</definedName>
    <definedName name="WPE_Range_TemplID" localSheetId="38" hidden="1">'9002C未更正披露错报汇总表'!$A$3</definedName>
    <definedName name="WPE_Range_WPReference" localSheetId="36" hidden="1">'9000A错报程序表'!$B$1</definedName>
    <definedName name="WPE_Range_WPReference" localSheetId="39" hidden="1">'9000B对错报性质的评价'!$B$1</definedName>
    <definedName name="WPE_Range_WPReference" localSheetId="40" hidden="1">'9000C错报评价'!$B$1</definedName>
    <definedName name="WPE_Range_WPReference" localSheetId="41" hidden="1">'9000D对错报的沟通'!$B$1</definedName>
    <definedName name="WPE_Range_WPReference" localSheetId="37" hidden="1">'9002B未更正错报（不包括披露错报）汇总表'!$B$1</definedName>
    <definedName name="WPE_Range_WPReference" localSheetId="38" hidden="1">'9002C未更正披露错报汇总表'!$B$1</definedName>
    <definedName name="WPE_ReviewedDate" localSheetId="36" hidden="1">'9000A错报程序表'!$A$6</definedName>
    <definedName name="WPE_ReviewedDate" localSheetId="39" hidden="1">'9000B对错报性质的评价'!$A$6</definedName>
    <definedName name="WPE_ReviewedDate" localSheetId="40" hidden="1">'9000C错报评价'!$A$6</definedName>
    <definedName name="WPE_ReviewedDate" localSheetId="41" hidden="1">'9000D对错报的沟通'!$A$6</definedName>
    <definedName name="WPE_ReviewedDate" localSheetId="37" hidden="1">'9002B未更正错报（不包括披露错报）汇总表'!$A$6</definedName>
    <definedName name="WPE_ReviewedDate" localSheetId="38" hidden="1">'9002C未更正披露错报汇总表'!$A$6</definedName>
    <definedName name="WPE_Reviewer" localSheetId="36" hidden="1">'9000A错报程序表'!$A$5</definedName>
    <definedName name="WPE_Reviewer" localSheetId="39" hidden="1">'9000B对错报性质的评价'!$A$5</definedName>
    <definedName name="WPE_Reviewer" localSheetId="40" hidden="1">'9000C错报评价'!$A$5</definedName>
    <definedName name="WPE_Reviewer" localSheetId="41" hidden="1">'9000D对错报的沟通'!$A$5</definedName>
    <definedName name="WPE_Reviewer" localSheetId="37" hidden="1">'9002B未更正错报（不包括披露错报）汇总表'!$A$5</definedName>
    <definedName name="WPE_Reviewer" localSheetId="38" hidden="1">'9002C未更正披露错报汇总表'!$A$5</definedName>
    <definedName name="WPE_Reviewer" hidden="1">易向贵</definedName>
    <definedName name="WPE_SheetType" localSheetId="36" hidden="1">"FSZ"</definedName>
    <definedName name="WPE_SheetType" localSheetId="39" hidden="1">"FSZ"</definedName>
    <definedName name="WPE_SheetType" localSheetId="40" hidden="1">"FSZ"</definedName>
    <definedName name="WPE_SheetType" localSheetId="41" hidden="1">"FSZ"</definedName>
    <definedName name="WPE_SheetType" localSheetId="37" hidden="1">"FSZ"</definedName>
    <definedName name="WPE_SheetType" localSheetId="38" hidden="1">"FSZ"</definedName>
    <definedName name="WPE_TemplVer" localSheetId="36" hidden="1">"19.09"</definedName>
    <definedName name="WPE_TemplVer" localSheetId="39" hidden="1">"19.09"</definedName>
    <definedName name="WPE_TemplVer" localSheetId="40" hidden="1">"19.09"</definedName>
    <definedName name="WPE_TemplVer" localSheetId="41" hidden="1">"19.09"</definedName>
    <definedName name="WPE_TemplVer" localSheetId="37" hidden="1">"19.09"</definedName>
    <definedName name="WPE_TemplVer" localSheetId="38" hidden="1">"19.09"</definedName>
    <definedName name="WPE名称">#N/A</definedName>
    <definedName name="www">#N/A</definedName>
    <definedName name="wzf">#N/A</definedName>
    <definedName name="XAP" hidden="1">#N/A</definedName>
    <definedName name="XAQ" hidden="1">#N/A</definedName>
    <definedName name="XCD" hidden="1">#N/A</definedName>
    <definedName name="xjjc100">#N/A</definedName>
    <definedName name="xjjc111">#N/A</definedName>
    <definedName name="xjjc112">#N/A</definedName>
    <definedName name="xjjc123">#N/A</definedName>
    <definedName name="xjjc124">#N/A</definedName>
    <definedName name="xjjc125">#N/A</definedName>
    <definedName name="xjjc126">#N/A</definedName>
    <definedName name="xjjc127">#N/A</definedName>
    <definedName name="xjjc128">#N/A</definedName>
    <definedName name="xjjc129">#N/A</definedName>
    <definedName name="xjjc130">#N/A</definedName>
    <definedName name="xjjc131">#N/A</definedName>
    <definedName name="xjjc132">#N/A</definedName>
    <definedName name="xjjc133">#N/A</definedName>
    <definedName name="xjjc134">#N/A</definedName>
    <definedName name="xjjc135" hidden="1">#N/A</definedName>
    <definedName name="xjjc136" hidden="1">#N/A</definedName>
    <definedName name="xjjc137">#N/A</definedName>
    <definedName name="xjjc138">#N/A</definedName>
    <definedName name="xjjc139">#N/A</definedName>
    <definedName name="xjjc140">#N/A</definedName>
    <definedName name="xjjc141">#N/A</definedName>
    <definedName name="xjjc142">#N/A</definedName>
    <definedName name="xjjc143">#N/A</definedName>
    <definedName name="xjjc144">#N/A</definedName>
    <definedName name="xjjc145">#N/A</definedName>
    <definedName name="xjjc146">#N/A</definedName>
    <definedName name="xjjc147">#N/A</definedName>
    <definedName name="xjjc148">#N/A</definedName>
    <definedName name="xjjc149">#N/A</definedName>
    <definedName name="xjjc150">#N/A</definedName>
    <definedName name="xjjc151">#N/A</definedName>
    <definedName name="xjjc152">#N/A</definedName>
    <definedName name="xjjc153">#N/A</definedName>
    <definedName name="xjjc154">#N/A</definedName>
    <definedName name="xjjc155">#N/A</definedName>
    <definedName name="xjjc156">#N/A</definedName>
    <definedName name="xjjc157">#N/A</definedName>
    <definedName name="xjjc158">#N/A</definedName>
    <definedName name="xjjc159">#N/A</definedName>
    <definedName name="xjjc160">#N/A</definedName>
    <definedName name="xjjc161">#N/A</definedName>
    <definedName name="xjjc162">#N/A</definedName>
    <definedName name="xjjc163">#N/A</definedName>
    <definedName name="xjjc164">#N/A</definedName>
    <definedName name="xjjc165">#N/A</definedName>
    <definedName name="xjjc166">#N/A</definedName>
    <definedName name="xjjc26">#N/A</definedName>
    <definedName name="xjjc27">#N/A</definedName>
    <definedName name="xjjc47" hidden="1">#N/A</definedName>
    <definedName name="xjjc48" hidden="1">#N/A</definedName>
    <definedName name="xjjc49">#N/A</definedName>
    <definedName name="xjjc50">#N/A</definedName>
    <definedName name="xjjc51">#N/A</definedName>
    <definedName name="xjjc52">#N/A</definedName>
    <definedName name="xjjc53">#N/A</definedName>
    <definedName name="xjjc54">#N/A</definedName>
    <definedName name="xjjc55">#N/A</definedName>
    <definedName name="xjjc56">#N/A</definedName>
    <definedName name="xjjc57">#N/A</definedName>
    <definedName name="xjjc87" hidden="1">#N/A</definedName>
    <definedName name="xjjc88" hidden="1">#N/A</definedName>
    <definedName name="xjjc89" hidden="1">#N/A</definedName>
    <definedName name="xjjc90" hidden="1">#N/A</definedName>
    <definedName name="xjjc93">#N/A</definedName>
    <definedName name="xjjc94">#N/A</definedName>
    <definedName name="xjjc95">#N/A</definedName>
    <definedName name="xjjc96">#N/A</definedName>
    <definedName name="xjjc97">#N/A</definedName>
    <definedName name="xjjc98">#N/A</definedName>
    <definedName name="xjjc99">#N/A</definedName>
    <definedName name="XREF_COLUMN_1" hidden="1">#N/A</definedName>
    <definedName name="XREF_COLUMN_2" hidden="1">#N/A</definedName>
    <definedName name="XREF_COLUMN_3" hidden="1">#N/A</definedName>
    <definedName name="XREF_COLUMN_5" hidden="1">#N/A</definedName>
    <definedName name="XRefActiveRow" hidden="1">#N/A</definedName>
    <definedName name="XRefColumnsCount" hidden="1">2</definedName>
    <definedName name="XRefCopy1" hidden="1">#N/A</definedName>
    <definedName name="XRefCopy1Row" hidden="1">#N/A</definedName>
    <definedName name="XRefCopy2Row" hidden="1">#N/A</definedName>
    <definedName name="XRefCopyRangeCount" hidden="1">2</definedName>
    <definedName name="XRefPaste1" hidden="1">#N/A</definedName>
    <definedName name="XRefPaste1Row" hidden="1">#N/A</definedName>
    <definedName name="XRefPaste2" hidden="1">#N/A</definedName>
    <definedName name="XRefPaste2Row" hidden="1">#N/A</definedName>
    <definedName name="XRefPaste3" hidden="1">#N/A</definedName>
    <definedName name="XRefPaste3Row" hidden="1">#N/A</definedName>
    <definedName name="XRefPasteRangeCount" hidden="1">2</definedName>
    <definedName name="xxjj11">#N/A</definedName>
    <definedName name="xxjj19">#N/A</definedName>
    <definedName name="xxjj27">#N/A</definedName>
    <definedName name="xxjj32">#N/A</definedName>
    <definedName name="xxjj36">#N/A</definedName>
    <definedName name="xxjj36_16">#N/A</definedName>
    <definedName name="xxjj36_7">#N/A</definedName>
    <definedName name="xxjj40">#N/A</definedName>
    <definedName name="xxjj44">#N/A</definedName>
    <definedName name="xxjj44_16">#N/A</definedName>
    <definedName name="xxjj44_7">#N/A</definedName>
    <definedName name="xxjj48">#N/A</definedName>
    <definedName name="xxjj48_16">#N/A</definedName>
    <definedName name="xxjj48_7">#N/A</definedName>
    <definedName name="xxjj50">#N/A</definedName>
    <definedName name="xxjj80">#N/A</definedName>
    <definedName name="xxjj81">#N/A</definedName>
    <definedName name="xxjj82">#N/A</definedName>
    <definedName name="xxjj83">#N/A</definedName>
    <definedName name="xxx">#N/A</definedName>
    <definedName name="xxxy">#N/A</definedName>
    <definedName name="y">#N/A</definedName>
    <definedName name="YE">#N/A</definedName>
    <definedName name="YEAREND">#N/A</definedName>
    <definedName name="yrend">#N/A</definedName>
    <definedName name="yuiyu">[3]参数!$L$68:$L$208</definedName>
    <definedName name="z">#N/A</definedName>
    <definedName name="zclx_all">#N/A</definedName>
    <definedName name="zclx_bf">#N/A</definedName>
    <definedName name="zclx_xz">#N/A</definedName>
    <definedName name="zcyz_all">#N/A</definedName>
    <definedName name="zcyz_bf">#N/A</definedName>
    <definedName name="zcyz_xz">#N/A</definedName>
    <definedName name="zdz513">#N/A</definedName>
    <definedName name="zjgch2000.dbf">#N/A</definedName>
    <definedName name="zmz">#N/A</definedName>
    <definedName name="zmz0311">#N/A</definedName>
    <definedName name="zmz0312">#N/A</definedName>
    <definedName name="zmz0313">#N/A</definedName>
    <definedName name="zmz101">#N/A</definedName>
    <definedName name="zmz102">#N/A</definedName>
    <definedName name="zmz103">#N/A</definedName>
    <definedName name="zmz104">#N/A</definedName>
    <definedName name="zmz105">#N/A</definedName>
    <definedName name="zmz106">#N/A</definedName>
    <definedName name="zmz3">#N/A</definedName>
    <definedName name="zmz31">#N/A</definedName>
    <definedName name="zmz310">#N/A</definedName>
    <definedName name="zmz3101">#N/A</definedName>
    <definedName name="zmz31010">#N/A</definedName>
    <definedName name="zmz31011">#N/A</definedName>
    <definedName name="zmz3102">#N/A</definedName>
    <definedName name="zmz3103">#N/A</definedName>
    <definedName name="zmz3104">#N/A</definedName>
    <definedName name="zmz3105">#N/A</definedName>
    <definedName name="zmz3106">#N/A</definedName>
    <definedName name="zmz3107">#N/A</definedName>
    <definedName name="zmz3108">#N/A</definedName>
    <definedName name="zmz3109">#N/A</definedName>
    <definedName name="zmz311">#N/A</definedName>
    <definedName name="zmz3111">#N/A</definedName>
    <definedName name="zmz312">#N/A</definedName>
    <definedName name="zmz313">#N/A</definedName>
    <definedName name="zmz314">#N/A</definedName>
    <definedName name="zmz32">#N/A</definedName>
    <definedName name="zmz321">#N/A</definedName>
    <definedName name="zmz322">#N/A</definedName>
    <definedName name="zmz33">#N/A</definedName>
    <definedName name="zmz34">#N/A</definedName>
    <definedName name="zmz35">#N/A</definedName>
    <definedName name="zmz36">#N/A</definedName>
    <definedName name="zmz37">#N/A</definedName>
    <definedName name="zmz38">#N/A</definedName>
    <definedName name="zmz39">#N/A</definedName>
    <definedName name="zmz4">#N/A</definedName>
    <definedName name="zmz41">#N/A</definedName>
    <definedName name="zmz42">#N/A</definedName>
    <definedName name="zmz43">#N/A</definedName>
    <definedName name="zmz51">#N/A</definedName>
    <definedName name="zmz511">#N/A</definedName>
    <definedName name="zmz512">#N/A</definedName>
    <definedName name="zmz513">#N/A</definedName>
    <definedName name="zmz52">#N/A</definedName>
    <definedName name="zmz521">#N/A</definedName>
    <definedName name="zmz522">#N/A</definedName>
    <definedName name="zmz523">#N/A</definedName>
    <definedName name="zmz53">#N/A</definedName>
    <definedName name="zmz54">#N/A</definedName>
    <definedName name="zmz541">#N/A</definedName>
    <definedName name="zmz542">#N/A</definedName>
    <definedName name="zmz55">#N/A</definedName>
    <definedName name="zmz56">#N/A</definedName>
    <definedName name="zmz61">#N/A</definedName>
    <definedName name="zmz62">#N/A</definedName>
    <definedName name="zmz71">#N/A</definedName>
    <definedName name="zmz72">#N/A</definedName>
    <definedName name="zmz81">#N/A</definedName>
    <definedName name="zmz82">#N/A</definedName>
    <definedName name="zmz91">#N/A</definedName>
    <definedName name="zmz910">#N/A</definedName>
    <definedName name="zmz911">#N/A</definedName>
    <definedName name="zmz912">#N/A</definedName>
    <definedName name="zmz913">#N/A</definedName>
    <definedName name="zmz914">#N/A</definedName>
    <definedName name="zmz92">#N/A</definedName>
    <definedName name="zmz93">#N/A</definedName>
    <definedName name="zmz94">#N/A</definedName>
    <definedName name="zmz95">#N/A</definedName>
    <definedName name="zmz96">#N/A</definedName>
    <definedName name="zmz97">#N/A</definedName>
    <definedName name="zmz98">#N/A</definedName>
    <definedName name="zmz99">#N/A</definedName>
    <definedName name="阿">#N/A</definedName>
    <definedName name="阿的" hidden="1">[4]STATPARA!$M$1:$M$247</definedName>
    <definedName name="啊啊" hidden="1">#N/A</definedName>
    <definedName name="按客户的销售">#N/A</definedName>
    <definedName name="案例">#N/A</definedName>
    <definedName name="案例2">#N/A</definedName>
    <definedName name="保税区">#N/A</definedName>
    <definedName name="报表编码" hidden="1">#N/A</definedName>
    <definedName name="备___注">#N/A</definedName>
    <definedName name="本循环科目" hidden="1">#N/A</definedName>
    <definedName name="本循环科目1" hidden="1">#N/A</definedName>
    <definedName name="本月应提折旧额">#N/A</definedName>
    <definedName name="本月折旧">#N/A</definedName>
    <definedName name="币种" hidden="1">#N/A</definedName>
    <definedName name="编号">#N/A</definedName>
    <definedName name="编制">#N/A</definedName>
    <definedName name="编制人" hidden="1">#N/A</definedName>
    <definedName name="编制时间" hidden="1">#N/A</definedName>
    <definedName name="标识" hidden="1">#N/A</definedName>
    <definedName name="标准流量表">#N/A</definedName>
    <definedName name="表" hidden="1">#N/A</definedName>
    <definedName name="拨付所属资金bg" hidden="1">#N/A</definedName>
    <definedName name="拨付所属资金mx" hidden="1">#N/A</definedName>
    <definedName name="补贴收入bg" hidden="1">#N/A</definedName>
    <definedName name="补贴收入mx" hidden="1">#N/A</definedName>
    <definedName name="补贴收入ZS" hidden="1">#N/A</definedName>
    <definedName name="部门回款情况">#N/A</definedName>
    <definedName name="材料采购bg" hidden="1">#N/A</definedName>
    <definedName name="材料采购mx" hidden="1">#N/A</definedName>
    <definedName name="材料款">#N/A</definedName>
    <definedName name="财务费用">#N/A</definedName>
    <definedName name="财务费用bg" hidden="1">#N/A</definedName>
    <definedName name="财务费用mx" hidden="1">#N/A</definedName>
    <definedName name="财务费用ZS" hidden="1">#N/A</definedName>
    <definedName name="采购入库单">#N/A</definedName>
    <definedName name="采购入库单3">#N/A</definedName>
    <definedName name="残值率">#N/A</definedName>
    <definedName name="测">#N/A</definedName>
    <definedName name="测册">#N/A</definedName>
    <definedName name="测试">#N/A</definedName>
    <definedName name="程序表基础数据">#N/A</definedName>
    <definedName name="持有至到期投资ZS" hidden="1">#N/A</definedName>
    <definedName name="传真">#N/A</definedName>
    <definedName name="创频">#N/A</definedName>
    <definedName name="创频公司">#N/A</definedName>
    <definedName name="创频应收账款">#N/A</definedName>
    <definedName name="戳">#N/A</definedName>
    <definedName name="存货93期初">#N/A</definedName>
    <definedName name="存货93期末">#N/A</definedName>
    <definedName name="存货94期初">#N/A</definedName>
    <definedName name="存货94期末">#N/A</definedName>
    <definedName name="存货95期初">#N/A</definedName>
    <definedName name="存货95期末">#N/A</definedName>
    <definedName name="存货bg" hidden="1">#N/A</definedName>
    <definedName name="存货mx" hidden="1">#N/A</definedName>
    <definedName name="存货mxb" hidden="1">#N/A</definedName>
    <definedName name="存货ZS" hidden="1">#N/A</definedName>
    <definedName name="存货跌价准备mx" hidden="1">#N/A</definedName>
    <definedName name="存货合计">#N/A</definedName>
    <definedName name="存货核算">#N/A</definedName>
    <definedName name="存货明细">#N/A</definedName>
    <definedName name="大多数">#N/A</definedName>
    <definedName name="大客户剖析">#N/A</definedName>
    <definedName name="贷款卡情况" hidden="1">#N/A</definedName>
    <definedName name="待处理财产损溢bg" hidden="1">#N/A</definedName>
    <definedName name="待处理财产损溢mx" hidden="1">#N/A</definedName>
    <definedName name="待摊费用bg" hidden="1">#N/A</definedName>
    <definedName name="待摊费用mx" hidden="1">#N/A</definedName>
    <definedName name="待摊费用mxb" hidden="1">#N/A</definedName>
    <definedName name="待摊费用ZS" hidden="1">#N/A</definedName>
    <definedName name="单位类型">#N/A</definedName>
    <definedName name="单位清单">#N/A</definedName>
    <definedName name="单位总数" hidden="1">#N/A</definedName>
    <definedName name="当前明细帐">#N/A</definedName>
    <definedName name="导引表" hidden="1">#N/A</definedName>
    <definedName name="的" hidden="1">#N/A</definedName>
    <definedName name="抵押和质押ZS" hidden="1">#N/A</definedName>
    <definedName name="底稿2">#N/A</definedName>
    <definedName name="递延收益bg" hidden="1">#N/A</definedName>
    <definedName name="递延收益mx" hidden="1">#N/A</definedName>
    <definedName name="递延所得税贷项ZS" hidden="1">#N/A</definedName>
    <definedName name="递延所得税负债ZS" hidden="1">#N/A</definedName>
    <definedName name="递延所得税借项ZS" hidden="1">#N/A</definedName>
    <definedName name="递延所得税资产bg" hidden="1">#N/A</definedName>
    <definedName name="递延所得税资产mx" hidden="1">#N/A</definedName>
    <definedName name="递延所得税资产ZS" hidden="1">#N/A</definedName>
    <definedName name="短期借款" hidden="1">#N/A</definedName>
    <definedName name="短期借款bg" hidden="1">#N/A</definedName>
    <definedName name="短期借款mx" hidden="1">#N/A</definedName>
    <definedName name="短期借款ZS" hidden="1">#N/A</definedName>
    <definedName name="短期投资ncs">#N/A</definedName>
    <definedName name="短期投资ZS" hidden="1">#N/A</definedName>
    <definedName name="对外担保ZS" hidden="1">#N/A</definedName>
    <definedName name="多页底稿的索引号处理" hidden="1">#N/A</definedName>
    <definedName name="发" hidden="1">#N/A</definedName>
    <definedName name="法定">#N/A</definedName>
    <definedName name="方法">#N/A</definedName>
    <definedName name="非经常性损益ZS" hidden="1">#N/A</definedName>
    <definedName name="非实质性程序底稿的索引号" hidden="1">#N/A</definedName>
    <definedName name="非实质性程序取得的纸质底稿" hidden="1">#N/A</definedName>
    <definedName name="费用二">#N/A</definedName>
    <definedName name="费用科目">#N/A</definedName>
    <definedName name="费用类别">#N/A</definedName>
    <definedName name="分录A">#N/A</definedName>
    <definedName name="分录F">#N/A</definedName>
    <definedName name="分录G">#N/A</definedName>
    <definedName name="分析报表">#N/A</definedName>
    <definedName name="付首付">[3]参数!$L$68:$L$208</definedName>
    <definedName name="负债合计93期末">#N/A</definedName>
    <definedName name="负债合计94期末">#N/A</definedName>
    <definedName name="负债合计95期末">#N/A</definedName>
    <definedName name="复核日期" hidden="1">#N/A</definedName>
    <definedName name="工程结算bg" hidden="1">#N/A</definedName>
    <definedName name="工程结算mx" hidden="1">#N/A</definedName>
    <definedName name="工程物资bg" hidden="1">#N/A</definedName>
    <definedName name="工程物资mx" hidden="1">#N/A</definedName>
    <definedName name="工程物资ZS" hidden="1">#N/A</definedName>
    <definedName name="工行">#N/A</definedName>
    <definedName name="工资">#N/A</definedName>
    <definedName name="工资及福利">#N/A</definedName>
    <definedName name="工作日">#N/A</definedName>
    <definedName name="公司">#N/A</definedName>
    <definedName name="公允价值变动收益ZS" hidden="1">#N/A</definedName>
    <definedName name="股本bg" hidden="1">#N/A</definedName>
    <definedName name="股本mx" hidden="1">#N/A</definedName>
    <definedName name="股份会计科目">#N/A</definedName>
    <definedName name="股份六部" hidden="1">#N/A</definedName>
    <definedName name="股权分置流通权ZS" hidden="1">#N/A</definedName>
    <definedName name="固产原值">#N/A</definedName>
    <definedName name="固定资产">#N/A</definedName>
    <definedName name="固定资产bg" hidden="1">#N/A</definedName>
    <definedName name="固定资产mx" hidden="1">#N/A</definedName>
    <definedName name="固定资产mxb">#N/A</definedName>
    <definedName name="固定资产SJye" hidden="1">#N/A</definedName>
    <definedName name="固定资产ZS" hidden="1">#N/A</definedName>
    <definedName name="固定资产处理情况表">#N/A</definedName>
    <definedName name="固定资产及累计折旧明细帐">#N/A</definedName>
    <definedName name="固定资产及累计折旧明细账">#N/A</definedName>
    <definedName name="固定资产清单">#N/A</definedName>
    <definedName name="固定资产清理bg" hidden="1">#N/A</definedName>
    <definedName name="固定资产清理mx" hidden="1">#N/A</definedName>
    <definedName name="固定资产清理mxb" hidden="1">#N/A</definedName>
    <definedName name="固定资产清理ZS" hidden="1">#N/A</definedName>
    <definedName name="固定资产折旧表">#N/A</definedName>
    <definedName name="固定资产折旧汇总表">#N/A</definedName>
    <definedName name="关联方">#N/A</definedName>
    <definedName name="管理部门">#N/A</definedName>
    <definedName name="管理费用">#N/A</definedName>
    <definedName name="管理费用bg" hidden="1">#N/A</definedName>
    <definedName name="管理费用mx" hidden="1">#N/A</definedName>
    <definedName name="海航土地">#N/A</definedName>
    <definedName name="函证">应收账款明细</definedName>
    <definedName name="合___计">#N/A</definedName>
    <definedName name="合计">#N/A</definedName>
    <definedName name="核算项目分类总帐">#N/A</definedName>
    <definedName name="核算中心">#N/A</definedName>
    <definedName name="坏账准备_其他应收款bg" hidden="1">#N/A</definedName>
    <definedName name="坏账准备_其他应收款mx" hidden="1">#N/A</definedName>
    <definedName name="坏账准备_应收账款bg" hidden="1">#N/A</definedName>
    <definedName name="坏账准备_应收账款mx" hidden="1">#N/A</definedName>
    <definedName name="坏账准备_预付账款bg" hidden="1">#N/A</definedName>
    <definedName name="坏账准备_预付账款mx" hidden="1">#N/A</definedName>
    <definedName name="汇率">#N/A</definedName>
    <definedName name="汇总">#N/A</definedName>
    <definedName name="会计分录序时簿">#N/A</definedName>
    <definedName name="会计机构负责人" hidden="1">#N/A</definedName>
    <definedName name="会计科目">#N/A</definedName>
    <definedName name="会计科目编码" hidden="1">#N/A</definedName>
    <definedName name="货币资金ncs">#N/A</definedName>
    <definedName name="货币资金ZS" hidden="1">#N/A</definedName>
    <definedName name="货币资金注释" hidden="1">#N/A</definedName>
    <definedName name="机顶盒产成品入库">#N/A</definedName>
    <definedName name="机械车间">#N/A</definedName>
    <definedName name="计提折旧期数月">#N/A</definedName>
    <definedName name="计提折旧日期">#N/A</definedName>
    <definedName name="减少资产折旧">#N/A</definedName>
    <definedName name="交易性金融负债ZS" hidden="1">#N/A</definedName>
    <definedName name="交易性金融资产ZS" hidden="1">#N/A</definedName>
    <definedName name="结论" hidden="1">#N/A</definedName>
    <definedName name="结论1" hidden="1">#N/A</definedName>
    <definedName name="净_利_润93">#N/A</definedName>
    <definedName name="净_利_润94">#N/A</definedName>
    <definedName name="净_利_润95">#N/A</definedName>
    <definedName name="净值">#N/A</definedName>
    <definedName name="净资产合计93期初">#N/A</definedName>
    <definedName name="净资产合计93期末">#N/A</definedName>
    <definedName name="净资产合计94期初">#N/A</definedName>
    <definedName name="净资产合计94期末">#N/A</definedName>
    <definedName name="净资产合计95期初">#N/A</definedName>
    <definedName name="净资产合计95期末">#N/A</definedName>
    <definedName name="开发支出ZS" hidden="1">#N/A</definedName>
    <definedName name="开户行" hidden="1">#N/A</definedName>
    <definedName name="科华" hidden="1">#N/A</definedName>
    <definedName name="科目1" hidden="1">#N/A</definedName>
    <definedName name="科目表" hidden="1">#N/A</definedName>
    <definedName name="科目表1" hidden="1">#N/A</definedName>
    <definedName name="科目表BS" hidden="1">#N/A</definedName>
    <definedName name="科目名称">#N/A</definedName>
    <definedName name="科目属性" hidden="1">#N/A</definedName>
    <definedName name="科目索引" hidden="1">#N/A</definedName>
    <definedName name="科目余额表">#N/A</definedName>
    <definedName name="可供出售金融资产ZS" hidden="1">#N/A</definedName>
    <definedName name="客户" hidden="1">#N/A</definedName>
    <definedName name="客户1" hidden="1">#N/A</definedName>
    <definedName name="客户传真">#N/A</definedName>
    <definedName name="客户联系电话">#N/A</definedName>
    <definedName name="客户联系人">#N/A</definedName>
    <definedName name="库存材料">#N/A</definedName>
    <definedName name="库存商品bg" hidden="1">#N/A</definedName>
    <definedName name="库存商品mx" hidden="1">#N/A</definedName>
    <definedName name="栏目设置">#N/A</definedName>
    <definedName name="类别">#N/A</definedName>
    <definedName name="累计摊销bg" hidden="1">#N/A</definedName>
    <definedName name="累计摊销mx" hidden="1">#N/A</definedName>
    <definedName name="累计折旧">#N/A</definedName>
    <definedName name="累计折旧bg" hidden="1">#N/A</definedName>
    <definedName name="累计折旧mx" hidden="1">#N/A</definedName>
    <definedName name="累计折旧SJye" hidden="1">#N/A</definedName>
    <definedName name="累计折旧测算" hidden="1">#N/A</definedName>
    <definedName name="累计折旧测算表" hidden="1">#N/A</definedName>
    <definedName name="厘數">#N/A</definedName>
    <definedName name="利_润_总_额93">#N/A</definedName>
    <definedName name="利_润_总_额94">#N/A</definedName>
    <definedName name="利_润_总_额95">#N/A</definedName>
    <definedName name="利润日期">#N/A</definedName>
    <definedName name="联系电话">#N/A</definedName>
    <definedName name="领料">#N/A</definedName>
    <definedName name="流_动_资_产93">#N/A</definedName>
    <definedName name="流_动_资_产94">#N/A</definedName>
    <definedName name="流_动_资_产95">#N/A</definedName>
    <definedName name="流动负债93期末">#N/A</definedName>
    <definedName name="流动负债94期末">#N/A</definedName>
    <definedName name="流动负债95期末">#N/A</definedName>
    <definedName name="流动资产">#N/A</definedName>
    <definedName name="流量编码">#N/A</definedName>
    <definedName name="煤炭取费">#N/A</definedName>
    <definedName name="煤炭取费1">#N/A</definedName>
    <definedName name="每股收益ZS" hidden="1">#N/A</definedName>
    <definedName name="名称">#N/A</definedName>
    <definedName name="明细" hidden="1">#N/A</definedName>
    <definedName name="明细分类账">#N/A</definedName>
    <definedName name="明细帐">#N/A</definedName>
    <definedName name="母公司" hidden="1">#N/A</definedName>
    <definedName name="目录">#N/A</definedName>
    <definedName name="内部">#N/A</definedName>
    <definedName name="内部往来">#N/A</definedName>
    <definedName name="内部往来bg" hidden="1">#N/A</definedName>
    <definedName name="内部往来mx" hidden="1">#N/A</definedName>
    <definedName name="年初累计折旧">#N/A</definedName>
    <definedName name="年度">#N/A</definedName>
    <definedName name="农行">#N/A</definedName>
    <definedName name="期初月数">#N/A</definedName>
    <definedName name="期间" hidden="1">#N/A</definedName>
    <definedName name="期间_">"2006年1-12月"</definedName>
    <definedName name="期间_13">#N/A</definedName>
    <definedName name="期末合金盘点数量核对">#N/A</definedName>
    <definedName name="期末累计折旧">#N/A</definedName>
    <definedName name="其他产品">#N/A</definedName>
    <definedName name="其他非流动负债ZS" hidden="1">#N/A</definedName>
    <definedName name="其他非流动资产bg" hidden="1">#N/A</definedName>
    <definedName name="其他非流动资产mx" hidden="1">#N/A</definedName>
    <definedName name="其他非流动资产ZS" hidden="1">#N/A</definedName>
    <definedName name="其他流动负债bg" hidden="1">#N/A</definedName>
    <definedName name="其他流动负债mx" hidden="1">#N/A</definedName>
    <definedName name="其他流动负债ZS" hidden="1">#N/A</definedName>
    <definedName name="其他流动资产ZS" hidden="1">#N/A</definedName>
    <definedName name="其他现金流">#N/A</definedName>
    <definedName name="其他业务成本bg" hidden="1">#N/A</definedName>
    <definedName name="其他业务成本mx" hidden="1">#N/A</definedName>
    <definedName name="其他业务利润bg" hidden="1">#N/A</definedName>
    <definedName name="其他业务利润mx" hidden="1">#N/A</definedName>
    <definedName name="其他业务利润ZS" hidden="1">#N/A</definedName>
    <definedName name="其他业务收入bg" hidden="1">#N/A</definedName>
    <definedName name="其他业务收入mx" hidden="1">#N/A</definedName>
    <definedName name="其他业务支出mxb" hidden="1">#N/A</definedName>
    <definedName name="其他应付款mxb" hidden="1">#N/A</definedName>
    <definedName name="其他应付款pzb" hidden="1">#N/A</definedName>
    <definedName name="其他应付款samp" hidden="1">#N/A</definedName>
    <definedName name="其他应付款SJye" hidden="1">#N/A</definedName>
    <definedName name="其他应付款ZS" hidden="1">#N/A</definedName>
    <definedName name="其他应交款bg" hidden="1">#N/A</definedName>
    <definedName name="其他应交款mx" hidden="1">#N/A</definedName>
    <definedName name="其他应收款2004" hidden="1">#N/A</definedName>
    <definedName name="其他应收款mxb" hidden="1">#N/A</definedName>
    <definedName name="其他应收款ZS" hidden="1">#N/A</definedName>
    <definedName name="企业负责人">#N/A</definedName>
    <definedName name="全年總數">#N/A</definedName>
    <definedName name="日期1">#N/A</definedName>
    <definedName name="日期2">#N/A</definedName>
    <definedName name="日期3">#N/A</definedName>
    <definedName name="日期4">#N/A</definedName>
    <definedName name="入帐时间年">#N/A</definedName>
    <definedName name="入帐时间月">#N/A</definedName>
    <definedName name="山西万声">#N/A</definedName>
    <definedName name="商誉ZS" hidden="1">#N/A</definedName>
    <definedName name="少数股东权益ZS" hidden="1">#N/A</definedName>
    <definedName name="少数股东损益ZS" hidden="1">#N/A</definedName>
    <definedName name="审计" hidden="1">#N/A</definedName>
    <definedName name="审计程序Procedures" localSheetId="36">'9000A错报程序表'!$B$8:$J$26</definedName>
    <definedName name="生产成本bg" hidden="1">#N/A</definedName>
    <definedName name="生产成本mx" hidden="1">#N/A</definedName>
    <definedName name="生产列1">#N/A</definedName>
    <definedName name="生产列11">#N/A</definedName>
    <definedName name="生产列15">#N/A</definedName>
    <definedName name="生产列16">#N/A</definedName>
    <definedName name="生产列17">#N/A</definedName>
    <definedName name="生产列19">#N/A</definedName>
    <definedName name="生产列2">#N/A</definedName>
    <definedName name="生产列20">#N/A</definedName>
    <definedName name="生产列3">#N/A</definedName>
    <definedName name="生产列4">#N/A</definedName>
    <definedName name="生产列5">#N/A</definedName>
    <definedName name="生产列6">#N/A</definedName>
    <definedName name="生产列7">#N/A</definedName>
    <definedName name="生产列8">#N/A</definedName>
    <definedName name="生产列9">#N/A</definedName>
    <definedName name="生产期">#N/A</definedName>
    <definedName name="生产期1">#N/A</definedName>
    <definedName name="生产期11">#N/A</definedName>
    <definedName name="生产期15">#N/A</definedName>
    <definedName name="生产期16">#N/A</definedName>
    <definedName name="生产期17">#N/A</definedName>
    <definedName name="生产期19">#N/A</definedName>
    <definedName name="生产期2">#N/A</definedName>
    <definedName name="生产期20">#N/A</definedName>
    <definedName name="生产期3">#N/A</definedName>
    <definedName name="生产期4">#N/A</definedName>
    <definedName name="生产期5">#N/A</definedName>
    <definedName name="生产期6">#N/A</definedName>
    <definedName name="生产期7">#N/A</definedName>
    <definedName name="生产期8">#N/A</definedName>
    <definedName name="生产期9">#N/A</definedName>
    <definedName name="生产性生物资产ZS" hidden="1">#N/A</definedName>
    <definedName name="实收资本ZS" hidden="1">#N/A</definedName>
    <definedName name="实质性程序底稿的索引号" hidden="1">#N/A</definedName>
    <definedName name="实质性程序取得的纸质底稿" hidden="1">#N/A</definedName>
    <definedName name="使用部门">#N/A</definedName>
    <definedName name="使用分部">#N/A</definedName>
    <definedName name="使用年限">#N/A</definedName>
    <definedName name="事业">#N/A</definedName>
    <definedName name="事业部">#N/A</definedName>
    <definedName name="事业部汇总">#N/A</definedName>
    <definedName name="事业部明细">#N/A</definedName>
    <definedName name="试算表数">#N/A</definedName>
    <definedName name="试算平衡表">#N/A</definedName>
    <definedName name="收到的其他与筹资活动有关的现金ZS" hidden="1">#N/A</definedName>
    <definedName name="收到的其他与经营活动有关的现金ZS" hidden="1">#N/A</definedName>
    <definedName name="收到的其他与投资活动有关的现金ZS" hidden="1">#N/A</definedName>
    <definedName name="收件人">#N/A</definedName>
    <definedName name="数量金额明细账">#N/A</definedName>
    <definedName name="数量金额总账">#N/A</definedName>
    <definedName name="税金">#N/A</definedName>
    <definedName name="苏州市永创金属科技有限公司" hidden="1">#N/A</definedName>
    <definedName name="速_动_资_产93">#N/A</definedName>
    <definedName name="速_动_资_产94">#N/A</definedName>
    <definedName name="速_动_资_产95">#N/A</definedName>
    <definedName name="所得税mxb" hidden="1">#N/A</definedName>
    <definedName name="所得税ZS" hidden="1">#N/A</definedName>
    <definedName name="所得税费用bg" hidden="1">#N/A</definedName>
    <definedName name="所得税费用mx" hidden="1">#N/A</definedName>
    <definedName name="索引号">#N/A</definedName>
    <definedName name="索引号使用规范" hidden="1">#N/A</definedName>
    <definedName name="提折旧总额">#N/A</definedName>
    <definedName name="提折旧总额本年">#N/A</definedName>
    <definedName name="通信">#N/A</definedName>
    <definedName name="通信公司">#N/A</definedName>
    <definedName name="通信应收款">#N/A</definedName>
    <definedName name="统材04表">#N/A</definedName>
    <definedName name="统材04表D">#N/A</definedName>
    <definedName name="统材04表D_1">#N/A</definedName>
    <definedName name="统材05表">#N/A</definedName>
    <definedName name="统材05表D">#N/A</definedName>
    <definedName name="统材05表D_1">#N/A</definedName>
    <definedName name="投资收益bg" hidden="1">#N/A</definedName>
    <definedName name="投资收益mx" hidden="1">#N/A</definedName>
    <definedName name="投资收益ZS" hidden="1">#N/A</definedName>
    <definedName name="投资性房地产bg" hidden="1">#N/A</definedName>
    <definedName name="投资性房地产mx" hidden="1">#N/A</definedName>
    <definedName name="投资性房地产ZS" hidden="1">#N/A</definedName>
    <definedName name="土">#N/A</definedName>
    <definedName name="未分配利润bg" hidden="1">#N/A</definedName>
    <definedName name="未分配利润mx" hidden="1">#N/A</definedName>
    <definedName name="未分配利润ZS" hidden="1">#N/A</definedName>
    <definedName name="未审合计">#N/A</definedName>
    <definedName name="未审数">#N/A</definedName>
    <definedName name="无形资产bg" hidden="1">#N/A</definedName>
    <definedName name="无形资产mx" hidden="1">#N/A</definedName>
    <definedName name="无形资产ZS" hidden="1">#N/A</definedName>
    <definedName name="无形资产减值准备bg" hidden="1">#N/A</definedName>
    <definedName name="无形资产减值准备mx" hidden="1">#N/A</definedName>
    <definedName name="先进" hidden="1">#N/A</definedName>
    <definedName name="现金">#N/A</definedName>
    <definedName name="现金bg" hidden="1">#N/A</definedName>
    <definedName name="现金mx" hidden="1">#N/A</definedName>
    <definedName name="现金流">#N/A</definedName>
    <definedName name="现金流量">#N/A</definedName>
    <definedName name="现金流量编码">#N/A</definedName>
    <definedName name="现金流量编制过程">#N/A</definedName>
    <definedName name="现金盘">#N/A</definedName>
    <definedName name="销售费用bg" hidden="1">#N/A</definedName>
    <definedName name="销售费用mx" hidden="1">#N/A</definedName>
    <definedName name="谢俊伟底稿" hidden="1">#N/A</definedName>
    <definedName name="新旧科目">#N/A</definedName>
    <definedName name="新客户" hidden="1">#N/A</definedName>
    <definedName name="薪金">#N/A</definedName>
    <definedName name="形态类别">#N/A</definedName>
    <definedName name="休息日">#N/A</definedName>
    <definedName name="研发支出bg" hidden="1">#N/A</definedName>
    <definedName name="研发支出mx" hidden="1">#N/A</definedName>
    <definedName name="一年内到期的非流动负债ZS" hidden="1">#N/A</definedName>
    <definedName name="一年内到期的非流动资产ZS" hidden="1">#N/A</definedName>
    <definedName name="一年内到期的非流动资产长期债权投资ZS" hidden="1">#N/A</definedName>
    <definedName name="一年内到期的长期负债ZS" hidden="1">#N/A</definedName>
    <definedName name="以前年度损益调整bg" hidden="1">#N/A</definedName>
    <definedName name="以前年度损益调整mx" hidden="1">#N/A</definedName>
    <definedName name="银行存款bg" hidden="1">#N/A</definedName>
    <definedName name="银行存款mx" hidden="1">#N/A</definedName>
    <definedName name="银行存款mxb" hidden="1">#N/A</definedName>
    <definedName name="盈余公积ZS" hidden="1">#N/A</definedName>
    <definedName name="营业成本">#N/A</definedName>
    <definedName name="营业成本bg" hidden="1">#N/A</definedName>
    <definedName name="营业成本mx" hidden="1">#N/A</definedName>
    <definedName name="营业费用bg" hidden="1">#N/A</definedName>
    <definedName name="营业费用mx" hidden="1">#N/A</definedName>
    <definedName name="营业收入bg" hidden="1">#N/A</definedName>
    <definedName name="营业收入mx" hidden="1">#N/A</definedName>
    <definedName name="营业收入ZS" hidden="1">#N/A</definedName>
    <definedName name="营业税金及附加bg" hidden="1">#N/A</definedName>
    <definedName name="营业税金及附加mx" hidden="1">#N/A</definedName>
    <definedName name="营业税金及附加ZS" hidden="1">#N/A</definedName>
    <definedName name="营业外收入bg" hidden="1">#N/A</definedName>
    <definedName name="营业外收入mx" hidden="1">#N/A</definedName>
    <definedName name="营业外收入ZS" hidden="1">#N/A</definedName>
    <definedName name="营业外收支ZS" hidden="1">#N/A</definedName>
    <definedName name="营业外支出bg" hidden="1">#N/A</definedName>
    <definedName name="营业外支出mx" hidden="1">#N/A</definedName>
    <definedName name="营业外支出ZS" hidden="1">#N/A</definedName>
    <definedName name="应付福利费bg" hidden="1">#N/A</definedName>
    <definedName name="应付福利费mx" hidden="1">#N/A</definedName>
    <definedName name="应付福利费mxb" hidden="1">#N/A</definedName>
    <definedName name="应付工资bg">#N/A</definedName>
    <definedName name="应付工资mx">#N/A</definedName>
    <definedName name="应付工资mxb" hidden="1">#N/A</definedName>
    <definedName name="应付工资福利费ZS" hidden="1">#N/A</definedName>
    <definedName name="应付工资凭证测试">#N/A</definedName>
    <definedName name="应付股利bg" hidden="1">#N/A</definedName>
    <definedName name="应付股利mx" hidden="1">#N/A</definedName>
    <definedName name="应付股利ZS" hidden="1">#N/A</definedName>
    <definedName name="应付利润ZS" hidden="1">#N/A</definedName>
    <definedName name="应付利息bg" hidden="1">#N/A</definedName>
    <definedName name="应付利息mx" hidden="1">#N/A</definedName>
    <definedName name="应付利息ZS" hidden="1">#N/A</definedName>
    <definedName name="应付票据bg" hidden="1">#N/A</definedName>
    <definedName name="应付票据mx" hidden="1">#N/A</definedName>
    <definedName name="应付票据mxb" hidden="1">#N/A</definedName>
    <definedName name="应付票据ZS" hidden="1">#N/A</definedName>
    <definedName name="应付票据明细项目">#N/A</definedName>
    <definedName name="应付债券ZS" hidden="1">#N/A</definedName>
    <definedName name="应付帐款">#N/A</definedName>
    <definedName name="应付账款bg" hidden="1">#N/A</definedName>
    <definedName name="应付账款mx" hidden="1">#N/A</definedName>
    <definedName name="应付账款ZS" hidden="1">#N/A</definedName>
    <definedName name="应付账款明细">#N/A</definedName>
    <definedName name="应付职工薪酬bg" hidden="1">#N/A</definedName>
    <definedName name="应付职工薪酬mx" hidden="1">#N/A</definedName>
    <definedName name="应付职工薪酬ZS" hidden="1">#N/A</definedName>
    <definedName name="应交税费bg" hidden="1">#N/A</definedName>
    <definedName name="应交税费mx" hidden="1">#N/A</definedName>
    <definedName name="应交税费ZS" hidden="1">#N/A</definedName>
    <definedName name="应交税金bg" hidden="1">#N/A</definedName>
    <definedName name="应交税金mx" hidden="1">#N/A</definedName>
    <definedName name="应交税金测算" hidden="1">#N/A</definedName>
    <definedName name="应交税金其他应交款ZS" hidden="1">#N/A</definedName>
    <definedName name="应收补贴款ZS" hidden="1">#N/A</definedName>
    <definedName name="应收股利bg" hidden="1">#N/A</definedName>
    <definedName name="应收股利mx" hidden="1">#N/A</definedName>
    <definedName name="应收股利ZS" hidden="1">#N/A</definedName>
    <definedName name="应收股利明细">#N/A</definedName>
    <definedName name="应收利息ZS" hidden="1">#N/A</definedName>
    <definedName name="应收票据bg" hidden="1">#N/A</definedName>
    <definedName name="应收票据mx" hidden="1">#N/A</definedName>
    <definedName name="应收票据ZS" hidden="1">#N/A</definedName>
    <definedName name="应收票据明细">#N/A</definedName>
    <definedName name="应收帐款93期初">#N/A</definedName>
    <definedName name="应收帐款93期末">#N/A</definedName>
    <definedName name="应收帐款94期初">#N/A</definedName>
    <definedName name="应收帐款94期末">#N/A</definedName>
    <definedName name="应收帐款95期初">#N/A</definedName>
    <definedName name="应收帐款95期末">#N/A</definedName>
    <definedName name="应收账款" hidden="1">#N/A</definedName>
    <definedName name="应收账款bg" hidden="1">#N/A</definedName>
    <definedName name="应收账款Dy__I_13">#N/A</definedName>
    <definedName name="应收账款mx" hidden="1">#N/A</definedName>
    <definedName name="应收账款mxb" hidden="1">#N/A</definedName>
    <definedName name="应收账款ZS" hidden="1">#N/A</definedName>
    <definedName name="应收账款坏账计提">#N/A</definedName>
    <definedName name="应收账款坏账计提1">#N/A</definedName>
    <definedName name="应收账款明细">#N/A</definedName>
    <definedName name="应提折旧月数合计">#N/A</definedName>
    <definedName name="应提折旧总额">#N/A</definedName>
    <definedName name="永" hidden="1">#N/A</definedName>
    <definedName name="油气资产ZS" hidden="1">#N/A</definedName>
    <definedName name="余额表2">#N/A</definedName>
    <definedName name="预付">#N/A</definedName>
    <definedName name="预付款项ZS" hidden="1">#N/A</definedName>
    <definedName name="预付账款bg" hidden="1">#N/A</definedName>
    <definedName name="预付账款mx" hidden="1">#N/A</definedName>
    <definedName name="预付账款mxb" hidden="1">#N/A</definedName>
    <definedName name="预付账款SJye">#N/A</definedName>
    <definedName name="预付账款ZS" hidden="1">#N/A</definedName>
    <definedName name="预计残值">#N/A</definedName>
    <definedName name="预计负债ZS" hidden="1">#N/A</definedName>
    <definedName name="预计使用期限年">#N/A</definedName>
    <definedName name="预计使用期限月">#N/A</definedName>
    <definedName name="预收款项bg" hidden="1">#N/A</definedName>
    <definedName name="预收款项mx" hidden="1">#N/A</definedName>
    <definedName name="预收款项ZS" hidden="1">#N/A</definedName>
    <definedName name="预收账款bg" hidden="1">#N/A</definedName>
    <definedName name="预收账款mx" hidden="1">#N/A</definedName>
    <definedName name="预收账款明细">#N/A</definedName>
    <definedName name="预提费用bg" hidden="1">#N/A</definedName>
    <definedName name="预提费用mx" hidden="1">#N/A</definedName>
    <definedName name="预提费用ZS" hidden="1">#N/A</definedName>
    <definedName name="原材料bg" hidden="1">#N/A</definedName>
    <definedName name="原材料mx" hidden="1">#N/A</definedName>
    <definedName name="原始数据库">#N/A</definedName>
    <definedName name="原值">#N/A</definedName>
    <definedName name="原值2">#N/A</definedName>
    <definedName name="月份二">#N/A</definedName>
    <definedName name="月折旧额">#N/A</definedName>
    <definedName name="在建工程bg" hidden="1">#N/A</definedName>
    <definedName name="在建工程ZS" hidden="1">#N/A</definedName>
    <definedName name="长期待摊费用" hidden="1">#N/A</definedName>
    <definedName name="长期待摊费用mx" hidden="1">#N/A</definedName>
    <definedName name="长期待摊费用ncs" hidden="1">#N/A</definedName>
    <definedName name="长期待摊费用SJye" hidden="1">#N/A</definedName>
    <definedName name="长期待摊费用ZS" hidden="1">#N/A</definedName>
    <definedName name="长期股权投资bg" hidden="1">#N/A</definedName>
    <definedName name="长期股权投资mx" hidden="1">#N/A</definedName>
    <definedName name="长期股权投资ZS" hidden="1">#N/A</definedName>
    <definedName name="长期借款bg" hidden="1">#N/A</definedName>
    <definedName name="长期借款mx" hidden="1">#N/A</definedName>
    <definedName name="长期借款ZS" hidden="1">#N/A</definedName>
    <definedName name="长期投资ZS" hidden="1">#N/A</definedName>
    <definedName name="长期应付款ZS" hidden="1">#N/A</definedName>
    <definedName name="长期应收款_余额账龄分析">#N/A</definedName>
    <definedName name="长期应收款ZS" hidden="1">#N/A</definedName>
    <definedName name="账龄分析表">#N/A</definedName>
    <definedName name="折旧年度">#N/A</definedName>
    <definedName name="折旧提足前一月止累计折旧">#N/A</definedName>
    <definedName name="折旧月份">#N/A</definedName>
    <definedName name="折旧政策">#N/A</definedName>
    <definedName name="支付的其他与筹资活动有关的现金ZS" hidden="1">#N/A</definedName>
    <definedName name="支付的其他与经营活动有关的现金ZS" hidden="1">#N/A</definedName>
    <definedName name="支付的其他与投资活动有关的现金ZS" hidden="1">#N/A</definedName>
    <definedName name="直放站产成品">#N/A</definedName>
    <definedName name="制造费用bg" hidden="1">#N/A</definedName>
    <definedName name="制造费用mx" hidden="1">#N/A</definedName>
    <definedName name="中国">#N/A</definedName>
    <definedName name="众">#N/A</definedName>
    <definedName name="主管会计工作负责人" hidden="1">#N/A</definedName>
    <definedName name="主营业务成本bg" hidden="1">#N/A</definedName>
    <definedName name="主营业务成本mx" hidden="1">#N/A</definedName>
    <definedName name="主营业务收入主营业务成本ZS" hidden="1">#N/A</definedName>
    <definedName name="主营业务税金及附加bg" hidden="1">#N/A</definedName>
    <definedName name="主营业务税金及附加mx" hidden="1">#N/A</definedName>
    <definedName name="注">#N/A</definedName>
    <definedName name="注释数据">#N/A</definedName>
    <definedName name="专项应付款bg" hidden="1">#N/A</definedName>
    <definedName name="专项应付款mx" hidden="1">#N/A</definedName>
    <definedName name="专项应付款ZS" hidden="1">#N/A</definedName>
    <definedName name="资本公积bg" hidden="1">#N/A</definedName>
    <definedName name="资本公积mx" hidden="1">#N/A</definedName>
    <definedName name="资本公积ZS" hidden="1">#N/A</definedName>
    <definedName name="资产负债表日" hidden="1">#N/A</definedName>
    <definedName name="资产负债表日_">"2006年12月31日"</definedName>
    <definedName name="资产合计93期初">#N/A</definedName>
    <definedName name="资产合计93期末">#N/A</definedName>
    <definedName name="资产合计94期初">#N/A</definedName>
    <definedName name="资产合计94期末">#N/A</definedName>
    <definedName name="资产合计95期初">#N/A</definedName>
    <definedName name="资产合计95期末">#N/A</definedName>
    <definedName name="资产减值损失bg" hidden="1">#N/A</definedName>
    <definedName name="资产减值损失ZS" hidden="1">#N/A</definedName>
    <definedName name="资产减值准备ZS" hidden="1">#N/A</definedName>
    <definedName name="资产类别">#N/A</definedName>
    <definedName name="资产日期">#N/A</definedName>
    <definedName name="总分类账">#N/A</definedName>
    <definedName name="总分析">#N/A</definedName>
    <definedName name="전">#N/A</definedName>
    <definedName name="주택사업본부">#N/A</definedName>
  </definedNames>
  <calcPr calcId="162913" fullPrecision="0"/>
</workbook>
</file>

<file path=xl/calcChain.xml><?xml version="1.0" encoding="utf-8"?>
<calcChain xmlns="http://schemas.openxmlformats.org/spreadsheetml/2006/main">
  <c r="E33" i="8" l="1"/>
  <c r="E22" i="8"/>
  <c r="H5030" i="18" l="1"/>
  <c r="E10" i="8"/>
  <c r="I3631" i="18" l="1"/>
  <c r="H3733" i="18"/>
  <c r="E22" i="85" l="1"/>
  <c r="E24" i="85" s="1"/>
  <c r="E25" i="85" s="1"/>
  <c r="E23" i="85"/>
  <c r="E16" i="85"/>
  <c r="E18" i="85" s="1"/>
  <c r="E19" i="85" s="1"/>
  <c r="D17" i="85"/>
  <c r="E17" i="85" s="1"/>
  <c r="E9" i="85" l="1"/>
  <c r="E7" i="85" l="1"/>
  <c r="D4802" i="18" l="1"/>
  <c r="D4803" i="18"/>
  <c r="D4804" i="18"/>
  <c r="D4805" i="18"/>
  <c r="D4806" i="18"/>
  <c r="D4807" i="18"/>
  <c r="D4808" i="18"/>
  <c r="D4809" i="18"/>
  <c r="D4810" i="18"/>
  <c r="D4811" i="18"/>
  <c r="D4812" i="18"/>
  <c r="D4813" i="18"/>
  <c r="D4814" i="18"/>
  <c r="D4815" i="18"/>
  <c r="D4816" i="18"/>
  <c r="D4817" i="18"/>
  <c r="D4818" i="18"/>
  <c r="D4819" i="18"/>
  <c r="I4819" i="18"/>
  <c r="H4819" i="18"/>
  <c r="I4700" i="18"/>
  <c r="H4699" i="18"/>
  <c r="H4697" i="18"/>
  <c r="J3631" i="18"/>
  <c r="J3634" i="18"/>
  <c r="I3634" i="18"/>
  <c r="G2668" i="18"/>
  <c r="E12" i="84" l="1"/>
  <c r="D19" i="84"/>
  <c r="H19" i="84"/>
  <c r="F19" i="84"/>
  <c r="H16" i="84"/>
  <c r="F14" i="84"/>
  <c r="C13" i="84"/>
  <c r="D12" i="84"/>
  <c r="G12" i="84" s="1"/>
  <c r="G13" i="84" s="1"/>
  <c r="H11" i="84"/>
  <c r="F11" i="84"/>
  <c r="D11" i="84"/>
  <c r="H10" i="84"/>
  <c r="F10" i="84"/>
  <c r="D10" i="84"/>
  <c r="H9" i="84"/>
  <c r="F9" i="84"/>
  <c r="D9" i="84"/>
  <c r="H8" i="84"/>
  <c r="F8" i="84"/>
  <c r="D8" i="84"/>
  <c r="E7" i="84"/>
  <c r="F7" i="84" s="1"/>
  <c r="H7" i="84" s="1"/>
  <c r="D7" i="84"/>
  <c r="C24" i="83"/>
  <c r="I17" i="83"/>
  <c r="I16" i="83"/>
  <c r="J18" i="83" s="1"/>
  <c r="I6" i="83"/>
  <c r="P11" i="6"/>
  <c r="J19" i="83" l="1"/>
  <c r="J17" i="83"/>
  <c r="F23" i="84"/>
  <c r="D13" i="84"/>
  <c r="D21" i="84" s="1"/>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R9" i="2"/>
  <c r="S9" i="2"/>
  <c r="T9" i="2"/>
  <c r="T14" i="2" s="1"/>
  <c r="U9" i="2"/>
  <c r="U14" i="2"/>
  <c r="V9" i="2"/>
  <c r="W9" i="2"/>
  <c r="W14" i="2" s="1"/>
  <c r="X9" i="2"/>
  <c r="Y9" i="2"/>
  <c r="Y14" i="2" s="1"/>
  <c r="Z9" i="2"/>
  <c r="AA9" i="2"/>
  <c r="AA14" i="2" s="1"/>
  <c r="AB9" i="2"/>
  <c r="AC9" i="2"/>
  <c r="AC14" i="2"/>
  <c r="AD9" i="2"/>
  <c r="AD14" i="2" s="1"/>
  <c r="R10" i="2"/>
  <c r="S10" i="2"/>
  <c r="T10" i="2"/>
  <c r="U10" i="2"/>
  <c r="V10" i="2"/>
  <c r="W10" i="2"/>
  <c r="X10" i="2"/>
  <c r="X14" i="2" s="1"/>
  <c r="Y10" i="2"/>
  <c r="Z10" i="2"/>
  <c r="AA10" i="2"/>
  <c r="AB10" i="2"/>
  <c r="AC10" i="2"/>
  <c r="AD10" i="2"/>
  <c r="R11" i="2"/>
  <c r="S11" i="2"/>
  <c r="S14" i="2" s="1"/>
  <c r="T11" i="2"/>
  <c r="U11" i="2"/>
  <c r="V11" i="2"/>
  <c r="W11" i="2"/>
  <c r="X11" i="2"/>
  <c r="Y11" i="2"/>
  <c r="Z11" i="2"/>
  <c r="AA11" i="2"/>
  <c r="AB11" i="2"/>
  <c r="AC11" i="2"/>
  <c r="AD11" i="2"/>
  <c r="R12" i="2"/>
  <c r="R14" i="2"/>
  <c r="S12" i="2"/>
  <c r="T12" i="2"/>
  <c r="U12" i="2"/>
  <c r="V12" i="2"/>
  <c r="W12" i="2"/>
  <c r="X12" i="2"/>
  <c r="Y12" i="2"/>
  <c r="Z12" i="2"/>
  <c r="AA12" i="2"/>
  <c r="AB12" i="2"/>
  <c r="AC12" i="2"/>
  <c r="AD12" i="2"/>
  <c r="R13" i="2"/>
  <c r="S13" i="2"/>
  <c r="T13" i="2"/>
  <c r="U13" i="2"/>
  <c r="V13" i="2"/>
  <c r="W13" i="2"/>
  <c r="X13" i="2"/>
  <c r="Y13" i="2"/>
  <c r="Z13" i="2"/>
  <c r="AA13" i="2"/>
  <c r="AB13" i="2"/>
  <c r="AC13" i="2"/>
  <c r="AD13"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R19" i="2" s="1"/>
  <c r="S20" i="2"/>
  <c r="T20" i="2"/>
  <c r="U20" i="2"/>
  <c r="V20" i="2"/>
  <c r="V19" i="2"/>
  <c r="W20" i="2"/>
  <c r="X20" i="2"/>
  <c r="X19" i="2" s="1"/>
  <c r="Y20" i="2"/>
  <c r="Y19" i="2" s="1"/>
  <c r="Z20" i="2"/>
  <c r="Z19" i="2" s="1"/>
  <c r="AA20" i="2"/>
  <c r="AB20" i="2"/>
  <c r="AC20" i="2"/>
  <c r="AC19" i="2"/>
  <c r="AC15" i="2" s="1"/>
  <c r="AC40" i="2" s="1"/>
  <c r="AD20" i="2"/>
  <c r="R21" i="2"/>
  <c r="S21" i="2"/>
  <c r="T21" i="2"/>
  <c r="U21" i="2"/>
  <c r="U19" i="2" s="1"/>
  <c r="V21" i="2"/>
  <c r="W21" i="2"/>
  <c r="X21" i="2"/>
  <c r="Y21" i="2"/>
  <c r="Z21" i="2"/>
  <c r="AA21" i="2"/>
  <c r="AB21" i="2"/>
  <c r="AC21" i="2"/>
  <c r="AD21" i="2"/>
  <c r="R22" i="2"/>
  <c r="S22" i="2"/>
  <c r="T22" i="2"/>
  <c r="U22" i="2"/>
  <c r="V22" i="2"/>
  <c r="W22" i="2"/>
  <c r="X22" i="2"/>
  <c r="Y22" i="2"/>
  <c r="Z22" i="2"/>
  <c r="AA22" i="2"/>
  <c r="AB22" i="2"/>
  <c r="AB19" i="2" s="1"/>
  <c r="AC22" i="2"/>
  <c r="AD22" i="2"/>
  <c r="AD19" i="2" s="1"/>
  <c r="R23" i="2"/>
  <c r="S23" i="2"/>
  <c r="T23" i="2"/>
  <c r="T19" i="2" s="1"/>
  <c r="U23" i="2"/>
  <c r="V23" i="2"/>
  <c r="W23" i="2"/>
  <c r="W19" i="2"/>
  <c r="X23" i="2"/>
  <c r="Y23" i="2"/>
  <c r="Z23" i="2"/>
  <c r="AA23" i="2"/>
  <c r="AB23" i="2"/>
  <c r="AC23" i="2"/>
  <c r="AD23" i="2"/>
  <c r="R25" i="2"/>
  <c r="S25" i="2"/>
  <c r="S24" i="2" s="1"/>
  <c r="T25" i="2"/>
  <c r="U25" i="2"/>
  <c r="U24" i="2" s="1"/>
  <c r="V25" i="2"/>
  <c r="V24" i="2" s="1"/>
  <c r="W25" i="2"/>
  <c r="X25" i="2"/>
  <c r="X24" i="2"/>
  <c r="Y25" i="2"/>
  <c r="Z25" i="2"/>
  <c r="AA25" i="2"/>
  <c r="AA24" i="2" s="1"/>
  <c r="AB25" i="2"/>
  <c r="AB24" i="2" s="1"/>
  <c r="AC25" i="2"/>
  <c r="AC24" i="2" s="1"/>
  <c r="AD25" i="2"/>
  <c r="R26" i="2"/>
  <c r="S26" i="2"/>
  <c r="T26" i="2"/>
  <c r="U26" i="2"/>
  <c r="V26" i="2"/>
  <c r="W26" i="2"/>
  <c r="X26" i="2"/>
  <c r="Y26" i="2"/>
  <c r="Y24" i="2" s="1"/>
  <c r="Z26" i="2"/>
  <c r="AA26" i="2"/>
  <c r="AB26" i="2"/>
  <c r="AC26" i="2"/>
  <c r="AD26" i="2"/>
  <c r="R27" i="2"/>
  <c r="R24" i="2" s="1"/>
  <c r="S27" i="2"/>
  <c r="T27" i="2"/>
  <c r="U27" i="2"/>
  <c r="V27" i="2"/>
  <c r="W27" i="2"/>
  <c r="X27" i="2"/>
  <c r="Y27" i="2"/>
  <c r="Z27" i="2"/>
  <c r="AA27" i="2"/>
  <c r="AB27" i="2"/>
  <c r="AC27" i="2"/>
  <c r="AD27" i="2"/>
  <c r="R28" i="2"/>
  <c r="S28" i="2"/>
  <c r="T28" i="2"/>
  <c r="U28" i="2"/>
  <c r="V28" i="2"/>
  <c r="W28" i="2"/>
  <c r="X28" i="2"/>
  <c r="Y28" i="2"/>
  <c r="Z28" i="2"/>
  <c r="Z24" i="2"/>
  <c r="AA28" i="2"/>
  <c r="AB28" i="2"/>
  <c r="AC28" i="2"/>
  <c r="AD28" i="2"/>
  <c r="R30" i="2"/>
  <c r="S30" i="2"/>
  <c r="T30" i="2"/>
  <c r="U30" i="2"/>
  <c r="V30" i="2"/>
  <c r="W30" i="2"/>
  <c r="X30" i="2"/>
  <c r="Y30" i="2"/>
  <c r="Z30" i="2"/>
  <c r="AA30" i="2"/>
  <c r="AB30" i="2"/>
  <c r="AC30" i="2"/>
  <c r="AC29" i="2" s="1"/>
  <c r="AD30" i="2"/>
  <c r="R31" i="2"/>
  <c r="S31" i="2"/>
  <c r="T31" i="2"/>
  <c r="U31" i="2"/>
  <c r="V31" i="2"/>
  <c r="W31" i="2"/>
  <c r="X31" i="2"/>
  <c r="Y31" i="2"/>
  <c r="Y29" i="2" s="1"/>
  <c r="Z31" i="2"/>
  <c r="AA31" i="2"/>
  <c r="AB31" i="2"/>
  <c r="AC31" i="2"/>
  <c r="AD31" i="2"/>
  <c r="R32" i="2"/>
  <c r="S32" i="2"/>
  <c r="T32" i="2"/>
  <c r="U32" i="2"/>
  <c r="V32" i="2"/>
  <c r="V29" i="2" s="1"/>
  <c r="W32" i="2"/>
  <c r="X32" i="2"/>
  <c r="X29" i="2" s="1"/>
  <c r="Y32" i="2"/>
  <c r="Z32" i="2"/>
  <c r="AA32" i="2"/>
  <c r="AB32" i="2"/>
  <c r="AC32" i="2"/>
  <c r="AD32" i="2"/>
  <c r="R33" i="2"/>
  <c r="S33" i="2"/>
  <c r="T33" i="2"/>
  <c r="U33" i="2"/>
  <c r="V33" i="2"/>
  <c r="W33" i="2"/>
  <c r="X33" i="2"/>
  <c r="Y33" i="2"/>
  <c r="Z33" i="2"/>
  <c r="AA33" i="2"/>
  <c r="AB33" i="2"/>
  <c r="AC33" i="2"/>
  <c r="AD33" i="2"/>
  <c r="R34" i="2"/>
  <c r="S34" i="2"/>
  <c r="T34" i="2"/>
  <c r="U34" i="2"/>
  <c r="V34" i="2"/>
  <c r="W34" i="2"/>
  <c r="W29" i="2" s="1"/>
  <c r="X34" i="2"/>
  <c r="Y34" i="2"/>
  <c r="Z34" i="2"/>
  <c r="AA34" i="2"/>
  <c r="AB34" i="2"/>
  <c r="AC34" i="2"/>
  <c r="AD34" i="2"/>
  <c r="R35" i="2"/>
  <c r="S35" i="2"/>
  <c r="T35" i="2"/>
  <c r="U35" i="2"/>
  <c r="V35" i="2"/>
  <c r="W35" i="2"/>
  <c r="X35" i="2"/>
  <c r="Y35" i="2"/>
  <c r="Z35" i="2"/>
  <c r="AA35" i="2"/>
  <c r="AB35" i="2"/>
  <c r="AC35" i="2"/>
  <c r="AD35" i="2"/>
  <c r="AD29" i="2" s="1"/>
  <c r="AD36" i="2"/>
  <c r="R37" i="2"/>
  <c r="R36" i="2" s="1"/>
  <c r="S37" i="2"/>
  <c r="S36" i="2" s="1"/>
  <c r="T37" i="2"/>
  <c r="T36" i="2" s="1"/>
  <c r="U37" i="2"/>
  <c r="U36" i="2" s="1"/>
  <c r="V37" i="2"/>
  <c r="V36" i="2" s="1"/>
  <c r="W37" i="2"/>
  <c r="X37" i="2"/>
  <c r="X36" i="2"/>
  <c r="Y37" i="2"/>
  <c r="Z37" i="2"/>
  <c r="Z36" i="2" s="1"/>
  <c r="AA37" i="2"/>
  <c r="AA36" i="2" s="1"/>
  <c r="AB37" i="2"/>
  <c r="AB36" i="2" s="1"/>
  <c r="AC37" i="2"/>
  <c r="AC36" i="2" s="1"/>
  <c r="AD37" i="2"/>
  <c r="R38" i="2"/>
  <c r="S38" i="2"/>
  <c r="T38" i="2"/>
  <c r="U38" i="2"/>
  <c r="V38" i="2"/>
  <c r="W38" i="2"/>
  <c r="W36" i="2" s="1"/>
  <c r="X38" i="2"/>
  <c r="Y38" i="2"/>
  <c r="Y36" i="2" s="1"/>
  <c r="Z38" i="2"/>
  <c r="AA38" i="2"/>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J668" i="5" s="1"/>
  <c r="M668" i="5" s="1"/>
  <c r="F18" i="70" s="1"/>
  <c r="F21" i="8"/>
  <c r="F22" i="8"/>
  <c r="F24" i="8"/>
  <c r="F25" i="8"/>
  <c r="F26" i="8"/>
  <c r="F27" i="8"/>
  <c r="F28" i="8"/>
  <c r="F29" i="8"/>
  <c r="F30" i="8"/>
  <c r="F31" i="8"/>
  <c r="F32" i="8"/>
  <c r="F33" i="8"/>
  <c r="F36" i="8"/>
  <c r="F37" i="8"/>
  <c r="F38" i="8"/>
  <c r="F39" i="8"/>
  <c r="F42" i="8" s="1"/>
  <c r="F40" i="8"/>
  <c r="F41" i="8"/>
  <c r="F43" i="8"/>
  <c r="F44" i="8"/>
  <c r="F45" i="8"/>
  <c r="F46" i="8"/>
  <c r="F47" i="8"/>
  <c r="F50" i="8"/>
  <c r="F51" i="8"/>
  <c r="F52" i="8"/>
  <c r="F53" i="8"/>
  <c r="F55" i="8"/>
  <c r="F54" i="8"/>
  <c r="F56" i="8"/>
  <c r="F60" i="8" s="1"/>
  <c r="F61" i="8" s="1"/>
  <c r="F57" i="8"/>
  <c r="F58" i="8"/>
  <c r="F59" i="8"/>
  <c r="F62" i="8"/>
  <c r="F64" i="8"/>
  <c r="F10" i="21"/>
  <c r="F9" i="21"/>
  <c r="F11" i="21"/>
  <c r="F12" i="21"/>
  <c r="F13" i="21"/>
  <c r="F15" i="21"/>
  <c r="F16" i="21"/>
  <c r="F17" i="21"/>
  <c r="F18" i="21"/>
  <c r="F19" i="21"/>
  <c r="F20" i="21"/>
  <c r="F21" i="21"/>
  <c r="F22" i="21"/>
  <c r="F23" i="21"/>
  <c r="F24" i="21"/>
  <c r="F25" i="21"/>
  <c r="F26" i="21"/>
  <c r="F27" i="21"/>
  <c r="F28" i="21"/>
  <c r="F29" i="21"/>
  <c r="F30" i="21"/>
  <c r="F31" i="21"/>
  <c r="F32" i="21"/>
  <c r="F33" i="21"/>
  <c r="F34" i="21"/>
  <c r="F35" i="21"/>
  <c r="F36" i="21"/>
  <c r="F37" i="21"/>
  <c r="F38" i="21"/>
  <c r="F39" i="21"/>
  <c r="F41" i="21"/>
  <c r="F42" i="21"/>
  <c r="F44" i="21"/>
  <c r="F46" i="21"/>
  <c r="F48" i="21"/>
  <c r="J166" i="5" s="1"/>
  <c r="F49" i="21"/>
  <c r="F51" i="21"/>
  <c r="F76" i="21" s="1"/>
  <c r="F55" i="21"/>
  <c r="F56" i="21"/>
  <c r="F57" i="21"/>
  <c r="F58" i="21"/>
  <c r="F59" i="21"/>
  <c r="F54" i="21" s="1"/>
  <c r="F61" i="2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19" i="7"/>
  <c r="L20" i="7"/>
  <c r="L21" i="7"/>
  <c r="L22" i="7"/>
  <c r="L23" i="7"/>
  <c r="L24" i="7"/>
  <c r="L25" i="7"/>
  <c r="L27" i="7"/>
  <c r="L28" i="7"/>
  <c r="L26" i="7" s="1"/>
  <c r="L29" i="7"/>
  <c r="L30" i="7"/>
  <c r="L31" i="7"/>
  <c r="L32" i="7"/>
  <c r="L33" i="7"/>
  <c r="L34" i="7"/>
  <c r="L36" i="7"/>
  <c r="L37" i="7"/>
  <c r="L38" i="7"/>
  <c r="L39" i="7"/>
  <c r="L40" i="7"/>
  <c r="L41" i="7"/>
  <c r="L42" i="7"/>
  <c r="L44" i="7"/>
  <c r="L45" i="7"/>
  <c r="L46" i="7"/>
  <c r="L47" i="7"/>
  <c r="L48" i="7"/>
  <c r="L49" i="7"/>
  <c r="L50" i="7"/>
  <c r="L53" i="7"/>
  <c r="L54" i="7"/>
  <c r="L55" i="7"/>
  <c r="L56" i="7"/>
  <c r="L57" i="7"/>
  <c r="L58" i="7"/>
  <c r="L59" i="7"/>
  <c r="L60" i="7"/>
  <c r="L61" i="7"/>
  <c r="L62" i="7"/>
  <c r="L63" i="7"/>
  <c r="L64" i="7"/>
  <c r="L65" i="7" s="1"/>
  <c r="L67" i="7" s="1"/>
  <c r="L66" i="7"/>
  <c r="G9" i="7"/>
  <c r="G10" i="7"/>
  <c r="G11" i="7"/>
  <c r="G12" i="7"/>
  <c r="G13" i="7"/>
  <c r="G14" i="7"/>
  <c r="G15" i="7"/>
  <c r="G16" i="7"/>
  <c r="G17" i="7"/>
  <c r="G18" i="7"/>
  <c r="G19" i="7"/>
  <c r="G20" i="7"/>
  <c r="G21" i="7"/>
  <c r="G22" i="7"/>
  <c r="G24" i="7"/>
  <c r="G25" i="7"/>
  <c r="G26" i="7"/>
  <c r="G23" i="7" s="1"/>
  <c r="G27" i="7"/>
  <c r="G28" i="7"/>
  <c r="G29" i="7"/>
  <c r="G30" i="7"/>
  <c r="G31" i="7"/>
  <c r="G32" i="7"/>
  <c r="G33" i="7"/>
  <c r="G34" i="7"/>
  <c r="G36" i="7"/>
  <c r="G37" i="7"/>
  <c r="G38" i="7"/>
  <c r="G39" i="7"/>
  <c r="G67" i="7" s="1"/>
  <c r="G40" i="7"/>
  <c r="G41" i="7"/>
  <c r="G42" i="7"/>
  <c r="G43" i="7"/>
  <c r="G44" i="7"/>
  <c r="G45" i="7"/>
  <c r="G46" i="7"/>
  <c r="G48" i="7"/>
  <c r="G47" i="7"/>
  <c r="G49" i="7"/>
  <c r="G51" i="7"/>
  <c r="G50" i="7" s="1"/>
  <c r="G52" i="7"/>
  <c r="G53" i="7"/>
  <c r="G54" i="7"/>
  <c r="G55" i="7"/>
  <c r="G56" i="7"/>
  <c r="G57" i="7"/>
  <c r="G58" i="7"/>
  <c r="G59" i="7"/>
  <c r="G60" i="7"/>
  <c r="G61" i="7"/>
  <c r="G62" i="7"/>
  <c r="G63" i="7"/>
  <c r="G64" i="7"/>
  <c r="G65" i="7"/>
  <c r="G66" i="7"/>
  <c r="Y15" i="2"/>
  <c r="M33" i="18"/>
  <c r="M42" i="18"/>
  <c r="M47" i="18"/>
  <c r="M56" i="18"/>
  <c r="M57" i="18"/>
  <c r="N20" i="18"/>
  <c r="J33" i="18"/>
  <c r="J42" i="18"/>
  <c r="J47" i="18"/>
  <c r="J56" i="18"/>
  <c r="J57" i="18"/>
  <c r="K20" i="18"/>
  <c r="A6" i="81"/>
  <c r="B5" i="81"/>
  <c r="A5" i="81"/>
  <c r="K5" i="81"/>
  <c r="B3" i="81"/>
  <c r="A2" i="81"/>
  <c r="K4" i="81"/>
  <c r="D1" i="81"/>
  <c r="A6" i="80"/>
  <c r="B5" i="80"/>
  <c r="A5" i="80"/>
  <c r="B3" i="80"/>
  <c r="A2" i="80"/>
  <c r="D1" i="80"/>
  <c r="K4" i="80"/>
  <c r="A6" i="79"/>
  <c r="B5" i="79"/>
  <c r="A5" i="79"/>
  <c r="B3" i="79"/>
  <c r="A2" i="79"/>
  <c r="H4" i="79"/>
  <c r="D1" i="79"/>
  <c r="A6" i="78"/>
  <c r="B5" i="78"/>
  <c r="A5" i="78"/>
  <c r="B3" i="78"/>
  <c r="A2" i="78"/>
  <c r="D1" i="78"/>
  <c r="H4" i="78"/>
  <c r="A6" i="77"/>
  <c r="P5" i="77"/>
  <c r="B5" i="77"/>
  <c r="A5" i="77"/>
  <c r="B3" i="77"/>
  <c r="A2" i="77"/>
  <c r="D1" i="77"/>
  <c r="P4" i="77"/>
  <c r="A6" i="76"/>
  <c r="B5" i="76"/>
  <c r="A5" i="76"/>
  <c r="B3" i="76"/>
  <c r="A2" i="76"/>
  <c r="J4" i="76"/>
  <c r="D1" i="76"/>
  <c r="K3" i="81"/>
  <c r="K5" i="80"/>
  <c r="K3" i="80"/>
  <c r="H5" i="79"/>
  <c r="H3" i="79"/>
  <c r="H5" i="78"/>
  <c r="H3" i="78"/>
  <c r="M30" i="77"/>
  <c r="L30" i="77"/>
  <c r="K30" i="77"/>
  <c r="J30" i="77"/>
  <c r="I30" i="77"/>
  <c r="H30" i="77"/>
  <c r="G30" i="77"/>
  <c r="F30" i="77"/>
  <c r="N30" i="77"/>
  <c r="N29" i="77"/>
  <c r="N28" i="77"/>
  <c r="N27" i="77"/>
  <c r="N26" i="77"/>
  <c r="N25" i="77"/>
  <c r="K23" i="77"/>
  <c r="K31" i="77"/>
  <c r="G23" i="77"/>
  <c r="G31" i="77"/>
  <c r="M22" i="77"/>
  <c r="M23" i="77"/>
  <c r="M31" i="77"/>
  <c r="L22" i="77"/>
  <c r="L23" i="77"/>
  <c r="L31" i="77"/>
  <c r="K22" i="77"/>
  <c r="J22" i="77"/>
  <c r="I22" i="77"/>
  <c r="I23" i="77"/>
  <c r="I31" i="77"/>
  <c r="H22" i="77"/>
  <c r="H23" i="77"/>
  <c r="H31" i="77"/>
  <c r="G22" i="77"/>
  <c r="F22" i="77"/>
  <c r="N22" i="77"/>
  <c r="N21" i="77"/>
  <c r="N20" i="77"/>
  <c r="N19" i="77"/>
  <c r="N18" i="77"/>
  <c r="N17" i="77"/>
  <c r="M15" i="77"/>
  <c r="L15" i="77"/>
  <c r="K15" i="77"/>
  <c r="J15" i="77"/>
  <c r="J23" i="77"/>
  <c r="J31" i="77"/>
  <c r="I15" i="77"/>
  <c r="H15" i="77"/>
  <c r="G15" i="77"/>
  <c r="F15" i="77"/>
  <c r="F23" i="77"/>
  <c r="N14" i="77"/>
  <c r="N13" i="77"/>
  <c r="N12" i="77"/>
  <c r="N11" i="77"/>
  <c r="N10"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19" i="6"/>
  <c r="B20" i="6"/>
  <c r="B21" i="6"/>
  <c r="B22" i="6"/>
  <c r="B23" i="6"/>
  <c r="B24" i="6"/>
  <c r="B25" i="6"/>
  <c r="B26" i="6"/>
  <c r="B27" i="6"/>
  <c r="B28" i="6"/>
  <c r="B29" i="6"/>
  <c r="B12" i="6"/>
  <c r="B13" i="6"/>
  <c r="B14" i="6"/>
  <c r="B15" i="6"/>
  <c r="B16" i="6"/>
  <c r="B17" i="6"/>
  <c r="B18" i="6"/>
  <c r="L12" i="18"/>
  <c r="K12" i="18"/>
  <c r="G2074" i="18"/>
  <c r="G2073" i="18"/>
  <c r="G2132" i="18"/>
  <c r="G2131" i="18"/>
  <c r="I2070" i="18"/>
  <c r="K2063" i="18"/>
  <c r="N23" i="77"/>
  <c r="N31" i="77"/>
  <c r="F31" i="77"/>
  <c r="N15" i="77"/>
  <c r="I2074" i="18"/>
  <c r="P851" i="18"/>
  <c r="Q856" i="18"/>
  <c r="R851" i="18"/>
  <c r="G828" i="18"/>
  <c r="G827" i="18"/>
  <c r="G806" i="18"/>
  <c r="G805" i="18"/>
  <c r="G757" i="18"/>
  <c r="G756" i="18"/>
  <c r="G735" i="18"/>
  <c r="G734" i="18"/>
  <c r="J846" i="18"/>
  <c r="J824" i="18"/>
  <c r="J828" i="18"/>
  <c r="J802" i="18"/>
  <c r="J806" i="18"/>
  <c r="J775" i="18"/>
  <c r="K762" i="18"/>
  <c r="J753" i="18"/>
  <c r="K740" i="18"/>
  <c r="J731" i="18"/>
  <c r="K721" i="18"/>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c r="D777" i="18"/>
  <c r="G777" i="18" s="1"/>
  <c r="H804" i="18" s="1"/>
  <c r="L4964" i="18"/>
  <c r="M4960" i="18"/>
  <c r="K4960" i="18"/>
  <c r="G4793" i="18"/>
  <c r="G4791" i="18"/>
  <c r="G4792" i="18"/>
  <c r="K4635" i="18"/>
  <c r="L4650" i="18"/>
  <c r="M4650" i="18"/>
  <c r="N4635" i="18"/>
  <c r="G4281" i="18"/>
  <c r="G4280" i="18"/>
  <c r="G4131" i="18"/>
  <c r="G4130" i="18"/>
  <c r="M3929" i="18"/>
  <c r="L3929" i="18"/>
  <c r="K3929" i="18"/>
  <c r="G3851" i="18"/>
  <c r="G3850" i="18"/>
  <c r="J757" i="18"/>
  <c r="J735" i="18"/>
  <c r="R854" i="18"/>
  <c r="L805" i="18"/>
  <c r="J790" i="18"/>
  <c r="K777" i="18"/>
  <c r="M3762" i="18"/>
  <c r="L3762" i="18"/>
  <c r="K3762" i="18"/>
  <c r="G3676" i="18"/>
  <c r="G3675" i="18"/>
  <c r="G3652" i="18"/>
  <c r="G3651" i="18"/>
  <c r="G3553" i="18"/>
  <c r="G3552" i="18"/>
  <c r="G3466" i="18"/>
  <c r="G3465" i="18"/>
  <c r="G2892" i="18"/>
  <c r="G2891" i="18"/>
  <c r="M2823" i="18"/>
  <c r="L2823" i="18"/>
  <c r="K2823" i="18"/>
  <c r="M2641" i="18"/>
  <c r="L2641" i="18"/>
  <c r="K2641" i="18"/>
  <c r="G2426" i="18"/>
  <c r="G2425" i="18"/>
  <c r="G2458" i="18"/>
  <c r="G2457" i="18"/>
  <c r="G2344" i="18"/>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c r="G1073" i="18"/>
  <c r="N1029" i="18"/>
  <c r="M1029" i="18"/>
  <c r="L1029" i="18"/>
  <c r="M1482" i="18"/>
  <c r="L1482" i="18"/>
  <c r="K1482" i="18"/>
  <c r="I1482" i="18"/>
  <c r="H1482" i="18"/>
  <c r="H1486" i="18"/>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c r="H4317" i="18"/>
  <c r="H2543" i="18"/>
  <c r="H2530" i="18"/>
  <c r="H20" i="18"/>
  <c r="H236" i="18"/>
  <c r="G5240" i="18"/>
  <c r="G5239" i="18"/>
  <c r="G5238" i="18"/>
  <c r="D5216" i="18"/>
  <c r="D5221" i="18"/>
  <c r="D5226" i="18"/>
  <c r="D5231" i="18"/>
  <c r="D5236" i="18"/>
  <c r="D5241" i="18"/>
  <c r="D5246" i="18"/>
  <c r="D5251" i="18"/>
  <c r="D5256" i="18"/>
  <c r="D5261" i="18"/>
  <c r="D5266" i="18"/>
  <c r="D5271" i="18"/>
  <c r="D5272" i="18"/>
  <c r="D5273" i="18"/>
  <c r="D4739" i="18"/>
  <c r="D4740" i="18"/>
  <c r="D4741" i="18"/>
  <c r="D4742" i="18"/>
  <c r="D4743" i="18"/>
  <c r="D4744" i="18"/>
  <c r="D4745" i="18"/>
  <c r="D4746" i="18"/>
  <c r="D4747" i="18"/>
  <c r="D4736" i="18"/>
  <c r="G4736" i="18" s="1"/>
  <c r="C72" i="8"/>
  <c r="C52" i="74"/>
  <c r="C69" i="70"/>
  <c r="G5101" i="18"/>
  <c r="H5501" i="18"/>
  <c r="K5545" i="18"/>
  <c r="K5544" i="18"/>
  <c r="K5542" i="18"/>
  <c r="K5541" i="18"/>
  <c r="K5533" i="18"/>
  <c r="K5534" i="18"/>
  <c r="K5535" i="18"/>
  <c r="K5536" i="18"/>
  <c r="K5537" i="18"/>
  <c r="K5538" i="18"/>
  <c r="K5526" i="18"/>
  <c r="K5528" i="18"/>
  <c r="K5529" i="18"/>
  <c r="K5530" i="18"/>
  <c r="K5518" i="18"/>
  <c r="K5519" i="18"/>
  <c r="K5520" i="18"/>
  <c r="K5521" i="18"/>
  <c r="K5523" i="18"/>
  <c r="K5524" i="18"/>
  <c r="K5525" i="18"/>
  <c r="K5509" i="18"/>
  <c r="K5510" i="18"/>
  <c r="K5511" i="18"/>
  <c r="K5512" i="18"/>
  <c r="K5514" i="18"/>
  <c r="K5515" i="18"/>
  <c r="K5516" i="18"/>
  <c r="I5508" i="18"/>
  <c r="J5508" i="18"/>
  <c r="I5513" i="18"/>
  <c r="J5513" i="18"/>
  <c r="I5517" i="18"/>
  <c r="J5517" i="18"/>
  <c r="I5522" i="18"/>
  <c r="J5522" i="18"/>
  <c r="I5527" i="18"/>
  <c r="J5527" i="18"/>
  <c r="I5532" i="18"/>
  <c r="I5539" i="18"/>
  <c r="J5532" i="18"/>
  <c r="J5539" i="18"/>
  <c r="I5543" i="18"/>
  <c r="J5543" i="18"/>
  <c r="I5546" i="18"/>
  <c r="J5546" i="18"/>
  <c r="H5546" i="18"/>
  <c r="H5543" i="18"/>
  <c r="H5532" i="18"/>
  <c r="H5527" i="18"/>
  <c r="H5522" i="18"/>
  <c r="H5517" i="18"/>
  <c r="H5513" i="18"/>
  <c r="H5508"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K5487" i="18"/>
  <c r="K5477" i="18"/>
  <c r="K5469" i="18"/>
  <c r="K5465" i="18"/>
  <c r="N5501" i="18"/>
  <c r="K5501" i="18"/>
  <c r="D5501" i="18"/>
  <c r="G5501" i="18" s="1"/>
  <c r="H5507" i="18"/>
  <c r="K5522" i="18"/>
  <c r="K5546" i="18"/>
  <c r="K5543" i="18"/>
  <c r="J5507" i="18"/>
  <c r="J5531" i="18"/>
  <c r="K5527" i="18"/>
  <c r="K5508" i="18"/>
  <c r="K5517" i="18"/>
  <c r="H5531" i="18"/>
  <c r="K5532" i="18"/>
  <c r="H5539" i="18"/>
  <c r="K5539" i="18"/>
  <c r="I5507" i="18"/>
  <c r="I5531" i="18"/>
  <c r="K5513" i="18"/>
  <c r="K5531" i="18"/>
  <c r="K5507" i="18"/>
  <c r="I5831" i="18"/>
  <c r="I5833" i="18"/>
  <c r="I4758" i="18"/>
  <c r="I4755" i="18"/>
  <c r="H4758" i="18"/>
  <c r="H4755" i="18"/>
  <c r="D4969" i="18"/>
  <c r="D4970" i="18"/>
  <c r="D4971" i="18"/>
  <c r="D4972" i="18"/>
  <c r="D4973" i="18"/>
  <c r="D4974" i="18"/>
  <c r="D4975" i="18"/>
  <c r="D4976" i="18"/>
  <c r="D4977" i="18"/>
  <c r="D4978" i="18"/>
  <c r="D4979" i="18"/>
  <c r="D4980" i="18"/>
  <c r="D4981" i="18"/>
  <c r="D4982"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J3622" i="18" s="1"/>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c r="J2036" i="18"/>
  <c r="M2036" i="18" s="1"/>
  <c r="J2037" i="18"/>
  <c r="M2037" i="18"/>
  <c r="J2038" i="18"/>
  <c r="M2038" i="18" s="1"/>
  <c r="J2039" i="18"/>
  <c r="M2039" i="18"/>
  <c r="J2040" i="18"/>
  <c r="M2040" i="18" s="1"/>
  <c r="J2041" i="18"/>
  <c r="M2041" i="18"/>
  <c r="J2042" i="18"/>
  <c r="M2042" i="18" s="1"/>
  <c r="J2043" i="18"/>
  <c r="M2043" i="18"/>
  <c r="J2035" i="18"/>
  <c r="M2035" i="18"/>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c r="H249" i="18"/>
  <c r="K236" i="18"/>
  <c r="D241" i="18"/>
  <c r="D242" i="18"/>
  <c r="D243" i="18"/>
  <c r="D244" i="18"/>
  <c r="D245" i="18"/>
  <c r="D246" i="18"/>
  <c r="D247" i="18"/>
  <c r="D248" i="18"/>
  <c r="D249" i="18"/>
  <c r="D236" i="18"/>
  <c r="G236" i="18" s="1"/>
  <c r="J2090" i="18"/>
  <c r="K2079" i="18"/>
  <c r="J2116" i="18"/>
  <c r="K2105" i="18"/>
  <c r="J2103" i="18"/>
  <c r="K2092" i="18"/>
  <c r="J719" i="18"/>
  <c r="K706" i="18"/>
  <c r="I3672" i="18"/>
  <c r="I3622" i="18" s="1"/>
  <c r="H6242" i="18"/>
  <c r="H6213" i="18"/>
  <c r="H6186" i="18"/>
  <c r="H6164" i="18"/>
  <c r="H6155" i="18"/>
  <c r="H6146" i="18"/>
  <c r="H6137" i="18"/>
  <c r="H6126" i="18"/>
  <c r="H6117" i="18"/>
  <c r="H6107" i="18"/>
  <c r="H6093" i="18"/>
  <c r="H6084" i="18"/>
  <c r="H6075" i="18"/>
  <c r="H6064" i="18"/>
  <c r="H6055" i="18"/>
  <c r="H6032" i="18"/>
  <c r="H6020" i="18"/>
  <c r="H6008" i="18"/>
  <c r="H5997" i="18"/>
  <c r="H5976" i="18"/>
  <c r="H5957" i="18"/>
  <c r="H5946" i="18"/>
  <c r="H5935" i="18"/>
  <c r="H5924" i="18"/>
  <c r="H5913" i="18"/>
  <c r="H5902" i="18"/>
  <c r="H5891" i="18"/>
  <c r="H5880" i="18"/>
  <c r="H5869" i="18"/>
  <c r="H5857" i="18"/>
  <c r="H5847" i="18"/>
  <c r="H5796" i="18"/>
  <c r="H5173" i="18"/>
  <c r="H5009" i="18"/>
  <c r="H4999" i="18"/>
  <c r="H4985" i="18"/>
  <c r="H4836"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c r="K1183" i="18"/>
  <c r="O1031" i="18"/>
  <c r="L529" i="18"/>
  <c r="K553" i="18"/>
  <c r="L4277" i="18"/>
  <c r="K4277" i="18"/>
  <c r="J4277" i="18"/>
  <c r="I4277" i="18"/>
  <c r="Y3" i="18"/>
  <c r="H1975" i="18"/>
  <c r="U5" i="18"/>
  <c r="V5" i="18" s="1"/>
  <c r="U4" i="18"/>
  <c r="V4" i="18"/>
  <c r="H5777" i="18" s="1"/>
  <c r="H4738" i="18"/>
  <c r="H4747" i="18" s="1"/>
  <c r="K4736" i="18" s="1"/>
  <c r="U2" i="18"/>
  <c r="W2" i="18"/>
  <c r="I1540" i="18" s="1"/>
  <c r="M5802" i="18"/>
  <c r="L5802" i="18"/>
  <c r="K5802" i="18"/>
  <c r="J5802" i="18"/>
  <c r="I5802" i="18"/>
  <c r="N5796" i="18"/>
  <c r="H5802" i="18"/>
  <c r="K5796" i="18"/>
  <c r="D5799" i="18"/>
  <c r="D5800" i="18"/>
  <c r="D5801" i="18"/>
  <c r="D5802" i="18"/>
  <c r="D5796" i="18"/>
  <c r="G5796" i="18" s="1"/>
  <c r="W4" i="18"/>
  <c r="I5730" i="18" s="1"/>
  <c r="H4566" i="18"/>
  <c r="H5807" i="18"/>
  <c r="G3038" i="18"/>
  <c r="H5211" i="18"/>
  <c r="G1508" i="18"/>
  <c r="H3361" i="18"/>
  <c r="H5389" i="18"/>
  <c r="G3018" i="18"/>
  <c r="W5" i="18"/>
  <c r="J5680" i="18" s="1"/>
  <c r="V2" i="18"/>
  <c r="H765" i="18" s="1"/>
  <c r="G2154" i="18"/>
  <c r="G2004" i="18"/>
  <c r="H1990" i="18"/>
  <c r="H4727" i="18"/>
  <c r="H4734" i="18"/>
  <c r="H5023" i="18"/>
  <c r="H4879" i="18"/>
  <c r="H5130" i="18"/>
  <c r="H4215" i="18"/>
  <c r="H5077" i="18"/>
  <c r="H4180" i="18"/>
  <c r="H4459" i="18"/>
  <c r="H4665" i="18"/>
  <c r="H4767" i="18"/>
  <c r="H4838" i="18"/>
  <c r="H4847" i="18" s="1"/>
  <c r="K4836" i="18" s="1"/>
  <c r="H4968" i="18"/>
  <c r="H5055" i="18"/>
  <c r="J5295" i="18"/>
  <c r="H4224" i="18"/>
  <c r="H4491" i="18"/>
  <c r="H4509" i="18"/>
  <c r="H4635" i="18"/>
  <c r="H4696" i="18"/>
  <c r="H4752" i="18"/>
  <c r="H4763" i="18" s="1"/>
  <c r="H4824" i="18"/>
  <c r="H4865" i="18"/>
  <c r="H4901" i="18"/>
  <c r="H4960" i="18"/>
  <c r="H4987" i="18"/>
  <c r="H5039" i="18"/>
  <c r="H5088" i="18"/>
  <c r="H5122" i="18"/>
  <c r="J5280" i="18"/>
  <c r="I4860" i="18"/>
  <c r="H4860" i="18"/>
  <c r="D4852" i="18"/>
  <c r="D4853" i="18"/>
  <c r="D4854" i="18"/>
  <c r="D4855" i="18"/>
  <c r="D4856" i="18"/>
  <c r="D4857" i="18"/>
  <c r="D4858" i="18"/>
  <c r="D4859" i="18"/>
  <c r="D4860" i="18"/>
  <c r="H836" i="18"/>
  <c r="H795" i="18"/>
  <c r="H780" i="18"/>
  <c r="H743" i="18"/>
  <c r="H5740" i="18"/>
  <c r="H3423" i="18"/>
  <c r="H3308" i="18"/>
  <c r="H1082" i="18"/>
  <c r="H1170" i="18"/>
  <c r="H3831" i="18"/>
  <c r="H4170" i="18"/>
  <c r="H239" i="18"/>
  <c r="H2205" i="18"/>
  <c r="N4087" i="18"/>
  <c r="H5323" i="18"/>
  <c r="Q4063" i="18"/>
  <c r="K2433" i="18"/>
  <c r="H979" i="18"/>
  <c r="H1015" i="18"/>
  <c r="H1802" i="18"/>
  <c r="H23" i="18"/>
  <c r="K3659" i="18"/>
  <c r="H518" i="18"/>
  <c r="H195" i="18"/>
  <c r="N254" i="18"/>
  <c r="N582" i="18"/>
  <c r="I5740" i="18"/>
  <c r="J5670" i="18"/>
  <c r="H1207" i="18"/>
  <c r="H3533" i="18"/>
  <c r="H2499" i="18"/>
  <c r="H73" i="18"/>
  <c r="H3970" i="18"/>
  <c r="H1667" i="18"/>
  <c r="H1104" i="18"/>
  <c r="H3434" i="18"/>
  <c r="N2333" i="18"/>
  <c r="I5749" i="18"/>
  <c r="H4289" i="18"/>
  <c r="N691" i="18"/>
  <c r="H3243" i="18"/>
  <c r="K3630" i="18"/>
  <c r="H3729" i="18"/>
  <c r="M2849" i="18"/>
  <c r="H3762" i="18"/>
  <c r="H3767" i="18" s="1"/>
  <c r="H538" i="18"/>
  <c r="H3570" i="18"/>
  <c r="H5159" i="18"/>
  <c r="H61" i="18"/>
  <c r="H2799" i="18"/>
  <c r="H1841" i="18"/>
  <c r="H381" i="18"/>
  <c r="H3288" i="18"/>
  <c r="H4109" i="18"/>
  <c r="H3772" i="18"/>
  <c r="H990" i="18"/>
  <c r="H132" i="18"/>
  <c r="M3203" i="18"/>
  <c r="H2051" i="18"/>
  <c r="H173" i="18"/>
  <c r="K3683" i="18"/>
  <c r="H418" i="18"/>
  <c r="P4370" i="18"/>
  <c r="H3445" i="18"/>
  <c r="K2532" i="18"/>
  <c r="H3999" i="18"/>
  <c r="H1236" i="18"/>
  <c r="H123" i="18"/>
  <c r="H1119" i="18"/>
  <c r="H4249" i="18"/>
  <c r="D4839" i="18"/>
  <c r="D4840" i="18"/>
  <c r="D4841" i="18"/>
  <c r="D4842" i="18"/>
  <c r="D4843" i="18"/>
  <c r="D4844" i="18"/>
  <c r="D4845" i="18"/>
  <c r="D4846" i="18"/>
  <c r="D4847" i="18"/>
  <c r="D4836" i="18"/>
  <c r="G4836" i="18" s="1"/>
  <c r="D4753" i="18"/>
  <c r="D4754" i="18"/>
  <c r="D4755" i="18"/>
  <c r="D4756" i="18"/>
  <c r="D4757" i="18"/>
  <c r="D4758" i="18"/>
  <c r="D4759" i="18"/>
  <c r="D4760" i="18"/>
  <c r="D4761" i="18"/>
  <c r="D4762" i="18"/>
  <c r="D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c r="D4111" i="18"/>
  <c r="D4112" i="18"/>
  <c r="D4113" i="18"/>
  <c r="D4114" i="18"/>
  <c r="D4115" i="18"/>
  <c r="J3388" i="18"/>
  <c r="I3388" i="18"/>
  <c r="J3384" i="18"/>
  <c r="I3384" i="18"/>
  <c r="K3147" i="18"/>
  <c r="K3136" i="18"/>
  <c r="J3147" i="18"/>
  <c r="I3147" i="18"/>
  <c r="H3147" i="18"/>
  <c r="H3136" i="18"/>
  <c r="H3149" i="18"/>
  <c r="P3160" i="18"/>
  <c r="M3160" i="18"/>
  <c r="J3160" i="18"/>
  <c r="I3160" i="18"/>
  <c r="N3149" i="18"/>
  <c r="H3160" i="18"/>
  <c r="K3149" i="18"/>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60" i="18" s="1"/>
  <c r="N2847" i="18" s="1"/>
  <c r="M2852" i="18"/>
  <c r="M2853" i="18"/>
  <c r="M2854" i="18"/>
  <c r="M2855" i="18"/>
  <c r="M2856" i="18"/>
  <c r="M2857" i="18"/>
  <c r="M2858" i="18"/>
  <c r="M2859" i="18"/>
  <c r="M2850" i="18"/>
  <c r="H2761" i="18"/>
  <c r="H1961" i="18"/>
  <c r="H1764" i="18"/>
  <c r="P931" i="18"/>
  <c r="M931" i="18"/>
  <c r="J931" i="18"/>
  <c r="I931" i="18"/>
  <c r="N920" i="18"/>
  <c r="H931" i="18"/>
  <c r="K920" i="18"/>
  <c r="D923" i="18"/>
  <c r="D924" i="18"/>
  <c r="D925" i="18"/>
  <c r="D926" i="18"/>
  <c r="D927" i="18"/>
  <c r="D928" i="18"/>
  <c r="D929" i="18"/>
  <c r="D930" i="18"/>
  <c r="D931" i="18"/>
  <c r="D920" i="18"/>
  <c r="G920" i="18" s="1"/>
  <c r="H2368" i="18"/>
  <c r="H2181" i="18"/>
  <c r="H1753" i="18"/>
  <c r="H1736" i="18"/>
  <c r="H1726" i="18"/>
  <c r="H1716" i="18"/>
  <c r="H1699" i="18"/>
  <c r="H1682" i="18"/>
  <c r="H1491" i="18"/>
  <c r="H1387" i="18"/>
  <c r="H1365" i="18"/>
  <c r="L1422" i="18"/>
  <c r="M1443" i="18"/>
  <c r="G268" i="18"/>
  <c r="G267" i="18"/>
  <c r="G231" i="18"/>
  <c r="G230" i="18"/>
  <c r="G209" i="18"/>
  <c r="G208" i="18"/>
  <c r="G187" i="18"/>
  <c r="J179" i="18"/>
  <c r="J175" i="18"/>
  <c r="H179" i="18"/>
  <c r="H175" i="18"/>
  <c r="G186" i="18"/>
  <c r="J1046" i="18"/>
  <c r="H1046" i="18"/>
  <c r="J1050" i="18"/>
  <c r="H1050" i="18"/>
  <c r="D2320" i="18"/>
  <c r="D2321" i="18"/>
  <c r="D2322" i="18"/>
  <c r="D2323" i="18"/>
  <c r="D2324" i="18"/>
  <c r="D2325" i="18"/>
  <c r="D2326" i="18"/>
  <c r="D2327" i="18"/>
  <c r="D2328" i="18"/>
  <c r="J2222" i="18"/>
  <c r="J2223" i="18"/>
  <c r="J2224" i="18"/>
  <c r="J2221" i="18"/>
  <c r="I2225" i="18"/>
  <c r="I2229" i="18"/>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c r="J2126" i="18"/>
  <c r="J2127" i="18"/>
  <c r="N2127" i="18" s="1"/>
  <c r="J2123" i="18"/>
  <c r="N2123" i="18"/>
  <c r="D2066" i="18"/>
  <c r="D2067" i="18"/>
  <c r="D2068" i="18"/>
  <c r="D2069" i="18"/>
  <c r="D2070" i="18"/>
  <c r="M1918" i="18"/>
  <c r="L1918" i="18"/>
  <c r="K1918" i="18"/>
  <c r="I1918" i="18"/>
  <c r="H1918" i="18"/>
  <c r="H1922" i="18"/>
  <c r="D1913" i="18"/>
  <c r="D1914" i="18"/>
  <c r="D1915" i="18"/>
  <c r="D1916" i="18"/>
  <c r="D1917" i="18"/>
  <c r="D1918" i="18"/>
  <c r="J1914" i="18"/>
  <c r="N1914" i="18"/>
  <c r="J1915" i="18"/>
  <c r="N1915" i="18" s="1"/>
  <c r="J1916" i="18"/>
  <c r="N1916" i="18"/>
  <c r="J1917" i="18"/>
  <c r="N1917" i="18" s="1"/>
  <c r="J1913" i="18"/>
  <c r="N1913" i="18"/>
  <c r="D1856" i="18"/>
  <c r="D1857" i="18"/>
  <c r="D1858" i="18"/>
  <c r="D1859" i="18"/>
  <c r="D1860" i="18"/>
  <c r="J1860" i="18"/>
  <c r="J1864" i="18"/>
  <c r="I1860" i="18"/>
  <c r="I1864" i="18"/>
  <c r="H1860" i="18"/>
  <c r="H1864" i="18"/>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c r="H1305" i="18"/>
  <c r="K1292" i="18"/>
  <c r="D1297" i="18"/>
  <c r="D1298" i="18"/>
  <c r="D1299" i="18"/>
  <c r="D1300" i="18"/>
  <c r="D1301" i="18"/>
  <c r="D1302" i="18"/>
  <c r="D1303" i="18"/>
  <c r="D1304" i="18"/>
  <c r="D1305" i="18"/>
  <c r="I1290" i="18"/>
  <c r="N1277" i="18"/>
  <c r="H1290" i="18"/>
  <c r="K1277" i="18"/>
  <c r="I1268" i="18"/>
  <c r="I1272" i="18"/>
  <c r="H1268" i="18"/>
  <c r="I1246" i="18"/>
  <c r="I1250" i="18"/>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c r="D1209" i="18"/>
  <c r="D1210" i="18"/>
  <c r="D1211" i="18"/>
  <c r="D1212" i="18"/>
  <c r="D1213" i="18"/>
  <c r="D1214" i="18"/>
  <c r="D1215" i="18"/>
  <c r="D1216" i="18"/>
  <c r="D1217" i="18"/>
  <c r="I1202" i="18"/>
  <c r="H1202" i="18"/>
  <c r="K1189" i="18"/>
  <c r="I1180" i="18"/>
  <c r="I1184" i="18"/>
  <c r="H1180" i="18"/>
  <c r="D1150" i="18"/>
  <c r="D1151" i="18"/>
  <c r="D1152" i="18"/>
  <c r="D1153" i="18"/>
  <c r="D1154" i="18"/>
  <c r="D1155" i="18"/>
  <c r="D1156" i="18"/>
  <c r="D1157" i="18"/>
  <c r="D1158" i="18"/>
  <c r="I1158" i="18"/>
  <c r="I1162" i="18"/>
  <c r="H1158" i="18"/>
  <c r="D1134" i="18"/>
  <c r="D1135" i="18"/>
  <c r="D1136" i="18"/>
  <c r="D1137" i="18"/>
  <c r="D1138" i="18"/>
  <c r="D1139" i="18"/>
  <c r="D1140" i="18"/>
  <c r="D1141" i="18"/>
  <c r="D1142" i="18"/>
  <c r="D1143" i="18"/>
  <c r="J1143" i="18"/>
  <c r="H1143" i="18"/>
  <c r="K1131" i="18"/>
  <c r="K1141" i="18"/>
  <c r="D1046" i="18"/>
  <c r="D1047" i="18"/>
  <c r="D1048" i="18"/>
  <c r="D1049" i="18"/>
  <c r="D1050" i="18"/>
  <c r="D1051" i="18"/>
  <c r="D1052" i="18"/>
  <c r="D1053" i="18"/>
  <c r="D1054" i="18"/>
  <c r="D1055" i="18"/>
  <c r="K1053" i="18"/>
  <c r="D1292" i="18"/>
  <c r="G1292" i="18" s="1"/>
  <c r="D1277" i="18"/>
  <c r="G1277" i="18"/>
  <c r="D1255" i="18"/>
  <c r="G1255" i="18" s="1"/>
  <c r="D1233" i="18"/>
  <c r="G1233" i="18"/>
  <c r="J1217" i="18"/>
  <c r="D1204" i="18"/>
  <c r="G1204" i="18" s="1"/>
  <c r="J1202" i="18"/>
  <c r="D1189" i="18"/>
  <c r="G1189" i="18"/>
  <c r="D1167" i="18"/>
  <c r="G1167" i="18" s="1"/>
  <c r="D1145" i="18"/>
  <c r="G1145" i="18"/>
  <c r="K1135" i="18"/>
  <c r="K1136" i="18"/>
  <c r="K1137" i="18"/>
  <c r="K1138" i="18"/>
  <c r="K1139" i="18"/>
  <c r="K1140" i="18"/>
  <c r="K1142" i="18"/>
  <c r="K1134" i="18"/>
  <c r="K1143" i="18" s="1"/>
  <c r="N1131" i="18"/>
  <c r="D1131" i="18"/>
  <c r="G1131" i="18" s="1"/>
  <c r="J1034" i="18"/>
  <c r="K1027" i="18" s="1"/>
  <c r="I1034" i="18"/>
  <c r="I1038" i="18"/>
  <c r="H1034" i="18"/>
  <c r="H1038" i="18"/>
  <c r="D1030" i="18"/>
  <c r="D1031" i="18"/>
  <c r="D1032" i="18"/>
  <c r="D1033" i="18"/>
  <c r="D1034" i="18"/>
  <c r="D1027" i="18"/>
  <c r="G1027" i="18" s="1"/>
  <c r="K1145" i="18"/>
  <c r="H1162" i="18"/>
  <c r="K1233" i="18"/>
  <c r="H1250" i="18"/>
  <c r="K1255" i="18"/>
  <c r="H1272" i="18"/>
  <c r="K2218" i="18"/>
  <c r="H2229" i="18"/>
  <c r="J1038" i="18"/>
  <c r="K1167" i="18"/>
  <c r="H1184" i="18"/>
  <c r="J1055" i="18"/>
  <c r="H1055" i="18"/>
  <c r="J2128" i="18"/>
  <c r="J2225" i="18"/>
  <c r="J2229" i="18" s="1"/>
  <c r="N2126" i="18"/>
  <c r="J1918" i="18"/>
  <c r="F166" i="5"/>
  <c r="F165" i="5"/>
  <c r="E93" i="21"/>
  <c r="F45" i="69"/>
  <c r="F44" i="69"/>
  <c r="E78" i="69"/>
  <c r="F32" i="73"/>
  <c r="I59" i="68"/>
  <c r="I58" i="68"/>
  <c r="I47" i="68"/>
  <c r="I46" i="68"/>
  <c r="I47" i="72"/>
  <c r="G1"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54" i="18" s="1"/>
  <c r="K2458" i="18" s="1"/>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c r="L2454" i="18"/>
  <c r="J2454" i="18"/>
  <c r="I2454" i="18"/>
  <c r="N2431" i="18"/>
  <c r="D2431" i="18"/>
  <c r="G2431" i="18"/>
  <c r="M2418" i="18"/>
  <c r="M2417" i="18"/>
  <c r="J2418" i="18"/>
  <c r="J2417" i="18"/>
  <c r="L2422" i="18"/>
  <c r="K2422" i="18"/>
  <c r="I2422" i="18"/>
  <c r="H2422" i="18"/>
  <c r="K2412" i="18"/>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c r="I2426" i="18"/>
  <c r="M798" i="5"/>
  <c r="M799" i="5"/>
  <c r="I798" i="5"/>
  <c r="I799" i="5"/>
  <c r="J2422" i="18"/>
  <c r="J2426" i="18"/>
  <c r="M2422" i="18"/>
  <c r="M2426" i="18"/>
  <c r="K1508" i="18"/>
  <c r="C38" i="7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c r="E3" i="72"/>
  <c r="Y37" i="75"/>
  <c r="L37" i="75"/>
  <c r="T37" i="75"/>
  <c r="G37" i="75"/>
  <c r="C37" i="75"/>
  <c r="C34" i="75"/>
  <c r="C33" i="75"/>
  <c r="C27" i="75"/>
  <c r="C26" i="75"/>
  <c r="C23" i="75"/>
  <c r="C19" i="75"/>
  <c r="C17" i="75"/>
  <c r="C16" i="75"/>
  <c r="C45" i="74"/>
  <c r="C57" i="73"/>
  <c r="C32" i="73"/>
  <c r="C31" i="73"/>
  <c r="C65" i="73" s="1"/>
  <c r="K51" i="72"/>
  <c r="H51" i="72"/>
  <c r="E51" i="72"/>
  <c r="C36" i="75"/>
  <c r="C50" i="75" s="1"/>
  <c r="C35" i="75"/>
  <c r="C32" i="75"/>
  <c r="C31" i="75"/>
  <c r="C30" i="75"/>
  <c r="C29" i="75"/>
  <c r="C28" i="75"/>
  <c r="C25" i="75"/>
  <c r="C24" i="75"/>
  <c r="C22" i="75"/>
  <c r="C21" i="75"/>
  <c r="C20" i="75"/>
  <c r="C18" i="75"/>
  <c r="C15" i="75"/>
  <c r="C14" i="75"/>
  <c r="C13" i="75"/>
  <c r="C12" i="75"/>
  <c r="C11" i="75"/>
  <c r="C10" i="75"/>
  <c r="C9" i="75"/>
  <c r="C5" i="75"/>
  <c r="U4" i="75"/>
  <c r="H4" i="75"/>
  <c r="C89" i="74"/>
  <c r="C78" i="74"/>
  <c r="C105" i="74" s="1"/>
  <c r="A78" i="74"/>
  <c r="C77" i="74"/>
  <c r="A77" i="74"/>
  <c r="C76" i="74"/>
  <c r="A76" i="74"/>
  <c r="C75" i="74"/>
  <c r="C101" i="74"/>
  <c r="A75" i="74"/>
  <c r="C74" i="74"/>
  <c r="C97" i="74" s="1"/>
  <c r="A74" i="74"/>
  <c r="C73" i="74"/>
  <c r="A73" i="74"/>
  <c r="C72" i="74"/>
  <c r="A72" i="74"/>
  <c r="C71" i="74"/>
  <c r="A71" i="74"/>
  <c r="C70" i="74"/>
  <c r="A70" i="74"/>
  <c r="C69" i="74"/>
  <c r="A69" i="74"/>
  <c r="C68" i="74"/>
  <c r="C93" i="74"/>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c r="A51" i="74"/>
  <c r="C50" i="74"/>
  <c r="A50" i="74"/>
  <c r="C44" i="74"/>
  <c r="C84" i="74" s="1"/>
  <c r="A44" i="74"/>
  <c r="C43" i="74"/>
  <c r="C102" i="74"/>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c r="A33" i="73"/>
  <c r="A32" i="73"/>
  <c r="A31" i="73"/>
  <c r="C30" i="73"/>
  <c r="C64" i="73" s="1"/>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c r="E50" i="72"/>
  <c r="E61" i="72"/>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c r="C36" i="71"/>
  <c r="C32" i="71"/>
  <c r="C30" i="71"/>
  <c r="C29" i="71"/>
  <c r="C28" i="71"/>
  <c r="C27" i="71"/>
  <c r="C25" i="71"/>
  <c r="C24" i="71"/>
  <c r="C23" i="71"/>
  <c r="C22" i="71"/>
  <c r="C35" i="71"/>
  <c r="C34" i="71"/>
  <c r="C20" i="71"/>
  <c r="C19" i="71"/>
  <c r="C18" i="71"/>
  <c r="C17" i="71"/>
  <c r="C16" i="71"/>
  <c r="C15" i="71"/>
  <c r="C14" i="71"/>
  <c r="C13" i="71"/>
  <c r="C12" i="71"/>
  <c r="C11" i="71"/>
  <c r="C10" i="71"/>
  <c r="C9" i="71"/>
  <c r="U4" i="71"/>
  <c r="H4" i="71"/>
  <c r="C106" i="70"/>
  <c r="C95" i="70"/>
  <c r="C122" i="70"/>
  <c r="A95" i="70"/>
  <c r="C94" i="70"/>
  <c r="A94" i="70"/>
  <c r="C93" i="70"/>
  <c r="C114" i="70" s="1"/>
  <c r="A93" i="70"/>
  <c r="C92" i="70"/>
  <c r="C118" i="70" s="1"/>
  <c r="A92" i="70"/>
  <c r="C91" i="70"/>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c r="A61" i="70"/>
  <c r="C60" i="70"/>
  <c r="A60" i="70"/>
  <c r="C59" i="70"/>
  <c r="C123" i="70"/>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c r="C45" i="69"/>
  <c r="C44" i="69"/>
  <c r="C78" i="69" s="1"/>
  <c r="C43" i="69"/>
  <c r="C77" i="69" s="1"/>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E67" i="68"/>
  <c r="K60" i="68"/>
  <c r="H60" i="68"/>
  <c r="E59" i="68"/>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c r="C43" i="21"/>
  <c r="C40" i="21"/>
  <c r="C33" i="21"/>
  <c r="C10" i="21"/>
  <c r="K26" i="7"/>
  <c r="K35" i="7"/>
  <c r="F23" i="7"/>
  <c r="F35" i="7"/>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L44" i="71"/>
  <c r="C69" i="73"/>
  <c r="C82" i="69"/>
  <c r="L43" i="75"/>
  <c r="C98" i="74"/>
  <c r="E59" i="72"/>
  <c r="C74" i="73"/>
  <c r="L44" i="75"/>
  <c r="C83" i="74"/>
  <c r="I59" i="72"/>
  <c r="C87" i="69"/>
  <c r="I68" i="68"/>
  <c r="L45" i="71"/>
  <c r="C101"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c r="K71" i="18"/>
  <c r="J2554" i="18"/>
  <c r="I2554" i="18"/>
  <c r="N2543" i="18"/>
  <c r="D2546" i="18"/>
  <c r="D2547" i="18"/>
  <c r="D2548" i="18"/>
  <c r="D2549" i="18"/>
  <c r="D2550" i="18"/>
  <c r="D2551" i="18"/>
  <c r="D2552" i="18"/>
  <c r="D2553" i="18"/>
  <c r="D2554" i="18"/>
  <c r="D2543" i="18"/>
  <c r="G2543" i="18" s="1"/>
  <c r="M2541" i="18"/>
  <c r="J2541" i="18"/>
  <c r="I2541" i="18"/>
  <c r="N2530" i="18"/>
  <c r="D2533" i="18"/>
  <c r="D2534" i="18"/>
  <c r="D2535" i="18"/>
  <c r="D2536" i="18"/>
  <c r="D2537" i="18"/>
  <c r="D2538" i="18"/>
  <c r="D2539" i="18"/>
  <c r="D2540" i="18"/>
  <c r="D2541" i="18"/>
  <c r="D2530" i="18"/>
  <c r="G2530" i="18"/>
  <c r="G5220" i="18"/>
  <c r="G5219" i="18"/>
  <c r="G5218"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c r="H64" i="18"/>
  <c r="H67" i="18"/>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c r="D415" i="18"/>
  <c r="G415" i="18" s="1"/>
  <c r="I1114" i="18"/>
  <c r="H1114" i="18"/>
  <c r="K1101" i="18"/>
  <c r="I1092" i="18"/>
  <c r="I1096" i="18"/>
  <c r="H1092" i="18"/>
  <c r="D1101" i="18"/>
  <c r="G1101" i="18" s="1"/>
  <c r="D1079" i="18"/>
  <c r="G1079" i="18"/>
  <c r="H3727" i="18"/>
  <c r="M4961" i="18"/>
  <c r="D6096" i="18"/>
  <c r="D6097" i="18"/>
  <c r="D6098" i="18"/>
  <c r="D6099" i="18"/>
  <c r="D6100" i="18"/>
  <c r="D6101" i="18"/>
  <c r="D6102" i="18"/>
  <c r="D6103" i="18"/>
  <c r="D6104" i="18"/>
  <c r="H6104" i="18"/>
  <c r="K6093" i="18"/>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c r="H476" i="18"/>
  <c r="H483" i="18"/>
  <c r="N468" i="18"/>
  <c r="D473" i="18"/>
  <c r="D474" i="18"/>
  <c r="D475" i="18"/>
  <c r="D476" i="18"/>
  <c r="D477" i="18"/>
  <c r="D478" i="18"/>
  <c r="D479" i="18"/>
  <c r="D480" i="18"/>
  <c r="D481" i="18"/>
  <c r="D482" i="18"/>
  <c r="D483" i="18"/>
  <c r="D468" i="18"/>
  <c r="G468" i="18" s="1"/>
  <c r="I459" i="18"/>
  <c r="I463" i="18"/>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N1835" i="18" s="1"/>
  <c r="D13" i="18"/>
  <c r="D14" i="18"/>
  <c r="D15" i="18"/>
  <c r="D16" i="18"/>
  <c r="D17" i="18"/>
  <c r="H5837" i="18"/>
  <c r="H5805" i="18"/>
  <c r="H5775" i="18"/>
  <c r="H5761" i="18"/>
  <c r="H5746" i="18"/>
  <c r="H5738" i="18"/>
  <c r="H5728" i="18"/>
  <c r="H5718" i="18"/>
  <c r="H5708" i="18"/>
  <c r="H5698" i="18"/>
  <c r="H5688" i="18"/>
  <c r="H5678" i="18"/>
  <c r="H5668" i="18"/>
  <c r="H5658" i="18"/>
  <c r="H5648" i="18"/>
  <c r="H5635" i="18"/>
  <c r="H5622" i="18"/>
  <c r="H5602" i="18"/>
  <c r="H5576" i="18"/>
  <c r="H5558" i="18"/>
  <c r="D5549" i="18"/>
  <c r="G5549" i="18" s="1"/>
  <c r="H5549" i="18"/>
  <c r="H5455" i="18"/>
  <c r="H5420" i="18"/>
  <c r="H5386" i="18"/>
  <c r="H5370" i="18"/>
  <c r="H5354" i="18"/>
  <c r="H5337" i="18"/>
  <c r="H5320" i="18"/>
  <c r="H5306" i="18"/>
  <c r="H5291" i="18"/>
  <c r="H5276" i="18"/>
  <c r="H5209" i="18"/>
  <c r="H5195" i="18"/>
  <c r="H5184" i="18"/>
  <c r="H5157" i="18"/>
  <c r="H5147" i="18"/>
  <c r="H5137" i="18"/>
  <c r="H5128" i="18"/>
  <c r="H5120" i="18"/>
  <c r="H5097" i="18"/>
  <c r="H5086" i="18"/>
  <c r="H5075" i="18"/>
  <c r="H5064" i="18"/>
  <c r="H5053" i="18"/>
  <c r="H5037" i="18"/>
  <c r="H5021" i="18"/>
  <c r="H4966" i="18"/>
  <c r="H4958" i="18"/>
  <c r="H4945" i="18"/>
  <c r="H4927" i="18"/>
  <c r="H4914" i="18"/>
  <c r="K4938" i="18"/>
  <c r="H4899" i="18"/>
  <c r="H4877" i="18"/>
  <c r="H4863" i="18"/>
  <c r="H4849" i="18"/>
  <c r="H4822"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c r="H4261" i="18"/>
  <c r="O4280" i="18"/>
  <c r="H4247" i="18"/>
  <c r="H4233" i="18"/>
  <c r="H4222" i="18"/>
  <c r="H4213" i="18"/>
  <c r="H4198" i="18"/>
  <c r="H4178" i="18"/>
  <c r="H4168" i="18"/>
  <c r="H4147" i="18"/>
  <c r="H4118" i="18"/>
  <c r="H4107" i="18"/>
  <c r="H4084" i="18"/>
  <c r="H4074" i="18"/>
  <c r="H4061" i="18"/>
  <c r="H4051" i="18"/>
  <c r="M3931" i="18"/>
  <c r="H3997" i="18"/>
  <c r="M3930" i="18"/>
  <c r="H3979" i="18"/>
  <c r="H3968" i="18"/>
  <c r="R3990" i="18"/>
  <c r="H3927" i="18"/>
  <c r="H3916" i="18"/>
  <c r="H3856" i="18"/>
  <c r="H3829" i="18"/>
  <c r="H3818" i="18"/>
  <c r="H3801" i="18"/>
  <c r="M3764" i="18"/>
  <c r="H3790" i="18"/>
  <c r="H3770" i="18"/>
  <c r="M3763" i="18"/>
  <c r="H3760" i="18"/>
  <c r="H3657" i="18"/>
  <c r="H3628" i="18"/>
  <c r="H3618" i="18"/>
  <c r="H3568" i="18"/>
  <c r="H3558" i="18"/>
  <c r="H3531" i="18"/>
  <c r="J3552" i="18"/>
  <c r="H3471" i="18"/>
  <c r="H3443" i="18"/>
  <c r="J3465" i="18"/>
  <c r="H3432" i="18"/>
  <c r="H3421" i="18"/>
  <c r="H3409" i="18"/>
  <c r="H3394" i="18"/>
  <c r="H3381" i="18"/>
  <c r="H3359" i="18"/>
  <c r="H3319" i="18"/>
  <c r="H3306" i="18"/>
  <c r="H3286" i="18"/>
  <c r="J3300" i="18"/>
  <c r="H3276" i="18"/>
  <c r="J3299" i="18"/>
  <c r="H3269" i="18"/>
  <c r="H3256" i="18"/>
  <c r="H3240" i="18"/>
  <c r="H3213" i="18"/>
  <c r="H3200" i="18"/>
  <c r="H3188" i="18"/>
  <c r="H3175" i="18"/>
  <c r="H3113" i="18"/>
  <c r="H3043" i="18"/>
  <c r="H3006" i="18"/>
  <c r="H2982" i="18"/>
  <c r="H2920" i="18"/>
  <c r="H2908" i="18"/>
  <c r="M2825" i="18"/>
  <c r="H2877" i="18"/>
  <c r="H2830" i="18"/>
  <c r="H2821" i="18"/>
  <c r="H2797" i="18"/>
  <c r="M2643" i="18"/>
  <c r="H2748" i="18"/>
  <c r="H2733" i="18"/>
  <c r="H2719" i="18"/>
  <c r="H2705" i="18"/>
  <c r="H2648" i="18"/>
  <c r="M2642" i="18"/>
  <c r="H2639" i="18"/>
  <c r="H2618" i="18"/>
  <c r="H2599" i="18"/>
  <c r="H2557" i="18"/>
  <c r="H2520" i="18"/>
  <c r="H2506" i="18"/>
  <c r="H2497" i="18"/>
  <c r="H2463" i="18"/>
  <c r="N2425" i="18"/>
  <c r="H2378" i="18"/>
  <c r="H2330" i="18"/>
  <c r="H2349" i="18"/>
  <c r="H2293" i="18"/>
  <c r="H2273" i="18"/>
  <c r="L2309" i="18"/>
  <c r="H2315" i="18"/>
  <c r="H2260" i="18"/>
  <c r="O2223" i="18"/>
  <c r="H2247" i="18"/>
  <c r="O2222" i="18"/>
  <c r="H2234" i="18"/>
  <c r="O2221" i="18"/>
  <c r="H2202" i="18"/>
  <c r="M1795" i="18"/>
  <c r="H2171" i="18"/>
  <c r="H2157" i="18"/>
  <c r="H2118" i="18"/>
  <c r="H2105" i="18"/>
  <c r="M2068" i="18"/>
  <c r="H2092" i="18"/>
  <c r="M2067" i="18"/>
  <c r="H2079" i="18"/>
  <c r="M2066" i="18"/>
  <c r="H2137" i="18"/>
  <c r="H2063" i="18"/>
  <c r="O2131" i="18"/>
  <c r="H2048" i="18"/>
  <c r="H2032" i="18"/>
  <c r="H2021" i="18"/>
  <c r="H2001" i="18"/>
  <c r="H1986" i="18"/>
  <c r="H1971" i="18"/>
  <c r="H1947" i="18"/>
  <c r="H1908" i="18"/>
  <c r="H1895" i="18"/>
  <c r="O1858" i="18"/>
  <c r="H1882" i="18"/>
  <c r="O1857" i="18"/>
  <c r="H1869" i="18"/>
  <c r="O1856" i="18"/>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c r="H334" i="18"/>
  <c r="H317" i="18"/>
  <c r="H293" i="18"/>
  <c r="H286" i="18"/>
  <c r="H273" i="18"/>
  <c r="H251" i="18"/>
  <c r="H214" i="18"/>
  <c r="H192" i="18"/>
  <c r="H170" i="18"/>
  <c r="H160" i="18"/>
  <c r="H146" i="18"/>
  <c r="H138" i="18"/>
  <c r="H120" i="18"/>
  <c r="H109" i="18"/>
  <c r="H90" i="18"/>
  <c r="H71" i="18"/>
  <c r="H10" i="18"/>
  <c r="N1799" i="18"/>
  <c r="H1809" i="18"/>
  <c r="K1799" i="18"/>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D2661" i="18" s="1"/>
  <c r="G2678" i="18"/>
  <c r="G2677" i="18"/>
  <c r="G2676" i="18"/>
  <c r="G2673" i="18"/>
  <c r="G2672" i="18"/>
  <c r="G2671" i="18"/>
  <c r="G2670" i="18"/>
  <c r="G2669" i="18"/>
  <c r="G2667" i="18"/>
  <c r="G2666" i="18"/>
  <c r="G2665" i="18"/>
  <c r="O2685" i="18"/>
  <c r="N2685" i="18"/>
  <c r="M2685" i="18"/>
  <c r="L2685" i="18"/>
  <c r="K2685" i="18"/>
  <c r="J2685" i="18"/>
  <c r="I2685" i="18"/>
  <c r="H2685" i="18"/>
  <c r="O2674" i="18"/>
  <c r="N2674" i="18"/>
  <c r="M2674" i="18"/>
  <c r="L2674" i="18"/>
  <c r="L2696" i="18" s="1"/>
  <c r="K2674" i="18"/>
  <c r="J2674" i="18"/>
  <c r="I2674" i="18"/>
  <c r="H2674" i="18"/>
  <c r="O2663" i="18"/>
  <c r="N2663" i="18"/>
  <c r="M2663" i="18"/>
  <c r="M2696" i="18"/>
  <c r="L2663" i="18"/>
  <c r="K2663" i="18"/>
  <c r="J2663" i="18"/>
  <c r="I2663" i="18"/>
  <c r="I2696" i="18"/>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8" i="18"/>
  <c r="N5386" i="18"/>
  <c r="K5386" i="18"/>
  <c r="D5429" i="18"/>
  <c r="D5434" i="18"/>
  <c r="D5439" i="18"/>
  <c r="D5444" i="18"/>
  <c r="D5449" i="18"/>
  <c r="D5450" i="18"/>
  <c r="D5451" i="18"/>
  <c r="I5452" i="18"/>
  <c r="N5420" i="18"/>
  <c r="G5448" i="18"/>
  <c r="G5447" i="18"/>
  <c r="G5446" i="18"/>
  <c r="G5443" i="18"/>
  <c r="G5442" i="18"/>
  <c r="G5441" i="18"/>
  <c r="G5438" i="18"/>
  <c r="G5437" i="18"/>
  <c r="G5436" i="18"/>
  <c r="G5433" i="18"/>
  <c r="G5432" i="18"/>
  <c r="G5431" i="18"/>
  <c r="G5428" i="18"/>
  <c r="G5427" i="18"/>
  <c r="G5426" i="18"/>
  <c r="D5395" i="18"/>
  <c r="D5400" i="18"/>
  <c r="D5405" i="18"/>
  <c r="D5410" i="18"/>
  <c r="D5415" i="18"/>
  <c r="D5416" i="18"/>
  <c r="D5417" i="18"/>
  <c r="G5414" i="18"/>
  <c r="G5413" i="18"/>
  <c r="G5412" i="18"/>
  <c r="G5409" i="18"/>
  <c r="G5408" i="18"/>
  <c r="G5407" i="18"/>
  <c r="G5404" i="18"/>
  <c r="G5403" i="18"/>
  <c r="G5402" i="18"/>
  <c r="G5399" i="18"/>
  <c r="G5398" i="18"/>
  <c r="G5397" i="18"/>
  <c r="G5394" i="18"/>
  <c r="G5393" i="18"/>
  <c r="G5392" i="18"/>
  <c r="D5126" i="18"/>
  <c r="G5270" i="18"/>
  <c r="G5269" i="18"/>
  <c r="G5268" i="18"/>
  <c r="G5265" i="18"/>
  <c r="G5264" i="18"/>
  <c r="G5263" i="18"/>
  <c r="G5260" i="18"/>
  <c r="G5259" i="18"/>
  <c r="G5258" i="18"/>
  <c r="G5255" i="18"/>
  <c r="G5254" i="18"/>
  <c r="G5253" i="18"/>
  <c r="G5250" i="18"/>
  <c r="G5249" i="18"/>
  <c r="G5248" i="18"/>
  <c r="G5245" i="18"/>
  <c r="G5244" i="18"/>
  <c r="G5243" i="18"/>
  <c r="G5235" i="18"/>
  <c r="G5234" i="18"/>
  <c r="G5233" i="18"/>
  <c r="G5230" i="18"/>
  <c r="G5229" i="18"/>
  <c r="G5228" i="18"/>
  <c r="G5225" i="18"/>
  <c r="G5224" i="18"/>
  <c r="G5223" i="18"/>
  <c r="G5215" i="18"/>
  <c r="G5214" i="18"/>
  <c r="G5213" i="18"/>
  <c r="G5102" i="18"/>
  <c r="D4779" i="18"/>
  <c r="D4780" i="18"/>
  <c r="D4781" i="18"/>
  <c r="D4782" i="18"/>
  <c r="D4783" i="18"/>
  <c r="D4784" i="18"/>
  <c r="D4785" i="18"/>
  <c r="D4786" i="18"/>
  <c r="D4787" i="18"/>
  <c r="D4788" i="18"/>
  <c r="I4784" i="18"/>
  <c r="H4784" i="18"/>
  <c r="I4779" i="18"/>
  <c r="H4779" i="18"/>
  <c r="K4750" i="18"/>
  <c r="K4494" i="18"/>
  <c r="K4493" i="18"/>
  <c r="I4494" i="18"/>
  <c r="I4493" i="18"/>
  <c r="J4494" i="18"/>
  <c r="H4494" i="18"/>
  <c r="J4493" i="18"/>
  <c r="H4493" i="18"/>
  <c r="I4113" i="18"/>
  <c r="H4113" i="18"/>
  <c r="I4057" i="18"/>
  <c r="H4057" i="18"/>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c r="J4429" i="18"/>
  <c r="M4429" i="18" s="1"/>
  <c r="J4430" i="18"/>
  <c r="M4430" i="18"/>
  <c r="J4431" i="18"/>
  <c r="M4431" i="18" s="1"/>
  <c r="J4427" i="18"/>
  <c r="M4427" i="18"/>
  <c r="J2336" i="18"/>
  <c r="N2336" i="18" s="1"/>
  <c r="J2337" i="18"/>
  <c r="N2337" i="18"/>
  <c r="J2338" i="18"/>
  <c r="N2338" i="18" s="1"/>
  <c r="J2339" i="18"/>
  <c r="N2339" i="18"/>
  <c r="J2335" i="18"/>
  <c r="N2335" i="18"/>
  <c r="J1475" i="18"/>
  <c r="N1475" i="18"/>
  <c r="J1476" i="18"/>
  <c r="N1476" i="18" s="1"/>
  <c r="J1477" i="18"/>
  <c r="N1477" i="18"/>
  <c r="J1478" i="18"/>
  <c r="J1479" i="18"/>
  <c r="N1479" i="18" s="1"/>
  <c r="J1480" i="18"/>
  <c r="N1480" i="18"/>
  <c r="J1481" i="18"/>
  <c r="N1481" i="18" s="1"/>
  <c r="J1474" i="18"/>
  <c r="J854" i="18"/>
  <c r="N854" i="18" s="1"/>
  <c r="J855" i="18"/>
  <c r="N855" i="18"/>
  <c r="J853" i="18"/>
  <c r="N853" i="18"/>
  <c r="J585" i="18"/>
  <c r="J586" i="18"/>
  <c r="N586" i="18"/>
  <c r="J587" i="18"/>
  <c r="N587" i="18" s="1"/>
  <c r="J588" i="18"/>
  <c r="N588" i="18"/>
  <c r="J589" i="18"/>
  <c r="N589" i="18" s="1"/>
  <c r="J590" i="18"/>
  <c r="N590" i="18"/>
  <c r="J591" i="18"/>
  <c r="N591" i="18" s="1"/>
  <c r="J584" i="18"/>
  <c r="N584" i="18"/>
  <c r="J257" i="18"/>
  <c r="N257" i="18" s="1"/>
  <c r="J258" i="18"/>
  <c r="N258" i="18"/>
  <c r="J259" i="18"/>
  <c r="N259" i="18" s="1"/>
  <c r="J260" i="18"/>
  <c r="N260" i="18"/>
  <c r="J261" i="18"/>
  <c r="N261" i="18" s="1"/>
  <c r="J262" i="18"/>
  <c r="N262" i="18"/>
  <c r="J263" i="18"/>
  <c r="N263" i="18" s="1"/>
  <c r="J256" i="18"/>
  <c r="N256" i="18"/>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5" i="18"/>
  <c r="D5326" i="18"/>
  <c r="D5327" i="18"/>
  <c r="D5328" i="18"/>
  <c r="D5329" i="18"/>
  <c r="D5330" i="18"/>
  <c r="D5331" i="18"/>
  <c r="D5332" i="18"/>
  <c r="D5333" i="18"/>
  <c r="D5334" i="18"/>
  <c r="D5335" i="18"/>
  <c r="L5335" i="18"/>
  <c r="K5335" i="18"/>
  <c r="J5335" i="18"/>
  <c r="I5335" i="18"/>
  <c r="N5320" i="18"/>
  <c r="H5335" i="18"/>
  <c r="K5320" i="18"/>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c r="J666" i="18"/>
  <c r="I666" i="18"/>
  <c r="D632" i="18"/>
  <c r="D633" i="18"/>
  <c r="D634" i="18"/>
  <c r="D635" i="18"/>
  <c r="D636" i="18"/>
  <c r="D637" i="18"/>
  <c r="D638" i="18"/>
  <c r="D639" i="18"/>
  <c r="D640" i="18"/>
  <c r="D641" i="18"/>
  <c r="D642" i="18"/>
  <c r="D643" i="18"/>
  <c r="D644" i="18"/>
  <c r="D645" i="18"/>
  <c r="D646" i="18"/>
  <c r="D614" i="18"/>
  <c r="D615" i="18"/>
  <c r="D616" i="18"/>
  <c r="H616" i="18"/>
  <c r="K611" i="18"/>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c r="H183" i="18"/>
  <c r="H187" i="18"/>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J100" i="47"/>
  <c r="I100" i="47"/>
  <c r="H100" i="47"/>
  <c r="C100" i="47"/>
  <c r="H99" i="47"/>
  <c r="C99" i="47"/>
  <c r="C98" i="47"/>
  <c r="C97" i="47"/>
  <c r="C96" i="47"/>
  <c r="C95" i="47"/>
  <c r="C94" i="47"/>
  <c r="C93" i="47"/>
  <c r="C92" i="47"/>
  <c r="C91" i="47"/>
  <c r="C90" i="47"/>
  <c r="C89" i="47"/>
  <c r="C88" i="47"/>
  <c r="C87" i="47"/>
  <c r="I86" i="47"/>
  <c r="J86" i="47"/>
  <c r="H86" i="47"/>
  <c r="C86" i="47"/>
  <c r="C85" i="47"/>
  <c r="C84" i="47"/>
  <c r="C83" i="47"/>
  <c r="C82" i="47"/>
  <c r="C81" i="47"/>
  <c r="C80" i="47"/>
  <c r="C79" i="47"/>
  <c r="C78" i="47"/>
  <c r="C77" i="47"/>
  <c r="C76" i="47"/>
  <c r="C75" i="47"/>
  <c r="C74" i="47"/>
  <c r="I73" i="47"/>
  <c r="J73" i="47"/>
  <c r="H73" i="47"/>
  <c r="C73" i="47"/>
  <c r="C72" i="47"/>
  <c r="C71" i="47"/>
  <c r="C70" i="47"/>
  <c r="C69" i="47"/>
  <c r="C68" i="47"/>
  <c r="C67" i="47"/>
  <c r="C66" i="47"/>
  <c r="C65" i="47"/>
  <c r="C64" i="47"/>
  <c r="C63" i="47"/>
  <c r="C62" i="47"/>
  <c r="C61" i="47"/>
  <c r="C60" i="47"/>
  <c r="C59" i="47"/>
  <c r="C58" i="47"/>
  <c r="C57" i="47"/>
  <c r="I56" i="47"/>
  <c r="J56" i="47"/>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c r="H29" i="47"/>
  <c r="C29" i="47"/>
  <c r="C28" i="47"/>
  <c r="C27" i="47"/>
  <c r="C26" i="47"/>
  <c r="C25" i="47"/>
  <c r="C24" i="47"/>
  <c r="C23" i="47"/>
  <c r="C22" i="47"/>
  <c r="C21" i="47"/>
  <c r="C20" i="47"/>
  <c r="C19" i="47"/>
  <c r="C18" i="47"/>
  <c r="C17" i="47"/>
  <c r="C16" i="47"/>
  <c r="C15" i="47"/>
  <c r="C14" i="47"/>
  <c r="C13" i="47"/>
  <c r="J12" i="47"/>
  <c r="C12" i="47"/>
  <c r="I11" i="47"/>
  <c r="J11" i="47"/>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H115" i="51"/>
  <c r="C101" i="51"/>
  <c r="I100" i="51"/>
  <c r="J100" i="51"/>
  <c r="H100" i="51"/>
  <c r="C100" i="51"/>
  <c r="H99" i="51"/>
  <c r="C99" i="51"/>
  <c r="C98" i="51"/>
  <c r="C97" i="51"/>
  <c r="C96" i="51"/>
  <c r="C95" i="51"/>
  <c r="C94" i="51"/>
  <c r="C93" i="51"/>
  <c r="C92" i="51"/>
  <c r="C91" i="51"/>
  <c r="C90" i="51"/>
  <c r="C89" i="51"/>
  <c r="C88" i="51"/>
  <c r="C87" i="51"/>
  <c r="I86" i="51"/>
  <c r="J86" i="51"/>
  <c r="H86" i="51"/>
  <c r="C86" i="51"/>
  <c r="C85" i="51"/>
  <c r="C84" i="51"/>
  <c r="C83" i="51"/>
  <c r="C82" i="51"/>
  <c r="C81" i="51"/>
  <c r="C80" i="51"/>
  <c r="C79" i="51"/>
  <c r="C78" i="51"/>
  <c r="C77" i="51"/>
  <c r="C76" i="51"/>
  <c r="C75" i="51"/>
  <c r="C74" i="51"/>
  <c r="I73" i="51"/>
  <c r="J73" i="51"/>
  <c r="H73" i="51"/>
  <c r="C73" i="51"/>
  <c r="C72" i="51"/>
  <c r="C71" i="51"/>
  <c r="C70" i="51"/>
  <c r="C69" i="51"/>
  <c r="C68" i="51"/>
  <c r="C67" i="51"/>
  <c r="C66" i="51"/>
  <c r="C65" i="51"/>
  <c r="C64" i="51"/>
  <c r="C63" i="51"/>
  <c r="C62" i="51"/>
  <c r="C61" i="51"/>
  <c r="C60" i="51"/>
  <c r="C59" i="51"/>
  <c r="C58" i="51"/>
  <c r="C57" i="51"/>
  <c r="I56" i="51"/>
  <c r="J56" i="5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c r="H29" i="51"/>
  <c r="C29" i="51"/>
  <c r="C28" i="51"/>
  <c r="C27" i="51"/>
  <c r="C26" i="51"/>
  <c r="C25" i="51"/>
  <c r="C24" i="51"/>
  <c r="C23" i="51"/>
  <c r="C22" i="51"/>
  <c r="C21" i="51"/>
  <c r="C20" i="51"/>
  <c r="C19" i="51"/>
  <c r="C18" i="51"/>
  <c r="C17" i="51"/>
  <c r="C16" i="51"/>
  <c r="C15" i="51"/>
  <c r="C14" i="51"/>
  <c r="C13" i="51"/>
  <c r="J12" i="51"/>
  <c r="C12" i="51"/>
  <c r="I11" i="51"/>
  <c r="J11" i="51"/>
  <c r="H11" i="51"/>
  <c r="C11" i="51"/>
  <c r="I4" i="51"/>
  <c r="G4" i="51"/>
  <c r="C4" i="51"/>
  <c r="I3" i="51"/>
  <c r="G3" i="51"/>
  <c r="C2" i="51"/>
  <c r="G4" i="17"/>
  <c r="F4" i="17"/>
  <c r="C4" i="17"/>
  <c r="G3" i="17"/>
  <c r="F3" i="17"/>
  <c r="C2" i="17"/>
  <c r="D24" i="16"/>
  <c r="H4" i="16"/>
  <c r="F4" i="16"/>
  <c r="C4" i="16"/>
  <c r="H3" i="16"/>
  <c r="F3" i="16"/>
  <c r="C2" i="16"/>
  <c r="H6248" i="18"/>
  <c r="K6242" i="18"/>
  <c r="D6248" i="18"/>
  <c r="D6247" i="18"/>
  <c r="D6246" i="18"/>
  <c r="D6245" i="18"/>
  <c r="D6242" i="18"/>
  <c r="G6242" i="18" s="1"/>
  <c r="C6241" i="18"/>
  <c r="G6241" i="18" s="1"/>
  <c r="D6239" i="18"/>
  <c r="D6238" i="18"/>
  <c r="I6237" i="18"/>
  <c r="H6237" i="18"/>
  <c r="D6237" i="18"/>
  <c r="J6236" i="18"/>
  <c r="D6236" i="18"/>
  <c r="J6235" i="18"/>
  <c r="D6235" i="18"/>
  <c r="J6234" i="18"/>
  <c r="D6234" i="18"/>
  <c r="J6233" i="18"/>
  <c r="D6233" i="18"/>
  <c r="J6232" i="18"/>
  <c r="D6232" i="18"/>
  <c r="J6231" i="18"/>
  <c r="D6231" i="18"/>
  <c r="J6230" i="18"/>
  <c r="D6230" i="18"/>
  <c r="J6229" i="18"/>
  <c r="D6229" i="18"/>
  <c r="J6228" i="18"/>
  <c r="D6228" i="18"/>
  <c r="D6227" i="18"/>
  <c r="D6226" i="18"/>
  <c r="I6225" i="18"/>
  <c r="H6225" i="18"/>
  <c r="D6225" i="18"/>
  <c r="J6224" i="18"/>
  <c r="D6224" i="18"/>
  <c r="J6223" i="18"/>
  <c r="D6223" i="18"/>
  <c r="J6222" i="18"/>
  <c r="D6222" i="18"/>
  <c r="J6221" i="18"/>
  <c r="D6221" i="18"/>
  <c r="J6220" i="18"/>
  <c r="D6220" i="18"/>
  <c r="J6219" i="18"/>
  <c r="D6219" i="18"/>
  <c r="J6218" i="18"/>
  <c r="D6218" i="18"/>
  <c r="J6217" i="18"/>
  <c r="D6217" i="18"/>
  <c r="D6216" i="18"/>
  <c r="D6213" i="18"/>
  <c r="G6213" i="18" s="1"/>
  <c r="C6212" i="18"/>
  <c r="G6212" i="18"/>
  <c r="D6210" i="18"/>
  <c r="J6209" i="18"/>
  <c r="D6209" i="18"/>
  <c r="I6208" i="18"/>
  <c r="H6208" i="18"/>
  <c r="D6208" i="18"/>
  <c r="J6207" i="18"/>
  <c r="D6207" i="18"/>
  <c r="J6206" i="18"/>
  <c r="D6206" i="18"/>
  <c r="J6205" i="18"/>
  <c r="D6205" i="18"/>
  <c r="J6204" i="18"/>
  <c r="D6204" i="18"/>
  <c r="J6203" i="18"/>
  <c r="D6203" i="18"/>
  <c r="J6202" i="18"/>
  <c r="D6202" i="18"/>
  <c r="J6201" i="18"/>
  <c r="D6201" i="18"/>
  <c r="J6200" i="18"/>
  <c r="D6200" i="18"/>
  <c r="J6199" i="18"/>
  <c r="D6199" i="18"/>
  <c r="D6198" i="18"/>
  <c r="D6197" i="18"/>
  <c r="I6196" i="18"/>
  <c r="H6196" i="18"/>
  <c r="D6196" i="18"/>
  <c r="J6195" i="18"/>
  <c r="D6195" i="18"/>
  <c r="J6194" i="18"/>
  <c r="D6194" i="18"/>
  <c r="J6193" i="18"/>
  <c r="D6193" i="18"/>
  <c r="J6192" i="18"/>
  <c r="D6192" i="18"/>
  <c r="J6191" i="18"/>
  <c r="D6191" i="18"/>
  <c r="J6190" i="18"/>
  <c r="D6190" i="18"/>
  <c r="D6189" i="18"/>
  <c r="D6186" i="18"/>
  <c r="G6186" i="18"/>
  <c r="C6185" i="18"/>
  <c r="G6185" i="18" s="1"/>
  <c r="D6183" i="18"/>
  <c r="D6182" i="18"/>
  <c r="H6181" i="18"/>
  <c r="D6181" i="18"/>
  <c r="D6180" i="18"/>
  <c r="D6179" i="18"/>
  <c r="D6178" i="18"/>
  <c r="D6177" i="18"/>
  <c r="D6176" i="18"/>
  <c r="D6175" i="18"/>
  <c r="D6174" i="18"/>
  <c r="D6173" i="18"/>
  <c r="D6172" i="18"/>
  <c r="D6171" i="18"/>
  <c r="D6170" i="18"/>
  <c r="H6169" i="18"/>
  <c r="D6169" i="18"/>
  <c r="D6168" i="18"/>
  <c r="D6167" i="18"/>
  <c r="D6164" i="18"/>
  <c r="G6164" i="18" s="1"/>
  <c r="C6163" i="18"/>
  <c r="G6163" i="18" s="1"/>
  <c r="I6161" i="18"/>
  <c r="H6161" i="18"/>
  <c r="D6161" i="18"/>
  <c r="D6160" i="18"/>
  <c r="D6159" i="18"/>
  <c r="J6158" i="18"/>
  <c r="J6161" i="18"/>
  <c r="K6155" i="18"/>
  <c r="D6158" i="18"/>
  <c r="D6155" i="18"/>
  <c r="G6155" i="18" s="1"/>
  <c r="C6154" i="18"/>
  <c r="G6154" i="18"/>
  <c r="I6152" i="18"/>
  <c r="H6152" i="18"/>
  <c r="D6152" i="18"/>
  <c r="D6151" i="18"/>
  <c r="D6150" i="18"/>
  <c r="J6149" i="18"/>
  <c r="J6152" i="18"/>
  <c r="K6146" i="18"/>
  <c r="D6149" i="18"/>
  <c r="D6146" i="18"/>
  <c r="G6146" i="18" s="1"/>
  <c r="C6145" i="18"/>
  <c r="G6145" i="18" s="1"/>
  <c r="H6143" i="18"/>
  <c r="K6137" i="18"/>
  <c r="D6143" i="18"/>
  <c r="D6142" i="18"/>
  <c r="D6141" i="18"/>
  <c r="D6140" i="18"/>
  <c r="D6137" i="18"/>
  <c r="G6137" i="18" s="1"/>
  <c r="C6136" i="18"/>
  <c r="G6136" i="18" s="1"/>
  <c r="H6134" i="18"/>
  <c r="K6126" i="18"/>
  <c r="D6134" i="18"/>
  <c r="D6133" i="18"/>
  <c r="D6132" i="18"/>
  <c r="D6131" i="18"/>
  <c r="D6130" i="18"/>
  <c r="D6129" i="18"/>
  <c r="D6126" i="18"/>
  <c r="G6126" i="18" s="1"/>
  <c r="C6125" i="18"/>
  <c r="G6125" i="18" s="1"/>
  <c r="H6123" i="18"/>
  <c r="K6117" i="18"/>
  <c r="D6123" i="18"/>
  <c r="D6122" i="18"/>
  <c r="D6121" i="18"/>
  <c r="D6120" i="18"/>
  <c r="D6117" i="18"/>
  <c r="G6117" i="18" s="1"/>
  <c r="C6116" i="18"/>
  <c r="G6116" i="18" s="1"/>
  <c r="H6114" i="18"/>
  <c r="K6107" i="18"/>
  <c r="D6114" i="18"/>
  <c r="D6113" i="18"/>
  <c r="D6112" i="18"/>
  <c r="D6111" i="18"/>
  <c r="D6110" i="18"/>
  <c r="D6107" i="18"/>
  <c r="G6107" i="18" s="1"/>
  <c r="C6106" i="18"/>
  <c r="G6106" i="18"/>
  <c r="D6093" i="18"/>
  <c r="G6093" i="18" s="1"/>
  <c r="C6092" i="18"/>
  <c r="G6092" i="18"/>
  <c r="H6090" i="18"/>
  <c r="K6084" i="18"/>
  <c r="D6090" i="18"/>
  <c r="D6089" i="18"/>
  <c r="D6088" i="18"/>
  <c r="D6087" i="18"/>
  <c r="D6084" i="18"/>
  <c r="G6084" i="18"/>
  <c r="C6083" i="18"/>
  <c r="G6083" i="18" s="1"/>
  <c r="H6081" i="18"/>
  <c r="K6075" i="18"/>
  <c r="D6081" i="18"/>
  <c r="D6080" i="18"/>
  <c r="D6079" i="18"/>
  <c r="D6078" i="18"/>
  <c r="D6075" i="18"/>
  <c r="G6075" i="18" s="1"/>
  <c r="C6074" i="18"/>
  <c r="G6074" i="18"/>
  <c r="H6072" i="18"/>
  <c r="K6064" i="18"/>
  <c r="D6072" i="18"/>
  <c r="D6071" i="18"/>
  <c r="D6070" i="18"/>
  <c r="D6069" i="18"/>
  <c r="D6068" i="18"/>
  <c r="D6067" i="18"/>
  <c r="D6064" i="18"/>
  <c r="G6064" i="18" s="1"/>
  <c r="C6063" i="18"/>
  <c r="G6063" i="18"/>
  <c r="H6061" i="18"/>
  <c r="K6055" i="18"/>
  <c r="D6061" i="18"/>
  <c r="D6060" i="18"/>
  <c r="D6059" i="18"/>
  <c r="D6058" i="18"/>
  <c r="D6055" i="18"/>
  <c r="G6055" i="18"/>
  <c r="C6054" i="18"/>
  <c r="G6054" i="18" s="1"/>
  <c r="D6051" i="18"/>
  <c r="D6050" i="18"/>
  <c r="D6049" i="18"/>
  <c r="D6048" i="18"/>
  <c r="D6047" i="18"/>
  <c r="D6046" i="18"/>
  <c r="D6045" i="18"/>
  <c r="I6044" i="18"/>
  <c r="D6044" i="18"/>
  <c r="D6043" i="18"/>
  <c r="D6042" i="18"/>
  <c r="D6041" i="18"/>
  <c r="I6040" i="18"/>
  <c r="D6040" i="18"/>
  <c r="D6039" i="18"/>
  <c r="D6038" i="18"/>
  <c r="I6037" i="18"/>
  <c r="D6037" i="18"/>
  <c r="D6036" i="18"/>
  <c r="D6035" i="18"/>
  <c r="D6032" i="18"/>
  <c r="G6032" i="18" s="1"/>
  <c r="C6031" i="18"/>
  <c r="G6031" i="18" s="1"/>
  <c r="I6029" i="18"/>
  <c r="D6029" i="18"/>
  <c r="D6028" i="18"/>
  <c r="D6027" i="18"/>
  <c r="D6026" i="18"/>
  <c r="D6025" i="18"/>
  <c r="D6024" i="18"/>
  <c r="D6023" i="18"/>
  <c r="K6020" i="18"/>
  <c r="D6020" i="18"/>
  <c r="G6020" i="18" s="1"/>
  <c r="C6019" i="18"/>
  <c r="G6019" i="18" s="1"/>
  <c r="I6017" i="18"/>
  <c r="D6017" i="18"/>
  <c r="D6016" i="18"/>
  <c r="D6015" i="18"/>
  <c r="D6014" i="18"/>
  <c r="D6013" i="18"/>
  <c r="D6012" i="18"/>
  <c r="D6011" i="18"/>
  <c r="K6008" i="18"/>
  <c r="D6008" i="18"/>
  <c r="G6008" i="18" s="1"/>
  <c r="C6007" i="18"/>
  <c r="G6007" i="18" s="1"/>
  <c r="I6005" i="18"/>
  <c r="K5997" i="18"/>
  <c r="D6005" i="18"/>
  <c r="D6004" i="18"/>
  <c r="D6003" i="18"/>
  <c r="D6002" i="18"/>
  <c r="D6001" i="18"/>
  <c r="D6000" i="18"/>
  <c r="D5997" i="18"/>
  <c r="G5997" i="18" s="1"/>
  <c r="C5996" i="18"/>
  <c r="G5996" i="18" s="1"/>
  <c r="I5994" i="18"/>
  <c r="K5976" i="18"/>
  <c r="D5994" i="18"/>
  <c r="D5993" i="18"/>
  <c r="D5992" i="18"/>
  <c r="D5991" i="18"/>
  <c r="D5990" i="18"/>
  <c r="D5989" i="18"/>
  <c r="D5988" i="18"/>
  <c r="D5987" i="18"/>
  <c r="D5986" i="18"/>
  <c r="D5985" i="18"/>
  <c r="D5984" i="18"/>
  <c r="D5983" i="18"/>
  <c r="D5982" i="18"/>
  <c r="D5981" i="18"/>
  <c r="D5980" i="18"/>
  <c r="D5979" i="18"/>
  <c r="D5976" i="18"/>
  <c r="G5976" i="18" s="1"/>
  <c r="C5975" i="18"/>
  <c r="G5975" i="18" s="1"/>
  <c r="I5973" i="18"/>
  <c r="K5957" i="18"/>
  <c r="D5973" i="18"/>
  <c r="D5972" i="18"/>
  <c r="D5971" i="18"/>
  <c r="D5970" i="18"/>
  <c r="D5969" i="18"/>
  <c r="D5968" i="18"/>
  <c r="D5967" i="18"/>
  <c r="D5966" i="18"/>
  <c r="D5965" i="18"/>
  <c r="D5964" i="18"/>
  <c r="D5963" i="18"/>
  <c r="D5962" i="18"/>
  <c r="D5961" i="18"/>
  <c r="D5960" i="18"/>
  <c r="D5957" i="18"/>
  <c r="G5957" i="18" s="1"/>
  <c r="C5956" i="18"/>
  <c r="G5956" i="18" s="1"/>
  <c r="I5954" i="18"/>
  <c r="K5946" i="18"/>
  <c r="D5954" i="18"/>
  <c r="D5953" i="18"/>
  <c r="D5952" i="18"/>
  <c r="D5951" i="18"/>
  <c r="D5950" i="18"/>
  <c r="D5949" i="18"/>
  <c r="D5946" i="18"/>
  <c r="G5946" i="18" s="1"/>
  <c r="C5945" i="18"/>
  <c r="G5945" i="18" s="1"/>
  <c r="I5943" i="18"/>
  <c r="K5935" i="18"/>
  <c r="D5943" i="18"/>
  <c r="D5942" i="18"/>
  <c r="D5941" i="18"/>
  <c r="D5940" i="18"/>
  <c r="D5939" i="18"/>
  <c r="D5938" i="18"/>
  <c r="D5935" i="18"/>
  <c r="G5935" i="18" s="1"/>
  <c r="C5934" i="18"/>
  <c r="G5934" i="18" s="1"/>
  <c r="I5932" i="18"/>
  <c r="K5924" i="18"/>
  <c r="D5932" i="18"/>
  <c r="D5931" i="18"/>
  <c r="D5930" i="18"/>
  <c r="D5929" i="18"/>
  <c r="D5928" i="18"/>
  <c r="D5927" i="18"/>
  <c r="D5924" i="18"/>
  <c r="G5924" i="18" s="1"/>
  <c r="C5923" i="18"/>
  <c r="G5923" i="18" s="1"/>
  <c r="I5921" i="18"/>
  <c r="K5913" i="18"/>
  <c r="D5921" i="18"/>
  <c r="D5920" i="18"/>
  <c r="D5919" i="18"/>
  <c r="D5918" i="18"/>
  <c r="D5917" i="18"/>
  <c r="D5916" i="18"/>
  <c r="D5913" i="18"/>
  <c r="G5913" i="18" s="1"/>
  <c r="C5912" i="18"/>
  <c r="G5912" i="18" s="1"/>
  <c r="I5910" i="18"/>
  <c r="K5902" i="18"/>
  <c r="D5910" i="18"/>
  <c r="D5909" i="18"/>
  <c r="D5908" i="18"/>
  <c r="D5907" i="18"/>
  <c r="D5906" i="18"/>
  <c r="D5905" i="18"/>
  <c r="D5902" i="18"/>
  <c r="G5902" i="18" s="1"/>
  <c r="C5901" i="18"/>
  <c r="G5901" i="18" s="1"/>
  <c r="I5899" i="18"/>
  <c r="K5891" i="18"/>
  <c r="D5899" i="18"/>
  <c r="D5898" i="18"/>
  <c r="D5897" i="18"/>
  <c r="D5896" i="18"/>
  <c r="D5895" i="18"/>
  <c r="D5894" i="18"/>
  <c r="D5891" i="18"/>
  <c r="G5891" i="18" s="1"/>
  <c r="C5890" i="18"/>
  <c r="G5890" i="18" s="1"/>
  <c r="I5888" i="18"/>
  <c r="K5880" i="18"/>
  <c r="D5888" i="18"/>
  <c r="D5887" i="18"/>
  <c r="D5886" i="18"/>
  <c r="D5885" i="18"/>
  <c r="D5884" i="18"/>
  <c r="D5883" i="18"/>
  <c r="D5880" i="18"/>
  <c r="G5880" i="18" s="1"/>
  <c r="C5879" i="18"/>
  <c r="G5879" i="18"/>
  <c r="I5877" i="18"/>
  <c r="K5869" i="18"/>
  <c r="D5877" i="18"/>
  <c r="D5876" i="18"/>
  <c r="D5875" i="18"/>
  <c r="D5874" i="18"/>
  <c r="D5873" i="18"/>
  <c r="D5872" i="18"/>
  <c r="D5869" i="18"/>
  <c r="G5869" i="18" s="1"/>
  <c r="C5868" i="18"/>
  <c r="G5868" i="18" s="1"/>
  <c r="H5865" i="18"/>
  <c r="D5865" i="18"/>
  <c r="D5864" i="18"/>
  <c r="D5863" i="18"/>
  <c r="D5862" i="18"/>
  <c r="D5861" i="18"/>
  <c r="D5860" i="18"/>
  <c r="D5857" i="18"/>
  <c r="G5857" i="18"/>
  <c r="H5855" i="18"/>
  <c r="D5855" i="18"/>
  <c r="D5854" i="18"/>
  <c r="D5853" i="18"/>
  <c r="D5852" i="18"/>
  <c r="D5851" i="18"/>
  <c r="D5850" i="18"/>
  <c r="D5847" i="18"/>
  <c r="G5847" i="18" s="1"/>
  <c r="H5845" i="18"/>
  <c r="D5845" i="18"/>
  <c r="D5844" i="18"/>
  <c r="D5843" i="18"/>
  <c r="D5842" i="18"/>
  <c r="D5841" i="18"/>
  <c r="D5840" i="18"/>
  <c r="D5837" i="18"/>
  <c r="G5837" i="18" s="1"/>
  <c r="D5835" i="18"/>
  <c r="D5834" i="18"/>
  <c r="D5833" i="18"/>
  <c r="D5832" i="18"/>
  <c r="H5831" i="18"/>
  <c r="D5831"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5" i="18"/>
  <c r="G5805" i="18" s="1"/>
  <c r="C5804" i="18"/>
  <c r="G5804" i="18" s="1"/>
  <c r="D5794" i="18"/>
  <c r="D5793" i="18"/>
  <c r="D5792" i="18"/>
  <c r="D5791" i="18"/>
  <c r="D5790" i="18"/>
  <c r="D5789" i="18"/>
  <c r="D5788" i="18"/>
  <c r="D5787" i="18"/>
  <c r="I5786" i="18"/>
  <c r="H5786" i="18"/>
  <c r="D5786" i="18"/>
  <c r="D5785" i="18"/>
  <c r="D5784" i="18"/>
  <c r="D5783" i="18"/>
  <c r="I5782" i="18"/>
  <c r="H5782" i="18"/>
  <c r="D5782" i="18"/>
  <c r="D5781" i="18"/>
  <c r="D5780" i="18"/>
  <c r="D5779" i="18"/>
  <c r="D5778" i="18"/>
  <c r="D5775" i="18"/>
  <c r="G5775" i="18" s="1"/>
  <c r="C5774" i="18"/>
  <c r="G5774" i="18" s="1"/>
  <c r="I5317" i="18"/>
  <c r="N5306" i="18"/>
  <c r="H5317" i="18"/>
  <c r="K5306" i="18"/>
  <c r="D5317" i="18"/>
  <c r="D5316" i="18"/>
  <c r="D5315" i="18"/>
  <c r="D5314" i="18"/>
  <c r="D5313" i="18"/>
  <c r="D5312" i="18"/>
  <c r="D5311" i="18"/>
  <c r="D5310" i="18"/>
  <c r="D5309" i="18"/>
  <c r="D5306" i="18"/>
  <c r="G5306" i="18" s="1"/>
  <c r="J5304" i="18"/>
  <c r="K5291" i="18"/>
  <c r="I5304" i="18"/>
  <c r="H5304" i="18"/>
  <c r="D5304" i="18"/>
  <c r="D5303" i="18"/>
  <c r="D5302" i="18"/>
  <c r="D5301" i="18"/>
  <c r="D5300" i="18"/>
  <c r="D5299" i="18"/>
  <c r="D5298" i="18"/>
  <c r="D5297" i="18"/>
  <c r="D5296" i="18"/>
  <c r="D5291" i="18"/>
  <c r="G5291" i="18" s="1"/>
  <c r="J5289" i="18"/>
  <c r="K5276" i="18"/>
  <c r="I5289" i="18"/>
  <c r="H5289" i="18"/>
  <c r="D5289" i="18"/>
  <c r="D5288" i="18"/>
  <c r="D5287" i="18"/>
  <c r="D5286" i="18"/>
  <c r="D5285" i="18"/>
  <c r="D5284" i="18"/>
  <c r="D5283" i="18"/>
  <c r="D5282" i="18"/>
  <c r="D5281" i="18"/>
  <c r="D5276" i="18"/>
  <c r="G5276" i="18" s="1"/>
  <c r="C5275" i="18"/>
  <c r="G5275" i="18" s="1"/>
  <c r="P5600" i="18"/>
  <c r="O5600" i="18"/>
  <c r="N5600" i="18"/>
  <c r="M5600" i="18"/>
  <c r="L5600" i="18"/>
  <c r="K5600" i="18"/>
  <c r="J5600" i="18"/>
  <c r="I5600" i="18"/>
  <c r="H5600" i="18"/>
  <c r="D5600" i="18"/>
  <c r="D5599" i="18"/>
  <c r="D5598" i="18"/>
  <c r="D5597" i="18"/>
  <c r="D5596" i="18"/>
  <c r="D5595" i="18"/>
  <c r="R5594" i="18"/>
  <c r="Q5594" i="18"/>
  <c r="D5594" i="18"/>
  <c r="D5593" i="18"/>
  <c r="D5592" i="18"/>
  <c r="D5591" i="18"/>
  <c r="D5590" i="18"/>
  <c r="R5589" i="18"/>
  <c r="Q5589" i="18"/>
  <c r="D5589" i="18"/>
  <c r="D5588" i="18"/>
  <c r="D5587" i="18"/>
  <c r="D5586" i="18"/>
  <c r="D5585" i="18"/>
  <c r="D5584" i="18"/>
  <c r="D5583" i="18"/>
  <c r="D5582" i="18"/>
  <c r="D5581" i="18"/>
  <c r="D5576" i="18"/>
  <c r="G5576" i="18" s="1"/>
  <c r="D5619" i="18"/>
  <c r="K5618" i="18"/>
  <c r="J5618" i="18"/>
  <c r="I5618" i="18"/>
  <c r="H5618" i="18"/>
  <c r="D5618" i="18"/>
  <c r="D5617" i="18"/>
  <c r="D5616" i="18"/>
  <c r="D5615" i="18"/>
  <c r="D5614" i="18"/>
  <c r="D5613" i="18"/>
  <c r="D5612" i="18"/>
  <c r="K5611" i="18"/>
  <c r="J5611" i="18"/>
  <c r="I5611" i="18"/>
  <c r="H5611" i="18"/>
  <c r="D5611" i="18"/>
  <c r="D5610" i="18"/>
  <c r="D5609" i="18"/>
  <c r="D5608" i="18"/>
  <c r="D5607" i="18"/>
  <c r="D5606" i="18"/>
  <c r="D5605" i="18"/>
  <c r="D5602" i="18"/>
  <c r="G5602" i="18"/>
  <c r="D5574" i="18"/>
  <c r="D5573" i="18"/>
  <c r="D5572" i="18"/>
  <c r="D5571" i="18"/>
  <c r="D5570" i="18"/>
  <c r="D5569" i="18"/>
  <c r="D5568" i="18"/>
  <c r="D5567" i="18"/>
  <c r="D5566" i="18"/>
  <c r="D5565" i="18"/>
  <c r="D5564" i="18"/>
  <c r="D5563" i="18"/>
  <c r="D5562" i="18"/>
  <c r="D5561" i="18"/>
  <c r="K5558" i="18"/>
  <c r="D5558" i="18"/>
  <c r="G5558" i="18" s="1"/>
  <c r="K5549" i="18"/>
  <c r="D5556" i="18"/>
  <c r="D5555" i="18"/>
  <c r="D5554" i="18"/>
  <c r="D5553" i="18"/>
  <c r="D5552" i="18"/>
  <c r="J5498" i="18"/>
  <c r="I5498" i="18"/>
  <c r="H5498" i="18"/>
  <c r="K5497" i="18"/>
  <c r="K5496" i="18"/>
  <c r="J5495" i="18"/>
  <c r="I5495" i="18"/>
  <c r="H5495" i="18"/>
  <c r="K5494" i="18"/>
  <c r="K5493" i="18"/>
  <c r="K5490" i="18"/>
  <c r="K5489" i="18"/>
  <c r="K5488" i="18"/>
  <c r="K5486" i="18"/>
  <c r="K5485" i="18"/>
  <c r="J5484" i="18"/>
  <c r="J5491" i="18"/>
  <c r="I5484" i="18"/>
  <c r="I5491" i="18"/>
  <c r="H5484" i="18"/>
  <c r="H5491" i="18"/>
  <c r="K5482" i="18"/>
  <c r="K5481" i="18"/>
  <c r="K5480" i="18"/>
  <c r="J5479" i="18"/>
  <c r="I5479" i="18"/>
  <c r="H5479" i="18"/>
  <c r="K5478" i="18"/>
  <c r="K5476" i="18"/>
  <c r="K5475" i="18"/>
  <c r="J5474" i="18"/>
  <c r="I5474" i="18"/>
  <c r="H5474" i="18"/>
  <c r="K5473" i="18"/>
  <c r="K5472" i="18"/>
  <c r="K5471" i="18"/>
  <c r="K5470" i="18"/>
  <c r="K5468" i="18"/>
  <c r="J5467" i="18"/>
  <c r="I5467" i="18"/>
  <c r="H5467" i="18"/>
  <c r="K5466" i="18"/>
  <c r="K5464" i="18"/>
  <c r="K5463" i="18"/>
  <c r="J5462" i="18"/>
  <c r="I5462" i="18"/>
  <c r="H5462" i="18"/>
  <c r="D5455" i="18"/>
  <c r="G5455" i="18" s="1"/>
  <c r="C5454" i="18"/>
  <c r="G5454" i="18"/>
  <c r="K5420" i="18"/>
  <c r="D5420" i="18"/>
  <c r="G5420" i="18" s="1"/>
  <c r="D5386" i="18"/>
  <c r="G5386" i="18" s="1"/>
  <c r="M5384" i="18"/>
  <c r="L5384" i="18"/>
  <c r="K5384" i="18"/>
  <c r="J5384" i="18"/>
  <c r="I5384" i="18"/>
  <c r="H5384" i="18"/>
  <c r="D5384" i="18"/>
  <c r="D5383" i="18"/>
  <c r="D5382" i="18"/>
  <c r="D5381" i="18"/>
  <c r="D5380" i="18"/>
  <c r="D5379" i="18"/>
  <c r="D5378" i="18"/>
  <c r="D5377" i="18"/>
  <c r="D5376" i="18"/>
  <c r="D5375" i="18"/>
  <c r="N5370" i="18"/>
  <c r="K5370" i="18"/>
  <c r="D5370" i="18"/>
  <c r="G5370" i="18" s="1"/>
  <c r="M5368" i="18"/>
  <c r="L5368" i="18"/>
  <c r="K5368" i="18"/>
  <c r="J5368" i="18"/>
  <c r="I5368" i="18"/>
  <c r="H5368" i="18"/>
  <c r="D5368" i="18"/>
  <c r="D5367" i="18"/>
  <c r="D5366" i="18"/>
  <c r="D5365" i="18"/>
  <c r="D5364" i="18"/>
  <c r="D5363" i="18"/>
  <c r="D5362" i="18"/>
  <c r="D5361" i="18"/>
  <c r="D5360" i="18"/>
  <c r="D5359" i="18"/>
  <c r="N5354" i="18"/>
  <c r="K5354" i="18"/>
  <c r="D5354" i="18"/>
  <c r="G5354" i="18" s="1"/>
  <c r="L5352" i="18"/>
  <c r="K5352" i="18"/>
  <c r="J5352" i="18"/>
  <c r="I5352" i="18"/>
  <c r="N5337" i="18"/>
  <c r="H5352" i="18"/>
  <c r="K5337" i="18"/>
  <c r="D5352" i="18"/>
  <c r="D5351" i="18"/>
  <c r="D5350" i="18"/>
  <c r="D5349" i="18"/>
  <c r="D5348" i="18"/>
  <c r="D5347" i="18"/>
  <c r="D5346" i="18"/>
  <c r="D5345" i="18"/>
  <c r="D5344" i="18"/>
  <c r="D5343" i="18"/>
  <c r="D5342" i="18"/>
  <c r="D5337" i="18"/>
  <c r="G5337" i="18" s="1"/>
  <c r="D5320" i="18"/>
  <c r="G5320" i="18" s="1"/>
  <c r="C5319" i="18"/>
  <c r="G5319" i="18" s="1"/>
  <c r="H5772" i="18"/>
  <c r="D5772" i="18"/>
  <c r="D5771" i="18"/>
  <c r="D5770" i="18"/>
  <c r="D5769" i="18"/>
  <c r="D5768" i="18"/>
  <c r="D5767" i="18"/>
  <c r="D5766" i="18"/>
  <c r="D5765" i="18"/>
  <c r="D5764" i="18"/>
  <c r="D5761" i="18"/>
  <c r="G5761" i="18" s="1"/>
  <c r="J5759" i="18"/>
  <c r="I5759" i="18"/>
  <c r="N5746" i="18"/>
  <c r="H5759" i="18"/>
  <c r="K5746" i="18"/>
  <c r="D5759" i="18"/>
  <c r="D5758" i="18"/>
  <c r="D5757" i="18"/>
  <c r="D5756" i="18"/>
  <c r="D5755" i="18"/>
  <c r="D5754" i="18"/>
  <c r="D5753" i="18"/>
  <c r="D5752" i="18"/>
  <c r="D5751" i="18"/>
  <c r="D5746" i="18"/>
  <c r="G5746" i="18" s="1"/>
  <c r="I5743" i="18"/>
  <c r="H5743" i="18"/>
  <c r="D5743" i="18"/>
  <c r="D5742" i="18"/>
  <c r="D5741" i="18"/>
  <c r="D5738" i="18"/>
  <c r="G5738" i="18" s="1"/>
  <c r="I5736" i="18"/>
  <c r="D5736" i="18"/>
  <c r="D5735" i="18"/>
  <c r="D5734" i="18"/>
  <c r="D5733" i="18"/>
  <c r="D5732" i="18"/>
  <c r="D5731" i="18"/>
  <c r="D5728" i="18"/>
  <c r="G5728" i="18" s="1"/>
  <c r="H5726" i="18"/>
  <c r="D5726" i="18"/>
  <c r="D5725" i="18"/>
  <c r="D5724" i="18"/>
  <c r="D5723" i="18"/>
  <c r="D5722" i="18"/>
  <c r="D5721" i="18"/>
  <c r="D5718" i="18"/>
  <c r="G5718" i="18"/>
  <c r="H5716" i="18"/>
  <c r="D5716" i="18"/>
  <c r="D5715" i="18"/>
  <c r="D5714" i="18"/>
  <c r="D5713" i="18"/>
  <c r="D5712" i="18"/>
  <c r="D5711" i="18"/>
  <c r="D5708" i="18"/>
  <c r="G5708" i="18" s="1"/>
  <c r="H5706" i="18"/>
  <c r="D5706" i="18"/>
  <c r="D5705" i="18"/>
  <c r="D5704" i="18"/>
  <c r="D5703" i="18"/>
  <c r="D5702" i="18"/>
  <c r="D5701" i="18"/>
  <c r="D5698" i="18"/>
  <c r="G5698" i="18" s="1"/>
  <c r="H5696" i="18"/>
  <c r="D5696" i="18"/>
  <c r="D5695" i="18"/>
  <c r="D5694" i="18"/>
  <c r="D5693" i="18"/>
  <c r="D5692" i="18"/>
  <c r="D5691" i="18"/>
  <c r="D5688" i="18"/>
  <c r="G5688" i="18" s="1"/>
  <c r="J5686" i="18"/>
  <c r="D5686" i="18"/>
  <c r="D5685" i="18"/>
  <c r="D5684" i="18"/>
  <c r="D5683" i="18"/>
  <c r="D5682" i="18"/>
  <c r="D5681" i="18"/>
  <c r="D5678" i="18"/>
  <c r="G5678" i="18" s="1"/>
  <c r="J5676" i="18"/>
  <c r="D5676" i="18"/>
  <c r="D5675" i="18"/>
  <c r="D5674" i="18"/>
  <c r="D5673" i="18"/>
  <c r="D5672" i="18"/>
  <c r="D5671" i="18"/>
  <c r="D5668" i="18"/>
  <c r="G5668" i="18" s="1"/>
  <c r="M5666" i="18"/>
  <c r="D5666" i="18"/>
  <c r="D5665" i="18"/>
  <c r="D5664" i="18"/>
  <c r="D5663" i="18"/>
  <c r="D5662" i="18"/>
  <c r="D5661" i="18"/>
  <c r="D5658" i="18"/>
  <c r="G5658" i="18" s="1"/>
  <c r="M5656" i="18"/>
  <c r="D5656" i="18"/>
  <c r="D5655" i="18"/>
  <c r="D5654" i="18"/>
  <c r="D5653" i="18"/>
  <c r="D5652" i="18"/>
  <c r="D5651" i="18"/>
  <c r="D5648" i="18"/>
  <c r="G5648" i="18"/>
  <c r="D5646" i="18"/>
  <c r="D5645" i="18"/>
  <c r="D5644" i="18"/>
  <c r="D5643" i="18"/>
  <c r="D5642" i="18"/>
  <c r="D5641" i="18"/>
  <c r="D5640" i="18"/>
  <c r="D5639" i="18"/>
  <c r="D5638" i="18"/>
  <c r="D5635" i="18"/>
  <c r="G5635" i="18" s="1"/>
  <c r="D5633" i="18"/>
  <c r="D5632" i="18"/>
  <c r="D5631" i="18"/>
  <c r="D5630" i="18"/>
  <c r="D5629" i="18"/>
  <c r="D5628" i="18"/>
  <c r="D5627" i="18"/>
  <c r="D5626" i="18"/>
  <c r="D5625" i="18"/>
  <c r="K5622" i="18"/>
  <c r="D5622" i="18"/>
  <c r="G5622" i="18" s="1"/>
  <c r="C5621" i="18"/>
  <c r="G5621" i="18" s="1"/>
  <c r="D5209" i="18"/>
  <c r="G5209" i="18" s="1"/>
  <c r="C5208" i="18"/>
  <c r="G5208" i="18" s="1"/>
  <c r="D5206" i="18"/>
  <c r="D5205" i="18"/>
  <c r="D5204" i="18"/>
  <c r="D5203" i="18"/>
  <c r="D5202" i="18"/>
  <c r="D5201" i="18"/>
  <c r="D5200" i="18"/>
  <c r="D5199" i="18"/>
  <c r="D5198" i="18"/>
  <c r="D5195" i="18"/>
  <c r="G5195" i="18" s="1"/>
  <c r="C5194" i="18"/>
  <c r="G5194" i="18" s="1"/>
  <c r="H5192" i="18"/>
  <c r="D5192" i="18"/>
  <c r="D5191" i="18"/>
  <c r="D5190" i="18"/>
  <c r="D5189" i="18"/>
  <c r="D5188" i="18"/>
  <c r="D5187" i="18"/>
  <c r="D5184" i="18"/>
  <c r="G5184" i="18" s="1"/>
  <c r="C5183" i="18"/>
  <c r="G5183" i="18" s="1"/>
  <c r="H5181" i="18"/>
  <c r="D5181" i="18"/>
  <c r="D5180" i="18"/>
  <c r="D5179" i="18"/>
  <c r="D5178" i="18"/>
  <c r="D5177" i="18"/>
  <c r="D5176" i="18"/>
  <c r="D5173" i="18"/>
  <c r="G5173" i="18" s="1"/>
  <c r="D5171" i="18"/>
  <c r="D5170" i="18"/>
  <c r="D5169" i="18"/>
  <c r="D5168" i="18"/>
  <c r="D5167" i="18"/>
  <c r="D5166" i="18"/>
  <c r="D5165" i="18"/>
  <c r="D5164" i="18"/>
  <c r="D5163" i="18"/>
  <c r="D5162" i="18"/>
  <c r="D5161" i="18"/>
  <c r="I5160" i="18"/>
  <c r="I5169" i="18" s="1"/>
  <c r="H5160" i="18"/>
  <c r="H5169" i="18" s="1"/>
  <c r="D5160" i="18"/>
  <c r="D5157" i="18"/>
  <c r="G5157" i="18" s="1"/>
  <c r="H5155" i="18"/>
  <c r="D5155" i="18"/>
  <c r="D5154" i="18"/>
  <c r="D5153" i="18"/>
  <c r="D5152" i="18"/>
  <c r="D5151" i="18"/>
  <c r="D5150" i="18"/>
  <c r="D5147" i="18"/>
  <c r="G5147" i="18"/>
  <c r="H5145" i="18"/>
  <c r="D5145" i="18"/>
  <c r="D5144" i="18"/>
  <c r="D5143" i="18"/>
  <c r="D5142" i="18"/>
  <c r="D5141" i="18"/>
  <c r="D5140" i="18"/>
  <c r="D5137" i="18"/>
  <c r="G5137" i="18" s="1"/>
  <c r="G5134" i="18"/>
  <c r="G5133" i="18"/>
  <c r="G5132" i="18"/>
  <c r="G5131" i="18"/>
  <c r="D5128" i="18"/>
  <c r="G5128" i="18"/>
  <c r="G5125" i="18"/>
  <c r="G5124" i="18"/>
  <c r="G5123" i="18"/>
  <c r="D5120" i="18"/>
  <c r="G5120" i="18" s="1"/>
  <c r="G5116" i="18"/>
  <c r="G5115" i="18"/>
  <c r="G5114" i="18"/>
  <c r="G5113" i="18"/>
  <c r="G5112" i="18"/>
  <c r="G5111" i="18"/>
  <c r="G5110" i="18"/>
  <c r="G5109" i="18"/>
  <c r="G5108" i="18"/>
  <c r="G5107" i="18"/>
  <c r="G5106" i="18"/>
  <c r="G5105" i="18"/>
  <c r="G5104" i="18"/>
  <c r="G5103" i="18"/>
  <c r="G5100" i="18"/>
  <c r="D5097" i="18"/>
  <c r="G5097" i="18" s="1"/>
  <c r="C5096" i="18"/>
  <c r="G5096" i="18" s="1"/>
  <c r="H5094" i="18"/>
  <c r="K5086" i="18" s="1"/>
  <c r="D5094" i="18"/>
  <c r="D5093" i="18"/>
  <c r="D5092" i="18"/>
  <c r="D5091" i="18"/>
  <c r="D5090" i="18"/>
  <c r="D5089" i="18"/>
  <c r="D5086" i="18"/>
  <c r="G5086" i="18" s="1"/>
  <c r="C5085" i="18"/>
  <c r="G5085" i="18" s="1"/>
  <c r="H5083" i="18"/>
  <c r="K5075" i="18"/>
  <c r="D5083" i="18"/>
  <c r="D5082" i="18"/>
  <c r="D5081" i="18"/>
  <c r="D5080" i="18"/>
  <c r="D5079" i="18"/>
  <c r="D5078" i="18"/>
  <c r="D5075" i="18"/>
  <c r="G5075" i="18" s="1"/>
  <c r="C5074" i="18"/>
  <c r="G5074" i="18" s="1"/>
  <c r="D5072" i="18"/>
  <c r="D5071" i="18"/>
  <c r="D5070" i="18"/>
  <c r="D5069" i="18"/>
  <c r="D5068" i="18"/>
  <c r="D5067" i="18"/>
  <c r="D5064" i="18"/>
  <c r="G5064" i="18" s="1"/>
  <c r="C5063" i="18"/>
  <c r="G5063" i="18" s="1"/>
  <c r="H5061" i="18"/>
  <c r="K5053" i="18" s="1"/>
  <c r="D5061" i="18"/>
  <c r="D5060" i="18"/>
  <c r="D5059" i="18"/>
  <c r="D5058" i="18"/>
  <c r="D5057" i="18"/>
  <c r="D5056" i="18"/>
  <c r="D5053" i="18"/>
  <c r="G5053" i="18" s="1"/>
  <c r="C5052" i="18"/>
  <c r="G5052" i="18" s="1"/>
  <c r="H5050" i="18"/>
  <c r="K5037" i="18" s="1"/>
  <c r="D5050" i="18"/>
  <c r="D5049" i="18"/>
  <c r="D5048" i="18"/>
  <c r="D5047" i="18"/>
  <c r="D5046" i="18"/>
  <c r="D5045" i="18"/>
  <c r="D5044" i="18"/>
  <c r="D5043" i="18"/>
  <c r="D5042" i="18"/>
  <c r="D5041" i="18"/>
  <c r="D5040" i="18"/>
  <c r="D5037" i="18"/>
  <c r="G5037" i="18" s="1"/>
  <c r="C5036" i="18"/>
  <c r="G5036" i="18" s="1"/>
  <c r="H5034" i="18"/>
  <c r="K5021" i="18" s="1"/>
  <c r="D5034" i="18"/>
  <c r="D5033" i="18"/>
  <c r="D5032" i="18"/>
  <c r="D5031" i="18"/>
  <c r="D5030" i="18"/>
  <c r="D5029" i="18"/>
  <c r="D5028" i="18"/>
  <c r="D5027" i="18"/>
  <c r="D5026" i="18"/>
  <c r="D5025" i="18"/>
  <c r="D5024" i="18"/>
  <c r="D5021" i="18"/>
  <c r="G5021" i="18" s="1"/>
  <c r="C5020" i="18"/>
  <c r="G5020" i="18" s="1"/>
  <c r="C5019" i="18"/>
  <c r="G5019" i="18" s="1"/>
  <c r="L5017" i="18"/>
  <c r="K5017" i="18"/>
  <c r="J5017" i="18"/>
  <c r="I5017" i="18"/>
  <c r="H5017" i="18"/>
  <c r="D5017" i="18"/>
  <c r="D5016" i="18"/>
  <c r="D5015" i="18"/>
  <c r="D5014" i="18"/>
  <c r="D5013" i="18"/>
  <c r="D5012" i="18"/>
  <c r="D5009" i="18"/>
  <c r="G5009" i="18"/>
  <c r="N5007" i="18"/>
  <c r="M5007" i="18"/>
  <c r="L5007" i="18"/>
  <c r="J5007" i="18"/>
  <c r="I5007" i="18"/>
  <c r="H5007" i="18"/>
  <c r="D5007" i="18"/>
  <c r="K5006" i="18"/>
  <c r="D5006" i="18"/>
  <c r="K5005" i="18"/>
  <c r="D5005" i="18"/>
  <c r="K5004" i="18"/>
  <c r="D5004" i="18"/>
  <c r="K5003" i="18"/>
  <c r="D5003" i="18"/>
  <c r="K5002" i="18"/>
  <c r="D5002" i="18"/>
  <c r="D4999" i="18"/>
  <c r="G4999" i="18" s="1"/>
  <c r="H4997" i="18"/>
  <c r="D4997" i="18"/>
  <c r="D4996" i="18"/>
  <c r="D4995" i="18"/>
  <c r="D4994" i="18"/>
  <c r="D4993" i="18"/>
  <c r="D4992" i="18"/>
  <c r="D4991" i="18"/>
  <c r="D4990" i="18"/>
  <c r="D4989" i="18"/>
  <c r="D4988" i="18"/>
  <c r="K4985" i="18"/>
  <c r="D4985" i="18"/>
  <c r="G4985" i="18" s="1"/>
  <c r="C4984" i="18"/>
  <c r="G4984" i="18" s="1"/>
  <c r="D4966" i="18"/>
  <c r="G4966" i="18" s="1"/>
  <c r="H4964" i="18"/>
  <c r="K4958" i="18" s="1"/>
  <c r="D4964" i="18"/>
  <c r="D4963" i="18"/>
  <c r="D4962" i="18"/>
  <c r="D4961" i="18"/>
  <c r="D4958" i="18"/>
  <c r="G4958" i="18" s="1"/>
  <c r="C4957" i="18"/>
  <c r="G4957" i="18" s="1"/>
  <c r="J4955" i="18"/>
  <c r="D4955" i="18"/>
  <c r="D4954" i="18"/>
  <c r="D4953" i="18"/>
  <c r="D4952" i="18"/>
  <c r="D4951" i="18"/>
  <c r="D4950" i="18"/>
  <c r="D4949" i="18"/>
  <c r="D4948" i="18"/>
  <c r="D4945" i="18"/>
  <c r="G4945" i="18" s="1"/>
  <c r="C4944" i="18"/>
  <c r="G4944" i="18"/>
  <c r="G4938" i="18"/>
  <c r="D4935" i="18"/>
  <c r="D4934" i="18"/>
  <c r="D4933" i="18"/>
  <c r="D4932" i="18"/>
  <c r="D4931" i="18"/>
  <c r="D4930" i="18"/>
  <c r="D4927" i="18"/>
  <c r="G4927" i="18" s="1"/>
  <c r="J4925" i="18"/>
  <c r="D4925" i="18"/>
  <c r="D4924" i="18"/>
  <c r="D4923" i="18"/>
  <c r="D4922" i="18"/>
  <c r="D4921" i="18"/>
  <c r="D4920" i="18"/>
  <c r="D4919" i="18"/>
  <c r="D4918" i="18"/>
  <c r="D4917" i="18"/>
  <c r="D4914" i="18"/>
  <c r="G4914" i="18" s="1"/>
  <c r="H4937" i="18" s="1"/>
  <c r="C4913" i="18"/>
  <c r="G4913" i="18" s="1"/>
  <c r="H4911" i="18"/>
  <c r="K4899" i="18" s="1"/>
  <c r="D4911" i="18"/>
  <c r="D4910" i="18"/>
  <c r="D4909" i="18"/>
  <c r="D4908" i="18"/>
  <c r="D4907" i="18"/>
  <c r="D4906" i="18"/>
  <c r="D4905" i="18"/>
  <c r="D4904" i="18"/>
  <c r="D4903" i="18"/>
  <c r="D4902" i="18"/>
  <c r="D4899" i="18"/>
  <c r="G4899" i="18" s="1"/>
  <c r="C4898" i="18"/>
  <c r="G4898" i="18" s="1"/>
  <c r="H4896" i="18"/>
  <c r="D4896" i="18"/>
  <c r="D4895" i="18"/>
  <c r="D4894" i="18"/>
  <c r="D4893" i="18"/>
  <c r="D4892" i="18"/>
  <c r="D4891" i="18"/>
  <c r="D4890" i="18"/>
  <c r="D4889" i="18"/>
  <c r="D4888" i="18"/>
  <c r="D4887" i="18"/>
  <c r="D4886" i="18"/>
  <c r="D4885" i="18"/>
  <c r="D4884" i="18"/>
  <c r="D4883" i="18"/>
  <c r="D4882" i="18"/>
  <c r="D4881" i="18"/>
  <c r="D4880" i="18"/>
  <c r="D4877" i="18"/>
  <c r="G4877" i="18"/>
  <c r="C4876" i="18"/>
  <c r="G4876" i="18" s="1"/>
  <c r="H4874" i="18"/>
  <c r="K4863" i="18" s="1"/>
  <c r="D4874" i="18"/>
  <c r="D4873" i="18"/>
  <c r="D4872" i="18"/>
  <c r="D4871" i="18"/>
  <c r="D4870" i="18"/>
  <c r="D4869" i="18"/>
  <c r="D4868" i="18"/>
  <c r="D4867" i="18"/>
  <c r="D4866" i="18"/>
  <c r="D4863" i="18"/>
  <c r="G4863" i="18"/>
  <c r="C4862" i="18"/>
  <c r="G4862" i="18"/>
  <c r="N4849" i="18"/>
  <c r="K4849" i="18"/>
  <c r="D4849" i="18"/>
  <c r="G4849" i="18"/>
  <c r="C4835" i="18"/>
  <c r="G4835" i="18"/>
  <c r="H4833" i="18"/>
  <c r="K4822" i="18"/>
  <c r="D4833" i="18"/>
  <c r="D4832" i="18"/>
  <c r="D4831" i="18"/>
  <c r="D4830" i="18"/>
  <c r="D4829" i="18"/>
  <c r="D4828" i="18"/>
  <c r="D4827" i="18"/>
  <c r="D4826" i="18"/>
  <c r="D4825" i="18"/>
  <c r="D4822" i="18"/>
  <c r="G4822" i="18" s="1"/>
  <c r="C4821" i="18"/>
  <c r="G4821" i="18" s="1"/>
  <c r="D4799" i="18"/>
  <c r="G4799" i="18" s="1"/>
  <c r="C4798" i="18"/>
  <c r="G4798" i="18" s="1"/>
  <c r="D4776" i="18"/>
  <c r="G4776" i="18" s="1"/>
  <c r="C4775" i="18"/>
  <c r="G4775" i="18"/>
  <c r="H4773" i="18"/>
  <c r="K4765" i="18"/>
  <c r="D4773" i="18"/>
  <c r="D4772" i="18"/>
  <c r="D4771" i="18"/>
  <c r="D4770" i="18"/>
  <c r="D4769" i="18"/>
  <c r="D4768" i="18"/>
  <c r="D4765" i="18"/>
  <c r="G4765" i="18"/>
  <c r="D4750" i="18"/>
  <c r="G4750" i="18" s="1"/>
  <c r="C4749" i="18"/>
  <c r="G4749" i="18" s="1"/>
  <c r="K4725" i="18"/>
  <c r="D4734" i="18"/>
  <c r="D4733" i="18"/>
  <c r="D4732" i="18"/>
  <c r="D4731" i="18"/>
  <c r="D4730" i="18"/>
  <c r="D4729" i="18"/>
  <c r="D4728" i="18"/>
  <c r="D4725" i="18"/>
  <c r="G4725" i="18"/>
  <c r="C4724" i="18"/>
  <c r="G4724" i="18"/>
  <c r="I4722" i="18"/>
  <c r="N4714" i="18"/>
  <c r="H4722" i="18"/>
  <c r="K4714" i="18"/>
  <c r="D4722" i="18"/>
  <c r="D4721" i="18"/>
  <c r="D4720" i="18"/>
  <c r="D4719" i="18"/>
  <c r="D4718" i="18"/>
  <c r="D4717" i="18"/>
  <c r="D4714" i="18"/>
  <c r="G4714" i="18"/>
  <c r="H4712" i="18"/>
  <c r="K4694" i="18" s="1"/>
  <c r="D4712" i="18"/>
  <c r="D4711" i="18"/>
  <c r="D4710" i="18"/>
  <c r="D4709" i="18"/>
  <c r="D4708" i="18"/>
  <c r="D4707" i="18"/>
  <c r="D4706" i="18"/>
  <c r="D4705" i="18"/>
  <c r="D4704" i="18"/>
  <c r="D4703" i="18"/>
  <c r="D4702" i="18"/>
  <c r="D4701" i="18"/>
  <c r="D4700" i="18"/>
  <c r="D4699" i="18"/>
  <c r="D4698" i="18"/>
  <c r="D4697" i="18"/>
  <c r="D4694" i="18"/>
  <c r="G4694" i="18"/>
  <c r="C4693" i="18"/>
  <c r="G4693" i="18"/>
  <c r="I4691" i="18"/>
  <c r="H4691" i="18"/>
  <c r="D4691" i="18"/>
  <c r="D4690" i="18"/>
  <c r="D4689" i="18"/>
  <c r="D4688" i="18"/>
  <c r="D4687" i="18"/>
  <c r="D4686" i="18"/>
  <c r="N4683" i="18"/>
  <c r="O4683" i="18"/>
  <c r="K4683" i="18"/>
  <c r="L4683" i="18" s="1"/>
  <c r="D4683" i="18"/>
  <c r="G468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c r="H4660" i="18"/>
  <c r="K4652" i="18"/>
  <c r="D4660" i="18"/>
  <c r="D4659" i="18"/>
  <c r="D4658" i="18"/>
  <c r="D4657" i="18"/>
  <c r="D4656" i="18"/>
  <c r="D4655" i="18"/>
  <c r="D4652" i="18"/>
  <c r="G4652" i="18" s="1"/>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c r="H4630" i="18"/>
  <c r="K4622" i="18"/>
  <c r="D4630" i="18"/>
  <c r="D4629" i="18"/>
  <c r="D4628" i="18"/>
  <c r="D4627" i="18"/>
  <c r="D4626" i="18"/>
  <c r="D4625" i="18"/>
  <c r="D4622" i="18"/>
  <c r="G4622" i="18" s="1"/>
  <c r="I4620" i="18"/>
  <c r="N4612" i="18"/>
  <c r="H4620" i="18"/>
  <c r="K4612" i="18"/>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c r="G4576" i="18"/>
  <c r="K4573" i="18"/>
  <c r="K4577" i="18"/>
  <c r="J4573" i="18"/>
  <c r="I4573" i="18"/>
  <c r="H4573" i="18"/>
  <c r="H4577" i="18"/>
  <c r="D4573" i="18"/>
  <c r="D4572" i="18"/>
  <c r="D4571" i="18"/>
  <c r="D4570" i="18"/>
  <c r="D4569" i="18"/>
  <c r="D4568" i="18"/>
  <c r="D4563" i="18"/>
  <c r="G4563" i="18" s="1"/>
  <c r="G4557" i="18"/>
  <c r="K4554" i="18"/>
  <c r="K4558" i="18"/>
  <c r="J4554" i="18"/>
  <c r="J4558" i="18"/>
  <c r="I4554" i="18"/>
  <c r="I4558" i="18"/>
  <c r="H4554" i="18"/>
  <c r="H4558" i="18"/>
  <c r="D4554" i="18"/>
  <c r="D4553" i="18"/>
  <c r="D4552" i="18"/>
  <c r="D4551" i="18"/>
  <c r="D4550" i="18"/>
  <c r="D4549" i="18"/>
  <c r="D4548" i="18"/>
  <c r="D4547" i="18"/>
  <c r="D4546" i="18"/>
  <c r="D4545" i="18"/>
  <c r="D4540" i="18"/>
  <c r="G4540" i="18" s="1"/>
  <c r="G4534" i="18"/>
  <c r="K4531" i="18"/>
  <c r="J4531" i="18"/>
  <c r="I4531" i="18"/>
  <c r="H4531" i="18"/>
  <c r="Q4516" i="18" s="1"/>
  <c r="D4531" i="18"/>
  <c r="D4530" i="18"/>
  <c r="D4529" i="18"/>
  <c r="D4528" i="18"/>
  <c r="D4527" i="18"/>
  <c r="D4526" i="18"/>
  <c r="D4525" i="18"/>
  <c r="D4524" i="18"/>
  <c r="D4523" i="18"/>
  <c r="D4522" i="18"/>
  <c r="D4521" i="18"/>
  <c r="D4516" i="18"/>
  <c r="G4516" i="18" s="1"/>
  <c r="D4514" i="18"/>
  <c r="D4513" i="18"/>
  <c r="D4512" i="18"/>
  <c r="D4511" i="18"/>
  <c r="I4510" i="18"/>
  <c r="H4510" i="18"/>
  <c r="D4510" i="18"/>
  <c r="D4507" i="18"/>
  <c r="G4507" i="18"/>
  <c r="D4505" i="18"/>
  <c r="D4504" i="18"/>
  <c r="D4503" i="18"/>
  <c r="D4502" i="18"/>
  <c r="I4501" i="18"/>
  <c r="H4501" i="18"/>
  <c r="D4501" i="18"/>
  <c r="D4498" i="18"/>
  <c r="G4498" i="18" s="1"/>
  <c r="D4496" i="18"/>
  <c r="D4495" i="18"/>
  <c r="D4494" i="18"/>
  <c r="D4493" i="18"/>
  <c r="D4488" i="18"/>
  <c r="G4488" i="18" s="1"/>
  <c r="C4487" i="18"/>
  <c r="G4487" i="18" s="1"/>
  <c r="C4486" i="18"/>
  <c r="G4486" i="18" s="1"/>
  <c r="C4485" i="18"/>
  <c r="G4485" i="18" s="1"/>
  <c r="H4483" i="18"/>
  <c r="K4474" i="18"/>
  <c r="D4483" i="18"/>
  <c r="D4482" i="18"/>
  <c r="D4481" i="18"/>
  <c r="D4480" i="18"/>
  <c r="D4479" i="18"/>
  <c r="D4478" i="18"/>
  <c r="D4477" i="18"/>
  <c r="D4474" i="18"/>
  <c r="G4474" i="18"/>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c r="D4454" i="18"/>
  <c r="K4453" i="18"/>
  <c r="D4453" i="18"/>
  <c r="K4452" i="18"/>
  <c r="D4452" i="18"/>
  <c r="D4449" i="18"/>
  <c r="G4449" i="18" s="1"/>
  <c r="C4448" i="18"/>
  <c r="G4448" i="18" s="1"/>
  <c r="J4446" i="18"/>
  <c r="I4446" i="18"/>
  <c r="H4446" i="18"/>
  <c r="N4437" i="18"/>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D4363" i="18"/>
  <c r="D4360" i="18"/>
  <c r="G4360" i="18"/>
  <c r="C4359" i="18"/>
  <c r="G4359" i="18" s="1"/>
  <c r="J4357" i="18"/>
  <c r="I4357" i="18"/>
  <c r="D4357" i="18"/>
  <c r="K4356" i="18"/>
  <c r="D4356" i="18"/>
  <c r="K4355" i="18"/>
  <c r="D4355" i="18"/>
  <c r="K4354" i="18"/>
  <c r="D4354" i="18"/>
  <c r="D4351" i="18"/>
  <c r="G4351" i="18"/>
  <c r="C4350" i="18"/>
  <c r="G4350" i="18"/>
  <c r="M4348" i="18"/>
  <c r="L4348" i="18"/>
  <c r="K4348" i="18"/>
  <c r="J4348" i="18"/>
  <c r="I4348" i="18"/>
  <c r="N4340" i="18"/>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c r="D4315" i="18"/>
  <c r="D4314" i="18"/>
  <c r="M4313" i="18"/>
  <c r="D4313" i="18"/>
  <c r="D4308" i="18"/>
  <c r="G4308" i="18" s="1"/>
  <c r="C4307" i="18"/>
  <c r="G4307" i="18" s="1"/>
  <c r="N4305" i="18"/>
  <c r="M4305" i="18"/>
  <c r="L4305" i="18"/>
  <c r="J4305" i="18"/>
  <c r="I4305" i="18"/>
  <c r="H4305" i="18"/>
  <c r="N4297" i="18"/>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c r="C4286" i="18"/>
  <c r="G4286" i="18"/>
  <c r="D4277" i="18"/>
  <c r="D4276" i="18"/>
  <c r="D4275" i="18"/>
  <c r="D4274" i="18"/>
  <c r="D4273" i="18"/>
  <c r="D4272" i="18"/>
  <c r="D4269" i="18"/>
  <c r="G4269" i="18"/>
  <c r="H4790" i="18" s="1"/>
  <c r="J4267" i="18"/>
  <c r="I4267" i="18"/>
  <c r="D4267" i="18"/>
  <c r="K4266" i="18"/>
  <c r="D4266" i="18"/>
  <c r="K4265" i="18"/>
  <c r="D4265" i="18"/>
  <c r="K4264" i="18"/>
  <c r="D4264" i="18"/>
  <c r="D4261" i="18"/>
  <c r="G4261" i="18"/>
  <c r="H4279" i="18" s="1"/>
  <c r="C4260" i="18"/>
  <c r="G4260" i="18" s="1"/>
  <c r="H4258" i="18"/>
  <c r="K4247" i="18"/>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c r="D4220" i="18"/>
  <c r="D4219" i="18"/>
  <c r="D4218" i="18"/>
  <c r="D4217" i="18"/>
  <c r="D4216" i="18"/>
  <c r="D4213" i="18"/>
  <c r="G4213" i="18" s="1"/>
  <c r="D4198" i="18"/>
  <c r="G4198" i="18"/>
  <c r="D4178" i="18"/>
  <c r="G4178" i="18" s="1"/>
  <c r="H4176" i="18"/>
  <c r="K4168" i="18" s="1"/>
  <c r="D4176" i="18"/>
  <c r="D4175" i="18"/>
  <c r="D4174" i="18"/>
  <c r="D4173" i="18"/>
  <c r="D4172" i="18"/>
  <c r="D4171" i="18"/>
  <c r="D4168" i="18"/>
  <c r="G4168" i="18" s="1"/>
  <c r="C4167" i="18"/>
  <c r="G4167" i="18" s="1"/>
  <c r="J4165" i="18"/>
  <c r="K4157" i="18"/>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c r="C4106" i="18"/>
  <c r="G4106" i="18"/>
  <c r="M4094" i="18"/>
  <c r="K4094" i="18"/>
  <c r="I4094" i="18"/>
  <c r="N4084" i="18"/>
  <c r="D4094" i="18"/>
  <c r="O4093" i="18"/>
  <c r="N4093" i="18"/>
  <c r="D4093" i="18"/>
  <c r="O4092" i="18"/>
  <c r="N4092" i="18"/>
  <c r="D4092" i="18"/>
  <c r="O4091" i="18"/>
  <c r="N4091" i="18"/>
  <c r="D4091" i="18"/>
  <c r="O4090" i="18"/>
  <c r="N4090" i="18"/>
  <c r="D4090" i="18"/>
  <c r="O4089" i="18"/>
  <c r="N4089" i="18"/>
  <c r="D4089" i="18"/>
  <c r="D4084" i="18"/>
  <c r="G4084" i="18"/>
  <c r="D4082" i="18"/>
  <c r="L4081" i="18"/>
  <c r="D4081" i="18"/>
  <c r="L4080" i="18"/>
  <c r="D4080" i="18"/>
  <c r="L4079" i="18"/>
  <c r="D4079" i="18"/>
  <c r="L4078" i="18"/>
  <c r="D4078" i="18"/>
  <c r="L4077" i="18"/>
  <c r="D4077" i="18"/>
  <c r="K4074" i="18"/>
  <c r="D4074" i="18"/>
  <c r="G4074" i="18"/>
  <c r="D4072" i="18"/>
  <c r="Q4071" i="18"/>
  <c r="D4071" i="18"/>
  <c r="P4070" i="18"/>
  <c r="P4072" i="18"/>
  <c r="O4070" i="18"/>
  <c r="O4072" i="18"/>
  <c r="N4070" i="18"/>
  <c r="N4072" i="18"/>
  <c r="M4070" i="18"/>
  <c r="M4072" i="18"/>
  <c r="L4070" i="18"/>
  <c r="K4070" i="18"/>
  <c r="K4072" i="18"/>
  <c r="H4070" i="18"/>
  <c r="H4072" i="18"/>
  <c r="D4070" i="18"/>
  <c r="Q4069" i="18"/>
  <c r="D4069" i="18"/>
  <c r="Q4068" i="18"/>
  <c r="D4068" i="18"/>
  <c r="Q4067" i="18"/>
  <c r="D4067" i="18"/>
  <c r="Q4066" i="18"/>
  <c r="D4066" i="18"/>
  <c r="Q4065" i="18"/>
  <c r="D4065" i="18"/>
  <c r="D4064" i="18"/>
  <c r="D4061" i="18"/>
  <c r="G4061" i="18"/>
  <c r="D4051" i="18"/>
  <c r="G4051" i="18"/>
  <c r="C4050" i="18"/>
  <c r="G4050" i="18"/>
  <c r="K4038" i="18"/>
  <c r="H4038" i="18"/>
  <c r="K4030" i="18"/>
  <c r="D4038" i="18"/>
  <c r="D4037" i="18"/>
  <c r="D4036" i="18"/>
  <c r="D4035" i="18"/>
  <c r="D4034" i="18"/>
  <c r="D4033" i="18"/>
  <c r="D4030" i="18"/>
  <c r="G4030" i="18" s="1"/>
  <c r="K4028" i="18"/>
  <c r="H4028" i="18"/>
  <c r="K4020" i="18"/>
  <c r="D4028" i="18"/>
  <c r="D4027" i="18"/>
  <c r="D4026" i="18"/>
  <c r="D4025" i="18"/>
  <c r="D4024" i="18"/>
  <c r="D4023" i="18"/>
  <c r="D4020" i="18"/>
  <c r="G4020" i="18" s="1"/>
  <c r="K4018" i="18"/>
  <c r="H4018" i="18"/>
  <c r="K4010" i="18"/>
  <c r="D4018" i="18"/>
  <c r="D4017" i="18"/>
  <c r="D4016" i="18"/>
  <c r="D4015" i="18"/>
  <c r="D4014" i="18"/>
  <c r="D4013" i="18"/>
  <c r="D4010" i="18"/>
  <c r="G4010" i="18"/>
  <c r="J4048" i="18"/>
  <c r="K4040" i="18"/>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c r="C3967" i="18"/>
  <c r="G3967" i="18"/>
  <c r="I3965" i="18"/>
  <c r="N3957" i="18"/>
  <c r="H3965" i="18"/>
  <c r="K3957" i="18"/>
  <c r="D3965" i="18"/>
  <c r="D3964" i="18"/>
  <c r="D3963" i="18"/>
  <c r="D3962" i="18"/>
  <c r="D3961" i="18"/>
  <c r="D3960" i="18"/>
  <c r="D3957" i="18"/>
  <c r="G3957" i="18"/>
  <c r="P3955" i="18"/>
  <c r="O3955" i="18"/>
  <c r="N3955" i="18"/>
  <c r="M3955" i="18"/>
  <c r="L3955" i="18"/>
  <c r="N3947" i="18"/>
  <c r="K3955" i="18"/>
  <c r="H3955" i="18"/>
  <c r="D3955" i="18"/>
  <c r="Q3954" i="18"/>
  <c r="D3954" i="18"/>
  <c r="Q3953" i="18"/>
  <c r="D3953" i="18"/>
  <c r="Q3952" i="18"/>
  <c r="D3952" i="18"/>
  <c r="Q3951" i="18"/>
  <c r="D3951" i="18"/>
  <c r="Q3950" i="18"/>
  <c r="D3950" i="18"/>
  <c r="D3947" i="18"/>
  <c r="G3947" i="18" s="1"/>
  <c r="I3945" i="18"/>
  <c r="N3937" i="18"/>
  <c r="H3945" i="18"/>
  <c r="K3937" i="18"/>
  <c r="D3945" i="18"/>
  <c r="D3944" i="18"/>
  <c r="D3943" i="18"/>
  <c r="D3942" i="18"/>
  <c r="D3941" i="18"/>
  <c r="D3940" i="18"/>
  <c r="D3937" i="18"/>
  <c r="G3937" i="18" s="1"/>
  <c r="D3935" i="18"/>
  <c r="D3934" i="18"/>
  <c r="D3933" i="18"/>
  <c r="D3932" i="18"/>
  <c r="D3931" i="18"/>
  <c r="D3930" i="18"/>
  <c r="D3927" i="18"/>
  <c r="G3927" i="18" s="1"/>
  <c r="C3926" i="18"/>
  <c r="G3926" i="18" s="1"/>
  <c r="D3924" i="18"/>
  <c r="D3923" i="18"/>
  <c r="D3922" i="18"/>
  <c r="D3921" i="18"/>
  <c r="D3920" i="18"/>
  <c r="D3919" i="18"/>
  <c r="D3916" i="18"/>
  <c r="G3916" i="18"/>
  <c r="C3915" i="18"/>
  <c r="G3915" i="18" s="1"/>
  <c r="D3913" i="18"/>
  <c r="H3912" i="18"/>
  <c r="D3912" i="18"/>
  <c r="D3911" i="18"/>
  <c r="D3910" i="18"/>
  <c r="D3909" i="18"/>
  <c r="D3908" i="18"/>
  <c r="D3907" i="18"/>
  <c r="D3906" i="18"/>
  <c r="H3905" i="18"/>
  <c r="D3905" i="18"/>
  <c r="D3904" i="18"/>
  <c r="D3903" i="18"/>
  <c r="D3902" i="18"/>
  <c r="D3901" i="18"/>
  <c r="D3900" i="18"/>
  <c r="D3899" i="18"/>
  <c r="D3896" i="18"/>
  <c r="G3896" i="18"/>
  <c r="I3894" i="18"/>
  <c r="H3894" i="18"/>
  <c r="D3894" i="18"/>
  <c r="D3893" i="18"/>
  <c r="D3892" i="18"/>
  <c r="D3891" i="18"/>
  <c r="D3890" i="18"/>
  <c r="D3889" i="18"/>
  <c r="D3886" i="18"/>
  <c r="G3886" i="18" s="1"/>
  <c r="J3884" i="18"/>
  <c r="Q3876" i="18"/>
  <c r="D3884" i="18"/>
  <c r="D3883" i="18"/>
  <c r="D3882" i="18"/>
  <c r="D3881" i="18"/>
  <c r="D3880" i="18"/>
  <c r="D3879" i="18"/>
  <c r="D3876" i="18"/>
  <c r="G3876" i="18" s="1"/>
  <c r="H3874" i="18"/>
  <c r="K3866" i="18"/>
  <c r="D3874" i="18"/>
  <c r="D3873" i="18"/>
  <c r="D3872" i="18"/>
  <c r="D3871" i="18"/>
  <c r="D3870" i="18"/>
  <c r="D3869" i="18"/>
  <c r="D3866" i="18"/>
  <c r="G3866" i="18" s="1"/>
  <c r="D3864" i="18"/>
  <c r="D3863" i="18"/>
  <c r="D3862" i="18"/>
  <c r="D3861" i="18"/>
  <c r="D3860" i="18"/>
  <c r="D3859" i="18"/>
  <c r="D3856" i="18"/>
  <c r="G3856" i="18" s="1"/>
  <c r="I3847" i="18"/>
  <c r="N3839" i="18"/>
  <c r="H3847" i="18"/>
  <c r="K3839" i="18"/>
  <c r="D3847" i="18"/>
  <c r="D3846" i="18"/>
  <c r="D3845" i="18"/>
  <c r="D3844" i="18"/>
  <c r="D3843" i="18"/>
  <c r="D3842" i="18"/>
  <c r="D3839" i="18"/>
  <c r="G3839" i="18" s="1"/>
  <c r="H3837" i="18"/>
  <c r="D3837" i="18"/>
  <c r="D3836" i="18"/>
  <c r="D3835" i="18"/>
  <c r="D3834" i="18"/>
  <c r="D3833" i="18"/>
  <c r="D3832" i="18"/>
  <c r="D3829" i="18"/>
  <c r="G3829" i="18" s="1"/>
  <c r="H3849" i="18" s="1"/>
  <c r="C3828" i="18"/>
  <c r="G3828" i="18" s="1"/>
  <c r="D3826" i="18"/>
  <c r="D3825" i="18"/>
  <c r="D3824" i="18"/>
  <c r="D3823" i="18"/>
  <c r="D3822" i="18"/>
  <c r="D3821" i="18"/>
  <c r="D3818" i="18"/>
  <c r="G3818" i="18" s="1"/>
  <c r="D3801" i="18"/>
  <c r="G3801" i="18"/>
  <c r="C3800" i="18"/>
  <c r="G3800" i="18" s="1"/>
  <c r="H3798" i="18"/>
  <c r="Q3790" i="18"/>
  <c r="D3798" i="18"/>
  <c r="D3797" i="18"/>
  <c r="D3796" i="18"/>
  <c r="D3795" i="18"/>
  <c r="D3794" i="18"/>
  <c r="D3793" i="18"/>
  <c r="D3790" i="18"/>
  <c r="G3790" i="18" s="1"/>
  <c r="D3770" i="18"/>
  <c r="G3770" i="18" s="1"/>
  <c r="C3769" i="18"/>
  <c r="G3769" i="18" s="1"/>
  <c r="K3760" i="18"/>
  <c r="D3760" i="18"/>
  <c r="G3760" i="18"/>
  <c r="C3759" i="18"/>
  <c r="G3759" i="18" s="1"/>
  <c r="K3757" i="18"/>
  <c r="K3746" i="18"/>
  <c r="J3757" i="18"/>
  <c r="I3757" i="18"/>
  <c r="H3757" i="18"/>
  <c r="N3746" i="18"/>
  <c r="D3757" i="18"/>
  <c r="D3756" i="18"/>
  <c r="D3755" i="18"/>
  <c r="D3754" i="18"/>
  <c r="D3753" i="18"/>
  <c r="D3752" i="18"/>
  <c r="D3751" i="18"/>
  <c r="D3750" i="18"/>
  <c r="D3749" i="18"/>
  <c r="D3746" i="18"/>
  <c r="G3746" i="18" s="1"/>
  <c r="K3727" i="18"/>
  <c r="D3727" i="18"/>
  <c r="G3727" i="18"/>
  <c r="C3726" i="18"/>
  <c r="G3726" i="18"/>
  <c r="H3724" i="18"/>
  <c r="D3724" i="18"/>
  <c r="D3723" i="18"/>
  <c r="D3722" i="18"/>
  <c r="D3721" i="18"/>
  <c r="D3720" i="18"/>
  <c r="D3719" i="18"/>
  <c r="D3718" i="18"/>
  <c r="D3717" i="18"/>
  <c r="D3716" i="18"/>
  <c r="N3713" i="18"/>
  <c r="K3713" i="18"/>
  <c r="D3713" i="18"/>
  <c r="G3713" i="18"/>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6" i="18" s="1"/>
  <c r="K3661" i="18"/>
  <c r="D3657" i="18"/>
  <c r="G3657" i="18" s="1"/>
  <c r="D3648" i="18"/>
  <c r="K3647" i="18"/>
  <c r="D3647" i="18"/>
  <c r="K3646" i="18"/>
  <c r="D3646" i="18"/>
  <c r="K3645" i="18"/>
  <c r="D3645" i="18"/>
  <c r="K3644" i="18"/>
  <c r="D3644" i="18"/>
  <c r="K3643" i="18"/>
  <c r="D3643" i="18"/>
  <c r="K3642" i="18"/>
  <c r="D3642" i="18"/>
  <c r="K3641" i="18"/>
  <c r="D3641" i="18"/>
  <c r="J3640" i="18"/>
  <c r="J3648" i="18" s="1"/>
  <c r="I3640" i="18"/>
  <c r="I3648" i="18" s="1"/>
  <c r="I3621"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c r="D3626" i="18"/>
  <c r="K3625" i="18"/>
  <c r="D3625" i="18"/>
  <c r="K3624" i="18"/>
  <c r="D3624" i="18"/>
  <c r="K3623" i="18"/>
  <c r="D3623" i="18"/>
  <c r="D3622"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c r="I3596" i="18"/>
  <c r="H3596" i="18"/>
  <c r="D3596" i="18"/>
  <c r="D3595" i="18"/>
  <c r="D3594" i="18"/>
  <c r="D3593" i="18"/>
  <c r="D3592" i="18"/>
  <c r="D3591" i="18"/>
  <c r="D3588" i="18"/>
  <c r="G3588" i="18" s="1"/>
  <c r="I3586" i="18"/>
  <c r="N3578" i="18"/>
  <c r="H3586" i="18"/>
  <c r="K3578" i="18"/>
  <c r="D3586" i="18"/>
  <c r="D3585" i="18"/>
  <c r="D3584" i="18"/>
  <c r="D3583" i="18"/>
  <c r="D3582" i="18"/>
  <c r="D3581" i="18"/>
  <c r="D3578" i="18"/>
  <c r="G3578" i="18" s="1"/>
  <c r="H3576" i="18"/>
  <c r="Q3568" i="18"/>
  <c r="D3576" i="18"/>
  <c r="D3575" i="18"/>
  <c r="D3574" i="18"/>
  <c r="D3573" i="18"/>
  <c r="D3572" i="18"/>
  <c r="D3571" i="18"/>
  <c r="D3568" i="18"/>
  <c r="G3568" i="18"/>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c r="H3551" i="18" s="1"/>
  <c r="C3530" i="18"/>
  <c r="G3530" i="18"/>
  <c r="D3528" i="18"/>
  <c r="H3527" i="18"/>
  <c r="D3527" i="18"/>
  <c r="D3526" i="18"/>
  <c r="D3525" i="18"/>
  <c r="D3524" i="18"/>
  <c r="D3523" i="18"/>
  <c r="D3522" i="18"/>
  <c r="D3521" i="18"/>
  <c r="H3520" i="18"/>
  <c r="D3520" i="18"/>
  <c r="D3519" i="18"/>
  <c r="D3518" i="18"/>
  <c r="D3517" i="18"/>
  <c r="D3516" i="18"/>
  <c r="D3515" i="18"/>
  <c r="D3514" i="18"/>
  <c r="D3511" i="18"/>
  <c r="G3511" i="18" s="1"/>
  <c r="H3509" i="18"/>
  <c r="K3501" i="18"/>
  <c r="D3509" i="18"/>
  <c r="D3508" i="18"/>
  <c r="D3507" i="18"/>
  <c r="D3506" i="18"/>
  <c r="D3505" i="18"/>
  <c r="D3504" i="18"/>
  <c r="D3501" i="18"/>
  <c r="G3501" i="18" s="1"/>
  <c r="I3499" i="18"/>
  <c r="H3499" i="18"/>
  <c r="D3499" i="18"/>
  <c r="D3498" i="18"/>
  <c r="D3497" i="18"/>
  <c r="D3496" i="18"/>
  <c r="D3495" i="18"/>
  <c r="D3494" i="18"/>
  <c r="D3491" i="18"/>
  <c r="G3491" i="18" s="1"/>
  <c r="J3489" i="18"/>
  <c r="K3481" i="18"/>
  <c r="D3489" i="18"/>
  <c r="D3488" i="18"/>
  <c r="D3487" i="18"/>
  <c r="D3486" i="18"/>
  <c r="D3485" i="18"/>
  <c r="D3484" i="18"/>
  <c r="D3481" i="18"/>
  <c r="G348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c r="H3464" i="18" s="1"/>
  <c r="C3442" i="18"/>
  <c r="G3442" i="18" s="1"/>
  <c r="H3439" i="18"/>
  <c r="K3432" i="18" s="1"/>
  <c r="D3439" i="18"/>
  <c r="D3438" i="18"/>
  <c r="D3437" i="18"/>
  <c r="D3436" i="18"/>
  <c r="D3435" i="18"/>
  <c r="D3432" i="18"/>
  <c r="G3432" i="18"/>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D3409" i="18"/>
  <c r="G3409" i="18" s="1"/>
  <c r="C3408" i="18"/>
  <c r="G3408" i="18" s="1"/>
  <c r="J3405" i="18"/>
  <c r="I3405" i="18"/>
  <c r="N3394" i="18"/>
  <c r="H3405" i="18"/>
  <c r="K3394" i="18"/>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c r="D3357" i="18"/>
  <c r="D3356" i="18"/>
  <c r="D3355" i="18"/>
  <c r="D3354" i="18"/>
  <c r="D3353" i="18"/>
  <c r="D3352" i="18"/>
  <c r="D3349" i="18"/>
  <c r="G3349" i="18" s="1"/>
  <c r="H3347" i="18"/>
  <c r="K3339" i="18"/>
  <c r="D3347" i="18"/>
  <c r="D3346" i="18"/>
  <c r="D3345" i="18"/>
  <c r="D3344" i="18"/>
  <c r="D3343" i="18"/>
  <c r="D3342" i="18"/>
  <c r="D3339" i="18"/>
  <c r="G3339" i="18" s="1"/>
  <c r="H3337" i="18"/>
  <c r="K3329" i="18"/>
  <c r="D3337" i="18"/>
  <c r="D3336" i="18"/>
  <c r="D3335" i="18"/>
  <c r="D3334" i="18"/>
  <c r="D3333" i="18"/>
  <c r="D3332" i="18"/>
  <c r="D3329" i="18"/>
  <c r="G332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D3284" i="18"/>
  <c r="D3283" i="18"/>
  <c r="D3282" i="18"/>
  <c r="D3281" i="18"/>
  <c r="D3280" i="18"/>
  <c r="D3279" i="18"/>
  <c r="D3276" i="18"/>
  <c r="G3276" i="18" s="1"/>
  <c r="H3298" i="18" s="1"/>
  <c r="D3274" i="18"/>
  <c r="D3273" i="18"/>
  <c r="D3272" i="18"/>
  <c r="Q3269" i="18"/>
  <c r="D3269" i="18"/>
  <c r="G3269" i="18" s="1"/>
  <c r="K3267" i="18"/>
  <c r="J3267" i="18"/>
  <c r="I3267" i="18"/>
  <c r="K3256" i="18"/>
  <c r="H3267" i="18"/>
  <c r="D3267" i="18"/>
  <c r="D3266" i="18"/>
  <c r="D3265" i="18"/>
  <c r="D3264" i="18"/>
  <c r="D3263" i="18"/>
  <c r="D3262" i="18"/>
  <c r="D3261" i="18"/>
  <c r="D3256" i="18"/>
  <c r="G3256" i="18"/>
  <c r="K3254" i="18"/>
  <c r="N3240" i="18"/>
  <c r="J3254" i="18"/>
  <c r="I3254" i="18"/>
  <c r="H3254" i="18"/>
  <c r="Q3240" i="18" s="1"/>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c r="D2905" i="18"/>
  <c r="D2904" i="18"/>
  <c r="D2903" i="18"/>
  <c r="D2902" i="18"/>
  <c r="D2901" i="18"/>
  <c r="D2900" i="18"/>
  <c r="D2897" i="18"/>
  <c r="G2897" i="18"/>
  <c r="J2888" i="18"/>
  <c r="D2888" i="18"/>
  <c r="D2887" i="18"/>
  <c r="D2886" i="18"/>
  <c r="D2885" i="18"/>
  <c r="D2884" i="18"/>
  <c r="D2883" i="18"/>
  <c r="D2882" i="18"/>
  <c r="D2881" i="18"/>
  <c r="D2880" i="18"/>
  <c r="D2877" i="18"/>
  <c r="G2877" i="18"/>
  <c r="Q2862" i="18"/>
  <c r="G2874" i="18"/>
  <c r="D2874" i="18" s="1"/>
  <c r="G2873" i="18"/>
  <c r="D2873" i="18" s="1"/>
  <c r="G2872" i="18"/>
  <c r="D2872" i="18" s="1"/>
  <c r="G2871" i="18"/>
  <c r="D2871" i="18" s="1"/>
  <c r="G2870" i="18"/>
  <c r="D2870" i="18" s="1"/>
  <c r="G2869" i="18"/>
  <c r="D2869" i="18" s="1"/>
  <c r="G2868" i="18"/>
  <c r="D2868" i="18"/>
  <c r="G2867" i="18"/>
  <c r="D2867" i="18" s="1"/>
  <c r="G2866" i="18"/>
  <c r="D2866" i="18" s="1"/>
  <c r="G2865" i="18"/>
  <c r="D2862" i="18"/>
  <c r="G2862" i="18"/>
  <c r="D2847" i="18"/>
  <c r="G2847" i="18"/>
  <c r="L2845" i="18"/>
  <c r="I2891" i="18"/>
  <c r="K2845" i="18"/>
  <c r="I2845" i="18"/>
  <c r="H2891" i="18"/>
  <c r="H2845" i="18"/>
  <c r="L2862" i="18"/>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c r="H2890" i="18" s="1"/>
  <c r="C2829" i="18"/>
  <c r="G2829" i="18"/>
  <c r="D2821" i="18"/>
  <c r="G2821" i="18" s="1"/>
  <c r="C2820" i="18"/>
  <c r="G2820" i="18" s="1"/>
  <c r="I2818" i="18"/>
  <c r="N2810" i="18"/>
  <c r="H2818" i="18"/>
  <c r="K2810" i="18"/>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c r="D2759" i="18"/>
  <c r="D2758" i="18"/>
  <c r="D2757" i="18"/>
  <c r="D2756" i="18"/>
  <c r="D2755" i="18"/>
  <c r="D2754" i="18"/>
  <c r="D2753" i="18"/>
  <c r="D2752" i="18"/>
  <c r="D2751" i="18"/>
  <c r="N2748" i="18"/>
  <c r="D2748" i="18"/>
  <c r="G2748" i="18" s="1"/>
  <c r="H2746" i="18"/>
  <c r="K2733" i="18"/>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c r="D2648" i="18"/>
  <c r="G2648" i="18" s="1"/>
  <c r="C2647" i="18"/>
  <c r="G2647" i="18"/>
  <c r="D2639" i="18"/>
  <c r="G2639" i="18" s="1"/>
  <c r="C2638" i="18"/>
  <c r="G2638" i="18"/>
  <c r="D2636" i="18"/>
  <c r="D2635" i="18"/>
  <c r="D2634" i="18"/>
  <c r="D2633" i="18"/>
  <c r="D2632" i="18"/>
  <c r="D2631" i="18"/>
  <c r="D2628" i="18"/>
  <c r="G2628" i="18"/>
  <c r="H2626" i="18"/>
  <c r="Q2618" i="18"/>
  <c r="D2626" i="18"/>
  <c r="D2625" i="18"/>
  <c r="D2624" i="18"/>
  <c r="D2623" i="18"/>
  <c r="D2622" i="18"/>
  <c r="D2621" i="18"/>
  <c r="D2618" i="18"/>
  <c r="G2618" i="18" s="1"/>
  <c r="D2599" i="18"/>
  <c r="G2599" i="18" s="1"/>
  <c r="N2557" i="18"/>
  <c r="D2557" i="18"/>
  <c r="G2557" i="18" s="1"/>
  <c r="C2556" i="18"/>
  <c r="G2556" i="18"/>
  <c r="D2528" i="18"/>
  <c r="D2527" i="18"/>
  <c r="D2526" i="18"/>
  <c r="D2525" i="18"/>
  <c r="D2524" i="18"/>
  <c r="D2523" i="18"/>
  <c r="D2520" i="18"/>
  <c r="G2520" i="18" s="1"/>
  <c r="C2519" i="18"/>
  <c r="G2519" i="18"/>
  <c r="K2517" i="18"/>
  <c r="J2517" i="18"/>
  <c r="I2517" i="18"/>
  <c r="H2517" i="18"/>
  <c r="K2506" i="18"/>
  <c r="D2517" i="18"/>
  <c r="D2516" i="18"/>
  <c r="D2515" i="18"/>
  <c r="D2514" i="18"/>
  <c r="D2513" i="18"/>
  <c r="D2512" i="18"/>
  <c r="D2511" i="18"/>
  <c r="D2510" i="18"/>
  <c r="D2509" i="18"/>
  <c r="D2506" i="18"/>
  <c r="G2506" i="18"/>
  <c r="H2504" i="18"/>
  <c r="K2497" i="18" s="1"/>
  <c r="D2504" i="18"/>
  <c r="D2503" i="18"/>
  <c r="D2502" i="18"/>
  <c r="D2501" i="18"/>
  <c r="D2500" i="18"/>
  <c r="D2497" i="18"/>
  <c r="G2497" i="18" s="1"/>
  <c r="C2496" i="18"/>
  <c r="G2496" i="18" s="1"/>
  <c r="D2463" i="18"/>
  <c r="G2463" i="18" s="1"/>
  <c r="H2424" i="18" s="1"/>
  <c r="C2411" i="18"/>
  <c r="G2411" i="18" s="1"/>
  <c r="J2409" i="18"/>
  <c r="Q2401" i="18"/>
  <c r="D2409" i="18"/>
  <c r="D2408" i="18"/>
  <c r="D2407" i="18"/>
  <c r="D2406" i="18"/>
  <c r="D2405" i="18"/>
  <c r="D2404" i="18"/>
  <c r="D2401" i="18"/>
  <c r="G2401" i="18" s="1"/>
  <c r="J2376" i="18"/>
  <c r="I2376" i="18"/>
  <c r="K2368" i="18"/>
  <c r="D2376" i="18"/>
  <c r="D2375" i="18"/>
  <c r="D2374" i="18"/>
  <c r="D2373" i="18"/>
  <c r="D2372" i="18"/>
  <c r="D2371" i="18"/>
  <c r="D2368" i="18"/>
  <c r="G2368" i="18" s="1"/>
  <c r="I2399" i="18"/>
  <c r="N2391" i="18"/>
  <c r="H2399" i="18"/>
  <c r="K2391" i="18"/>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c r="H2306" i="18"/>
  <c r="H2310" i="18"/>
  <c r="D2306" i="18"/>
  <c r="D2305" i="18"/>
  <c r="D2304" i="18"/>
  <c r="D2303" i="18"/>
  <c r="D2302" i="18"/>
  <c r="D2301" i="18"/>
  <c r="D2300" i="18"/>
  <c r="D2299" i="18"/>
  <c r="D2298" i="18"/>
  <c r="D2293" i="18"/>
  <c r="G2293" i="18" s="1"/>
  <c r="J2284" i="18"/>
  <c r="J2288" i="18"/>
  <c r="I2284" i="18"/>
  <c r="H2284" i="18"/>
  <c r="D2284" i="18"/>
  <c r="D2283" i="18"/>
  <c r="D2282" i="18"/>
  <c r="D2281" i="18"/>
  <c r="D2280" i="18"/>
  <c r="D2279" i="18"/>
  <c r="D2278" i="18"/>
  <c r="D2273" i="18"/>
  <c r="G2273" i="18"/>
  <c r="H2308" i="18" s="1"/>
  <c r="I2328" i="18"/>
  <c r="H2328" i="18"/>
  <c r="K2315" i="18"/>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286" i="18" s="1"/>
  <c r="C2201" i="18"/>
  <c r="G2201" i="18" s="1"/>
  <c r="H2189" i="18"/>
  <c r="Q2181" i="18"/>
  <c r="D2189" i="18"/>
  <c r="D2188" i="18"/>
  <c r="D2187" i="18"/>
  <c r="D2186" i="18"/>
  <c r="D2185" i="18"/>
  <c r="D2184" i="18"/>
  <c r="D2181" i="18"/>
  <c r="G2181" i="18"/>
  <c r="H2179" i="18"/>
  <c r="Q2171" i="18"/>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c r="D2090" i="18"/>
  <c r="D2089" i="18"/>
  <c r="D2088" i="18"/>
  <c r="D2087" i="18"/>
  <c r="D2086" i="18"/>
  <c r="D2085" i="18"/>
  <c r="D2084" i="18"/>
  <c r="D2083" i="18"/>
  <c r="D2082" i="18"/>
  <c r="D2079" i="18"/>
  <c r="G2079" i="18" s="1"/>
  <c r="J2154" i="18"/>
  <c r="I2154" i="18"/>
  <c r="H2154" i="18"/>
  <c r="K2137" i="18"/>
  <c r="D2153" i="18"/>
  <c r="D2137" i="18"/>
  <c r="G2137" i="18" s="1"/>
  <c r="D2063" i="18"/>
  <c r="G2063" i="18"/>
  <c r="H2130" i="18" s="1"/>
  <c r="H2061" i="18"/>
  <c r="K2048" i="18"/>
  <c r="D2061" i="18"/>
  <c r="D2060" i="18"/>
  <c r="D2059" i="18"/>
  <c r="D2058" i="18"/>
  <c r="D2057" i="18"/>
  <c r="D2056" i="18"/>
  <c r="D2055" i="18"/>
  <c r="D2054" i="18"/>
  <c r="D2053" i="18"/>
  <c r="N2048" i="18"/>
  <c r="D2048" i="18"/>
  <c r="G2048" i="18" s="1"/>
  <c r="D2046" i="18"/>
  <c r="D2045" i="18"/>
  <c r="P2044" i="18"/>
  <c r="P2046" i="18"/>
  <c r="O2044" i="18"/>
  <c r="O2046" i="18"/>
  <c r="N2044" i="18"/>
  <c r="N2046" i="18"/>
  <c r="M2044" i="18"/>
  <c r="L2044" i="18"/>
  <c r="L2046" i="18"/>
  <c r="K2044" i="18"/>
  <c r="K2046" i="18"/>
  <c r="J2044" i="18"/>
  <c r="J2046" i="18" s="1"/>
  <c r="I2044" i="18"/>
  <c r="I2046" i="18"/>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c r="C1946" i="18"/>
  <c r="G1946" i="18" s="1"/>
  <c r="N1908" i="18"/>
  <c r="D1908" i="18"/>
  <c r="G1908" i="18"/>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c r="D1927" i="18"/>
  <c r="G1927" i="18" s="1"/>
  <c r="N1853" i="18"/>
  <c r="D1853" i="18"/>
  <c r="G1853" i="18" s="1"/>
  <c r="N1838" i="18"/>
  <c r="H1851" i="18"/>
  <c r="K1838" i="18"/>
  <c r="D1851" i="18"/>
  <c r="D1850" i="18"/>
  <c r="D1849" i="18"/>
  <c r="D1848" i="18"/>
  <c r="D1847" i="18"/>
  <c r="D1846" i="18"/>
  <c r="D1845" i="18"/>
  <c r="D1844" i="18"/>
  <c r="D1843" i="18"/>
  <c r="D1838" i="18"/>
  <c r="G1838" i="18" s="1"/>
  <c r="D1836" i="18"/>
  <c r="D1835" i="18"/>
  <c r="I1834" i="18"/>
  <c r="I1836" i="18"/>
  <c r="H1834" i="18"/>
  <c r="H1836" i="18"/>
  <c r="D1834" i="18"/>
  <c r="D1833" i="18"/>
  <c r="D1832" i="18"/>
  <c r="D1831" i="18"/>
  <c r="D1830" i="18"/>
  <c r="D1829" i="18"/>
  <c r="D1828" i="18"/>
  <c r="D1823" i="18"/>
  <c r="G1823" i="18" s="1"/>
  <c r="C1822" i="18"/>
  <c r="G1822" i="18" s="1"/>
  <c r="D1820" i="18"/>
  <c r="D1819" i="18"/>
  <c r="D1818" i="18"/>
  <c r="D1817" i="18"/>
  <c r="D1816" i="18"/>
  <c r="D1815" i="18"/>
  <c r="D1812" i="18"/>
  <c r="G1812" i="18" s="1"/>
  <c r="C1811" i="18"/>
  <c r="G1811" i="18" s="1"/>
  <c r="D1809" i="18"/>
  <c r="D1808" i="18"/>
  <c r="D1807" i="18"/>
  <c r="D1806" i="18"/>
  <c r="D1805" i="18"/>
  <c r="D1804" i="18"/>
  <c r="D1799" i="18"/>
  <c r="G1799" i="18" s="1"/>
  <c r="D1797" i="18"/>
  <c r="D1796" i="18"/>
  <c r="D1795" i="18"/>
  <c r="D1794" i="18"/>
  <c r="D1793" i="18"/>
  <c r="D1790" i="18"/>
  <c r="G1790" i="18" s="1"/>
  <c r="C1789" i="18"/>
  <c r="G1789" i="18"/>
  <c r="K1787" i="18"/>
  <c r="J1787" i="18"/>
  <c r="I1787" i="18"/>
  <c r="H1787" i="18"/>
  <c r="N1774" i="18"/>
  <c r="D1787" i="18"/>
  <c r="L1786" i="18"/>
  <c r="D1786" i="18"/>
  <c r="L1785" i="18"/>
  <c r="D1785" i="18"/>
  <c r="L1784" i="18"/>
  <c r="D1784" i="18"/>
  <c r="L1783" i="18"/>
  <c r="D1783" i="18"/>
  <c r="L1782" i="18"/>
  <c r="D1782" i="18"/>
  <c r="L1781" i="18"/>
  <c r="D1781" i="18"/>
  <c r="L1780" i="18"/>
  <c r="D1780" i="18"/>
  <c r="L1779" i="18"/>
  <c r="D1779" i="18"/>
  <c r="D1774" i="18"/>
  <c r="G1774" i="18"/>
  <c r="J1772" i="18"/>
  <c r="D1772" i="18"/>
  <c r="D1771" i="18"/>
  <c r="D1770" i="18"/>
  <c r="D1769" i="18"/>
  <c r="D1768" i="18"/>
  <c r="D1767" i="18"/>
  <c r="D1764" i="18"/>
  <c r="G1764" i="18"/>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c r="J1724" i="18"/>
  <c r="I1724" i="18"/>
  <c r="H1724" i="18"/>
  <c r="D1724" i="18"/>
  <c r="K1723" i="18"/>
  <c r="D1723" i="18"/>
  <c r="K1722" i="18"/>
  <c r="D1722" i="18"/>
  <c r="K1721" i="18"/>
  <c r="D1721" i="18"/>
  <c r="K1720" i="18"/>
  <c r="D1720" i="18"/>
  <c r="K1719" i="18"/>
  <c r="D1719" i="18"/>
  <c r="D1716" i="18"/>
  <c r="G1716" i="18"/>
  <c r="M1707" i="18"/>
  <c r="M1711" i="18"/>
  <c r="K1707" i="18"/>
  <c r="J1707" i="18"/>
  <c r="I1707" i="18"/>
  <c r="I1711" i="18"/>
  <c r="D1707" i="18"/>
  <c r="L1706" i="18"/>
  <c r="D1706" i="18"/>
  <c r="L1705" i="18"/>
  <c r="D1705" i="18"/>
  <c r="L1704" i="18"/>
  <c r="D1704" i="18"/>
  <c r="L1703" i="18"/>
  <c r="D1703" i="18"/>
  <c r="L1702" i="18"/>
  <c r="D1702" i="18"/>
  <c r="D1699" i="18"/>
  <c r="G1699" i="18" s="1"/>
  <c r="M1690" i="18"/>
  <c r="M1694" i="18"/>
  <c r="L1690" i="18"/>
  <c r="L1694" i="18"/>
  <c r="K1690" i="18"/>
  <c r="K1694" i="18"/>
  <c r="J1690" i="18"/>
  <c r="D1690" i="18"/>
  <c r="D1689" i="18"/>
  <c r="D1688" i="18"/>
  <c r="D1687" i="18"/>
  <c r="D1686" i="18"/>
  <c r="D1685" i="18"/>
  <c r="D1682" i="18"/>
  <c r="G1682" i="18" s="1"/>
  <c r="H1663" i="18"/>
  <c r="Q1655" i="18"/>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c r="H1709" i="18" s="1"/>
  <c r="C1616" i="18"/>
  <c r="G1616" i="18" s="1"/>
  <c r="K1605" i="18"/>
  <c r="J1605" i="18"/>
  <c r="I1605" i="18"/>
  <c r="H1605" i="18"/>
  <c r="D1605" i="18"/>
  <c r="D1604" i="18"/>
  <c r="D1603" i="18"/>
  <c r="D1602" i="18"/>
  <c r="D1601" i="18"/>
  <c r="D1600" i="18"/>
  <c r="D1597" i="18"/>
  <c r="G1597" i="18" s="1"/>
  <c r="J1595" i="18"/>
  <c r="K1587" i="18"/>
  <c r="D1595" i="18"/>
  <c r="D1594" i="18"/>
  <c r="D1593" i="18"/>
  <c r="D1592" i="18"/>
  <c r="D1591" i="18"/>
  <c r="D1590" i="18"/>
  <c r="D1587" i="18"/>
  <c r="G1587" i="18" s="1"/>
  <c r="J1585" i="18"/>
  <c r="I1585" i="18"/>
  <c r="Q1577" i="18"/>
  <c r="D1585" i="18"/>
  <c r="D1584" i="18"/>
  <c r="D1583" i="18"/>
  <c r="D1582" i="18"/>
  <c r="D1581" i="18"/>
  <c r="D1580" i="18"/>
  <c r="K1577" i="18"/>
  <c r="D1577" i="18"/>
  <c r="G1577" i="18" s="1"/>
  <c r="J1575" i="18"/>
  <c r="I1575" i="18"/>
  <c r="K1567" i="18"/>
  <c r="D1575" i="18"/>
  <c r="D1574" i="18"/>
  <c r="D1573" i="18"/>
  <c r="D1572" i="18"/>
  <c r="D1571" i="18"/>
  <c r="D1570" i="18"/>
  <c r="O1567" i="18"/>
  <c r="D1567" i="18"/>
  <c r="G1567" i="18" s="1"/>
  <c r="D1565" i="18"/>
  <c r="D1564" i="18"/>
  <c r="D1563" i="18"/>
  <c r="D1562" i="18"/>
  <c r="D1561" i="18"/>
  <c r="D1560" i="18"/>
  <c r="O1557" i="18"/>
  <c r="D1557" i="18"/>
  <c r="G1557" i="18"/>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c r="D1535" i="18"/>
  <c r="D1534" i="18"/>
  <c r="D1533" i="18"/>
  <c r="D1532" i="18"/>
  <c r="D1531" i="18"/>
  <c r="D1530" i="18"/>
  <c r="O1527" i="18"/>
  <c r="D1527" i="18"/>
  <c r="G1527" i="18"/>
  <c r="H1525" i="18"/>
  <c r="K1520" i="18"/>
  <c r="D1525" i="18"/>
  <c r="D1524" i="18"/>
  <c r="D1523" i="18"/>
  <c r="N1520" i="18"/>
  <c r="D1520" i="18"/>
  <c r="G1520" i="18"/>
  <c r="H1518" i="18"/>
  <c r="Q1510" i="18"/>
  <c r="D1518" i="18"/>
  <c r="D1517" i="18"/>
  <c r="D1516" i="18"/>
  <c r="D1515" i="18"/>
  <c r="D1514" i="18"/>
  <c r="D1513" i="18"/>
  <c r="D1510" i="18"/>
  <c r="G1510" i="18" s="1"/>
  <c r="M1614" i="18"/>
  <c r="K1607" i="18"/>
  <c r="L1614" i="18"/>
  <c r="K1614" i="18"/>
  <c r="J1614" i="18"/>
  <c r="I1614" i="18"/>
  <c r="H1614" i="18"/>
  <c r="N1607" i="18"/>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c r="J1440" i="18"/>
  <c r="J1444" i="18"/>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c r="H1356" i="18"/>
  <c r="H1363" i="18"/>
  <c r="D1348" i="18"/>
  <c r="G1348" i="18"/>
  <c r="I1339" i="18"/>
  <c r="I1343" i="18"/>
  <c r="H1339" i="18"/>
  <c r="H1343" i="18"/>
  <c r="D1339" i="18"/>
  <c r="D1338" i="18"/>
  <c r="D1337" i="18"/>
  <c r="D1336" i="18"/>
  <c r="D1335" i="18"/>
  <c r="D1334" i="18"/>
  <c r="D1333" i="18"/>
  <c r="D1332" i="18"/>
  <c r="D1331" i="18"/>
  <c r="D1326" i="18"/>
  <c r="G1326" i="18" s="1"/>
  <c r="K1116" i="18"/>
  <c r="D1116" i="18"/>
  <c r="G1116" i="18" s="1"/>
  <c r="I1419" i="18"/>
  <c r="I1423" i="18"/>
  <c r="H1419" i="18"/>
  <c r="H1423" i="18"/>
  <c r="D1419" i="18"/>
  <c r="J1418" i="18"/>
  <c r="D1418" i="18"/>
  <c r="J1417" i="18"/>
  <c r="D1417" i="18"/>
  <c r="J1416" i="18"/>
  <c r="D1416" i="18"/>
  <c r="J1415" i="18"/>
  <c r="D1415" i="18"/>
  <c r="J1414" i="18"/>
  <c r="D1414" i="18"/>
  <c r="D1409" i="18"/>
  <c r="G1409" i="18" s="1"/>
  <c r="J1317" i="18"/>
  <c r="J1321" i="18"/>
  <c r="I1317" i="18"/>
  <c r="H1317" i="18"/>
  <c r="H1321" i="18"/>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c r="J1404" i="18"/>
  <c r="H1397" i="18"/>
  <c r="H1400" i="18"/>
  <c r="H1404" i="18"/>
  <c r="D1397" i="18"/>
  <c r="L1396" i="18"/>
  <c r="K1396" i="18"/>
  <c r="D1396" i="18"/>
  <c r="L1395" i="18"/>
  <c r="K1395" i="18"/>
  <c r="D1395" i="18"/>
  <c r="L1394" i="18"/>
  <c r="K1394" i="18"/>
  <c r="D1394" i="18"/>
  <c r="D1393" i="18"/>
  <c r="L1392" i="18"/>
  <c r="K1392" i="18"/>
  <c r="D1392" i="18"/>
  <c r="D1387" i="18"/>
  <c r="G1387" i="18"/>
  <c r="D1378" i="18"/>
  <c r="L1377" i="18"/>
  <c r="K1377" i="18"/>
  <c r="D1377" i="18"/>
  <c r="L1376" i="18"/>
  <c r="K1376" i="18"/>
  <c r="D1376" i="18"/>
  <c r="J1375" i="18"/>
  <c r="J1378" i="18"/>
  <c r="J1382" i="18"/>
  <c r="H1375" i="18"/>
  <c r="H1378" i="18"/>
  <c r="H1382" i="18"/>
  <c r="D1375" i="18"/>
  <c r="L1374" i="18"/>
  <c r="K1374" i="18"/>
  <c r="D1374" i="18"/>
  <c r="L1373" i="18"/>
  <c r="K1373" i="18"/>
  <c r="D1373" i="18"/>
  <c r="L1372" i="18"/>
  <c r="K1372" i="18"/>
  <c r="D1372" i="18"/>
  <c r="D1371" i="18"/>
  <c r="L1370" i="18"/>
  <c r="K1370" i="18"/>
  <c r="D1370" i="18"/>
  <c r="D1365" i="18"/>
  <c r="G1365" i="18" s="1"/>
  <c r="I1023" i="18"/>
  <c r="H1023" i="18"/>
  <c r="H1025" i="18"/>
  <c r="D1013" i="18"/>
  <c r="G1013" i="18" s="1"/>
  <c r="I995" i="18"/>
  <c r="H995" i="18"/>
  <c r="H1002" i="18" s="1"/>
  <c r="H1004" i="18" s="1"/>
  <c r="D988" i="18"/>
  <c r="G988" i="18" s="1"/>
  <c r="H1484" i="18" s="1"/>
  <c r="C987" i="18"/>
  <c r="G987" i="18"/>
  <c r="H985" i="18"/>
  <c r="K977" i="18" s="1"/>
  <c r="D977" i="18"/>
  <c r="G977" i="18"/>
  <c r="D975" i="18"/>
  <c r="D974" i="18"/>
  <c r="I973" i="18"/>
  <c r="H973" i="18"/>
  <c r="D973" i="18"/>
  <c r="D972" i="18"/>
  <c r="D971" i="18"/>
  <c r="D970" i="18"/>
  <c r="D967" i="18"/>
  <c r="G967" i="18" s="1"/>
  <c r="C966" i="18"/>
  <c r="G966" i="18" s="1"/>
  <c r="D964" i="18"/>
  <c r="D963" i="18"/>
  <c r="D962" i="18"/>
  <c r="D961" i="18"/>
  <c r="D960" i="18"/>
  <c r="D959" i="18"/>
  <c r="D956" i="18"/>
  <c r="G956" i="18" s="1"/>
  <c r="D954" i="18"/>
  <c r="D953" i="18"/>
  <c r="I952" i="18"/>
  <c r="H952" i="18"/>
  <c r="D952" i="18"/>
  <c r="D951" i="18"/>
  <c r="D950" i="18"/>
  <c r="D949" i="18"/>
  <c r="D948" i="18"/>
  <c r="D947" i="18"/>
  <c r="D944" i="18"/>
  <c r="G944" i="18" s="1"/>
  <c r="C943" i="18"/>
  <c r="G943" i="18"/>
  <c r="D934" i="18"/>
  <c r="G934" i="18" s="1"/>
  <c r="C933" i="18"/>
  <c r="G933" i="18" s="1"/>
  <c r="I908" i="18"/>
  <c r="N900" i="18"/>
  <c r="H908" i="18"/>
  <c r="K900" i="18"/>
  <c r="D908" i="18"/>
  <c r="D907" i="18"/>
  <c r="D906" i="18"/>
  <c r="D905" i="18"/>
  <c r="D904" i="18"/>
  <c r="D903" i="18"/>
  <c r="D900" i="18"/>
  <c r="G900" i="18" s="1"/>
  <c r="I918" i="18"/>
  <c r="N910" i="18"/>
  <c r="H918" i="18"/>
  <c r="K910" i="18"/>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c r="H898" i="18"/>
  <c r="K890" i="18"/>
  <c r="D898" i="18"/>
  <c r="D897" i="18"/>
  <c r="D896" i="18"/>
  <c r="D895" i="18"/>
  <c r="D894" i="18"/>
  <c r="D893" i="18"/>
  <c r="D890" i="18"/>
  <c r="G890" i="18" s="1"/>
  <c r="J869" i="18"/>
  <c r="K866" i="18"/>
  <c r="H869" i="18"/>
  <c r="I867" i="18"/>
  <c r="D869" i="18"/>
  <c r="D868" i="18"/>
  <c r="D867" i="18"/>
  <c r="D866" i="18"/>
  <c r="D865" i="18"/>
  <c r="D864" i="18"/>
  <c r="D859" i="18"/>
  <c r="G859" i="18" s="1"/>
  <c r="C858" i="18"/>
  <c r="G858" i="18"/>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D704" i="18"/>
  <c r="D703" i="18"/>
  <c r="D702" i="18"/>
  <c r="D701" i="18"/>
  <c r="D698" i="18"/>
  <c r="G698" i="18" s="1"/>
  <c r="C697" i="18"/>
  <c r="G697" i="18"/>
  <c r="K686" i="18"/>
  <c r="J686" i="18"/>
  <c r="I686" i="18"/>
  <c r="H686" i="18"/>
  <c r="D686" i="18"/>
  <c r="D685" i="18"/>
  <c r="D684" i="18"/>
  <c r="D683" i="18"/>
  <c r="D682" i="18"/>
  <c r="D681" i="18"/>
  <c r="D678" i="18"/>
  <c r="G678" i="18"/>
  <c r="J676" i="18"/>
  <c r="K668" i="18"/>
  <c r="D676" i="18"/>
  <c r="D675" i="18"/>
  <c r="D674" i="18"/>
  <c r="D673" i="18"/>
  <c r="D672" i="18"/>
  <c r="D671" i="18"/>
  <c r="D668" i="18"/>
  <c r="G668" i="18" s="1"/>
  <c r="D666" i="18"/>
  <c r="D665" i="18"/>
  <c r="D664" i="18"/>
  <c r="D663" i="18"/>
  <c r="D662" i="18"/>
  <c r="D661" i="18"/>
  <c r="D658" i="18"/>
  <c r="G658" i="18" s="1"/>
  <c r="J656" i="18"/>
  <c r="I656" i="18"/>
  <c r="K648" i="18"/>
  <c r="D656" i="18"/>
  <c r="D655" i="18"/>
  <c r="D654" i="18"/>
  <c r="D653" i="18"/>
  <c r="D652" i="18"/>
  <c r="D651" i="18"/>
  <c r="O648" i="18"/>
  <c r="D648" i="18"/>
  <c r="G648" i="18" s="1"/>
  <c r="J645" i="18"/>
  <c r="H645" i="18"/>
  <c r="J638" i="18"/>
  <c r="H638" i="18"/>
  <c r="O629" i="18"/>
  <c r="D629" i="18"/>
  <c r="G629" i="18" s="1"/>
  <c r="I626" i="18"/>
  <c r="K618" i="18"/>
  <c r="D626" i="18"/>
  <c r="D625" i="18"/>
  <c r="D624" i="18"/>
  <c r="D623" i="18"/>
  <c r="D622" i="18"/>
  <c r="D621" i="18"/>
  <c r="O618" i="18"/>
  <c r="D618" i="18"/>
  <c r="G618" i="18" s="1"/>
  <c r="D611" i="18"/>
  <c r="G611" i="18" s="1"/>
  <c r="H609" i="18"/>
  <c r="Q601" i="18"/>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c r="I543" i="18"/>
  <c r="I550" i="18"/>
  <c r="I554" i="18"/>
  <c r="H543" i="18"/>
  <c r="H550" i="18"/>
  <c r="H554" i="18"/>
  <c r="N535" i="18"/>
  <c r="D535" i="18"/>
  <c r="G535" i="18" s="1"/>
  <c r="I526" i="18"/>
  <c r="I530" i="18"/>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c r="H510" i="18"/>
  <c r="H513" i="18"/>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c r="H495" i="18"/>
  <c r="H498" i="18"/>
  <c r="D495" i="18"/>
  <c r="L494" i="18"/>
  <c r="K494" i="18"/>
  <c r="D494" i="18"/>
  <c r="L493" i="18"/>
  <c r="K493" i="18"/>
  <c r="D493" i="18"/>
  <c r="L492" i="18"/>
  <c r="D492" i="18"/>
  <c r="D491" i="18"/>
  <c r="L490" i="18"/>
  <c r="K490" i="18"/>
  <c r="D490" i="18"/>
  <c r="D485" i="18"/>
  <c r="G485" i="18" s="1"/>
  <c r="I413" i="18"/>
  <c r="H413" i="18"/>
  <c r="K400" i="18"/>
  <c r="D413" i="18"/>
  <c r="D412" i="18"/>
  <c r="D411" i="18"/>
  <c r="D410" i="18"/>
  <c r="D409" i="18"/>
  <c r="D408" i="18"/>
  <c r="D407" i="18"/>
  <c r="D406" i="18"/>
  <c r="D405" i="18"/>
  <c r="D400" i="18"/>
  <c r="G400" i="18" s="1"/>
  <c r="I391" i="18"/>
  <c r="I395" i="18"/>
  <c r="H391" i="18"/>
  <c r="K378" i="18" s="1"/>
  <c r="D391" i="18"/>
  <c r="D390" i="18"/>
  <c r="D389" i="18"/>
  <c r="D388" i="18"/>
  <c r="D387" i="18"/>
  <c r="D386" i="18"/>
  <c r="D385" i="18"/>
  <c r="D384" i="18"/>
  <c r="D383" i="18"/>
  <c r="D378" i="18"/>
  <c r="G378" i="18" s="1"/>
  <c r="I369" i="18"/>
  <c r="I373" i="18"/>
  <c r="H369" i="18"/>
  <c r="D369" i="18"/>
  <c r="D368" i="18"/>
  <c r="D367" i="18"/>
  <c r="D366" i="18"/>
  <c r="D365" i="18"/>
  <c r="D364" i="18"/>
  <c r="D363" i="18"/>
  <c r="D362" i="18"/>
  <c r="D361" i="18"/>
  <c r="D356" i="18"/>
  <c r="G356" i="18" s="1"/>
  <c r="J439" i="18"/>
  <c r="J443" i="18"/>
  <c r="H439" i="18"/>
  <c r="H443" i="18"/>
  <c r="D439" i="18"/>
  <c r="D438" i="18"/>
  <c r="D437" i="18"/>
  <c r="D436" i="18"/>
  <c r="D435" i="18"/>
  <c r="D430" i="18"/>
  <c r="G430" i="18" s="1"/>
  <c r="H461" i="18" s="1"/>
  <c r="J347" i="18"/>
  <c r="J351" i="18"/>
  <c r="H347" i="18"/>
  <c r="H351" i="18"/>
  <c r="D347" i="18"/>
  <c r="D346" i="18"/>
  <c r="D345" i="18"/>
  <c r="D344" i="18"/>
  <c r="D343" i="18"/>
  <c r="D342" i="18"/>
  <c r="D341" i="18"/>
  <c r="D340" i="18"/>
  <c r="D339" i="18"/>
  <c r="D334" i="18"/>
  <c r="G334" i="18" s="1"/>
  <c r="H393" i="18" s="1"/>
  <c r="I323" i="18"/>
  <c r="H323" i="18"/>
  <c r="D317" i="18"/>
  <c r="G317" i="18" s="1"/>
  <c r="C316" i="18"/>
  <c r="G316" i="18"/>
  <c r="I304" i="18"/>
  <c r="K293" i="18"/>
  <c r="D304" i="18"/>
  <c r="D303" i="18"/>
  <c r="D302" i="18"/>
  <c r="D301" i="18"/>
  <c r="D300" i="18"/>
  <c r="D299" i="18"/>
  <c r="D298" i="18"/>
  <c r="D297" i="18"/>
  <c r="D296" i="18"/>
  <c r="D293" i="18"/>
  <c r="G293" i="18" s="1"/>
  <c r="H291" i="18"/>
  <c r="K286" i="18"/>
  <c r="D291" i="18"/>
  <c r="D290" i="18"/>
  <c r="D289" i="18"/>
  <c r="D286" i="18"/>
  <c r="G286" i="18"/>
  <c r="H284" i="18"/>
  <c r="K273" i="18"/>
  <c r="D284" i="18"/>
  <c r="D283" i="18"/>
  <c r="D282" i="18"/>
  <c r="D281" i="18"/>
  <c r="D280" i="18"/>
  <c r="D279" i="18"/>
  <c r="D278" i="18"/>
  <c r="D277" i="18"/>
  <c r="D276" i="18"/>
  <c r="D273" i="18"/>
  <c r="G273" i="18" s="1"/>
  <c r="M264" i="18"/>
  <c r="L264" i="18"/>
  <c r="K251" i="18"/>
  <c r="K264" i="18"/>
  <c r="I264" i="18"/>
  <c r="H264" i="18"/>
  <c r="D264" i="18"/>
  <c r="D263" i="18"/>
  <c r="D262" i="18"/>
  <c r="D261" i="18"/>
  <c r="D260" i="18"/>
  <c r="D259" i="18"/>
  <c r="D258" i="18"/>
  <c r="D257" i="18"/>
  <c r="D256" i="18"/>
  <c r="D251" i="18"/>
  <c r="G251" i="18" s="1"/>
  <c r="I227" i="18"/>
  <c r="I231" i="18"/>
  <c r="H227" i="18"/>
  <c r="D227" i="18"/>
  <c r="D226" i="18"/>
  <c r="D225" i="18"/>
  <c r="D224" i="18"/>
  <c r="D223" i="18"/>
  <c r="D222" i="18"/>
  <c r="D221" i="18"/>
  <c r="D220" i="18"/>
  <c r="D219" i="18"/>
  <c r="D214" i="18"/>
  <c r="G214" i="18" s="1"/>
  <c r="I205" i="18"/>
  <c r="I209" i="18"/>
  <c r="H205" i="18"/>
  <c r="D205" i="18"/>
  <c r="D204" i="18"/>
  <c r="D203" i="18"/>
  <c r="D202" i="18"/>
  <c r="D201" i="18"/>
  <c r="D200" i="18"/>
  <c r="D199" i="18"/>
  <c r="D198" i="18"/>
  <c r="D197" i="18"/>
  <c r="D192" i="18"/>
  <c r="G192" i="18" s="1"/>
  <c r="I183" i="18"/>
  <c r="D170" i="18"/>
  <c r="G170" i="18" s="1"/>
  <c r="H168" i="18"/>
  <c r="Q160" i="18"/>
  <c r="D168" i="18"/>
  <c r="D167" i="18"/>
  <c r="D166" i="18"/>
  <c r="D165" i="18"/>
  <c r="D164" i="18"/>
  <c r="D163" i="18"/>
  <c r="D160" i="18"/>
  <c r="G160" i="18" s="1"/>
  <c r="I157" i="18"/>
  <c r="I158" i="18"/>
  <c r="H157" i="18"/>
  <c r="H158" i="18"/>
  <c r="D146" i="18"/>
  <c r="G146" i="18" s="1"/>
  <c r="H144" i="18"/>
  <c r="K138" i="18"/>
  <c r="D144" i="18"/>
  <c r="D143" i="18"/>
  <c r="D142" i="18"/>
  <c r="D141" i="18"/>
  <c r="D138" i="18"/>
  <c r="G138" i="18" s="1"/>
  <c r="H136" i="18"/>
  <c r="K130" i="18" s="1"/>
  <c r="D136" i="18"/>
  <c r="D135" i="18"/>
  <c r="D134" i="18"/>
  <c r="D133" i="18"/>
  <c r="D130" i="18"/>
  <c r="G130" i="18" s="1"/>
  <c r="D120" i="18"/>
  <c r="G120" i="18" s="1"/>
  <c r="C119" i="18"/>
  <c r="G11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D26" i="18"/>
  <c r="D25" i="18"/>
  <c r="D20" i="18"/>
  <c r="G20" i="18"/>
  <c r="D10" i="18"/>
  <c r="G10" i="18" s="1"/>
  <c r="C9" i="18"/>
  <c r="G9" i="18"/>
  <c r="N4" i="18"/>
  <c r="L4" i="18"/>
  <c r="H4" i="18"/>
  <c r="N3" i="18"/>
  <c r="L3" i="18"/>
  <c r="H2" i="18"/>
  <c r="P40" i="12"/>
  <c r="O40" i="12"/>
  <c r="AD38" i="12"/>
  <c r="AC38" i="12"/>
  <c r="J38" i="12"/>
  <c r="G38" i="12"/>
  <c r="E38" i="12"/>
  <c r="D38" i="12"/>
  <c r="C38" i="12"/>
  <c r="AD37" i="12"/>
  <c r="AC37" i="12"/>
  <c r="J37" i="12"/>
  <c r="G37" i="12"/>
  <c r="E37" i="12"/>
  <c r="D37" i="12"/>
  <c r="C37" i="12"/>
  <c r="AD36" i="12"/>
  <c r="AC36" i="12"/>
  <c r="J36" i="12"/>
  <c r="E36" i="12"/>
  <c r="C36" i="12"/>
  <c r="Q36" i="12"/>
  <c r="AD35" i="12"/>
  <c r="AC35" i="12"/>
  <c r="J35" i="12"/>
  <c r="G35" i="12"/>
  <c r="E35" i="12"/>
  <c r="D35" i="12"/>
  <c r="C35" i="12"/>
  <c r="R35" i="12"/>
  <c r="AD34" i="12"/>
  <c r="AC34" i="12"/>
  <c r="J34" i="12"/>
  <c r="E34" i="12"/>
  <c r="C34" i="12"/>
  <c r="Q34" i="12"/>
  <c r="AD33" i="12"/>
  <c r="AC33" i="12"/>
  <c r="J33" i="12"/>
  <c r="G33" i="12"/>
  <c r="E33" i="12"/>
  <c r="C33" i="12"/>
  <c r="AD32" i="12"/>
  <c r="AC32" i="12"/>
  <c r="J32" i="12"/>
  <c r="D32" i="12"/>
  <c r="E32" i="12"/>
  <c r="C32" i="12"/>
  <c r="R32" i="12"/>
  <c r="AD31" i="12"/>
  <c r="AC31" i="12"/>
  <c r="J31" i="12"/>
  <c r="G31" i="12"/>
  <c r="E31" i="12"/>
  <c r="C31" i="12"/>
  <c r="R31" i="12"/>
  <c r="AD30" i="12"/>
  <c r="AC30" i="12"/>
  <c r="J30" i="12"/>
  <c r="D30" i="12"/>
  <c r="E30" i="12"/>
  <c r="C30" i="12"/>
  <c r="Q30" i="12" s="1"/>
  <c r="AE30" i="12" s="1"/>
  <c r="AD29" i="12"/>
  <c r="AC29" i="12"/>
  <c r="J29" i="12"/>
  <c r="G29" i="12"/>
  <c r="E29" i="12"/>
  <c r="C29" i="12"/>
  <c r="AD28" i="12"/>
  <c r="AC28" i="12"/>
  <c r="J28" i="12"/>
  <c r="D28" i="12"/>
  <c r="G28" i="12"/>
  <c r="E28" i="12"/>
  <c r="C28" i="12"/>
  <c r="Q28" i="12"/>
  <c r="AE28" i="12" s="1"/>
  <c r="AD27" i="12"/>
  <c r="AC27" i="12"/>
  <c r="J27" i="12"/>
  <c r="G27" i="12"/>
  <c r="E27" i="12"/>
  <c r="C27" i="12"/>
  <c r="R27" i="12"/>
  <c r="AD26" i="12"/>
  <c r="AC26" i="12"/>
  <c r="J26" i="12"/>
  <c r="D26" i="12"/>
  <c r="E26" i="12"/>
  <c r="C26" i="12"/>
  <c r="Q26" i="12" s="1"/>
  <c r="AD25" i="12"/>
  <c r="AC25" i="12"/>
  <c r="J25" i="12"/>
  <c r="E25" i="12"/>
  <c r="C25" i="12"/>
  <c r="AD24" i="12"/>
  <c r="AC24" i="12"/>
  <c r="J24" i="12"/>
  <c r="G24" i="12"/>
  <c r="E24" i="12"/>
  <c r="C24" i="12"/>
  <c r="R24" i="12" s="1"/>
  <c r="AD23" i="12"/>
  <c r="AC23" i="12"/>
  <c r="J23" i="12"/>
  <c r="G23" i="12"/>
  <c r="E23" i="12"/>
  <c r="D23" i="12"/>
  <c r="C23" i="12"/>
  <c r="AD22" i="12"/>
  <c r="AC22" i="12"/>
  <c r="J22" i="12"/>
  <c r="G22" i="12"/>
  <c r="E22" i="12"/>
  <c r="D22" i="12"/>
  <c r="C22" i="12"/>
  <c r="AD21" i="12"/>
  <c r="AC21" i="12"/>
  <c r="J21" i="12"/>
  <c r="G21" i="12"/>
  <c r="E21" i="12"/>
  <c r="D21" i="12"/>
  <c r="C21" i="12"/>
  <c r="AD20" i="12"/>
  <c r="AC20" i="12"/>
  <c r="J20" i="12"/>
  <c r="E20" i="12"/>
  <c r="C20" i="12"/>
  <c r="Q20" i="12" s="1"/>
  <c r="AD19" i="12"/>
  <c r="AC19" i="12"/>
  <c r="J19" i="12"/>
  <c r="G19" i="12"/>
  <c r="E19" i="12"/>
  <c r="D19" i="12"/>
  <c r="C19" i="12"/>
  <c r="R19" i="12" s="1"/>
  <c r="AD18" i="12"/>
  <c r="AC18" i="12"/>
  <c r="J18" i="12"/>
  <c r="E18" i="12"/>
  <c r="C18" i="12"/>
  <c r="Q18" i="12"/>
  <c r="AD17" i="12"/>
  <c r="AC17" i="12"/>
  <c r="J17" i="12"/>
  <c r="G17" i="12"/>
  <c r="E17" i="12"/>
  <c r="C17" i="12"/>
  <c r="AD16" i="12"/>
  <c r="AC16" i="12"/>
  <c r="J16" i="12"/>
  <c r="D16" i="12"/>
  <c r="E16" i="12"/>
  <c r="C16" i="12"/>
  <c r="R16" i="12"/>
  <c r="AD15" i="12"/>
  <c r="AC15" i="12"/>
  <c r="J15" i="12"/>
  <c r="G15" i="12"/>
  <c r="E15" i="12"/>
  <c r="C15" i="12"/>
  <c r="R15" i="12"/>
  <c r="AD14" i="12"/>
  <c r="AC14" i="12"/>
  <c r="J14" i="12"/>
  <c r="D14" i="12"/>
  <c r="E14" i="12"/>
  <c r="C14" i="12"/>
  <c r="Q14" i="12"/>
  <c r="AE14" i="12"/>
  <c r="AD13" i="12"/>
  <c r="AC13" i="12"/>
  <c r="J13" i="12"/>
  <c r="G13" i="12"/>
  <c r="E13" i="12"/>
  <c r="F13" i="12" s="1"/>
  <c r="C13" i="12"/>
  <c r="AD12" i="12"/>
  <c r="AC12" i="12"/>
  <c r="J12" i="12"/>
  <c r="D12" i="12"/>
  <c r="G12" i="12"/>
  <c r="E12" i="12"/>
  <c r="C12" i="12"/>
  <c r="Q12" i="12" s="1"/>
  <c r="AE12" i="12" s="1"/>
  <c r="AD11" i="12"/>
  <c r="AC11" i="12"/>
  <c r="J11" i="12"/>
  <c r="G11" i="12"/>
  <c r="E11" i="12"/>
  <c r="C11" i="12"/>
  <c r="R11" i="12" s="1"/>
  <c r="AD10" i="12"/>
  <c r="AC10" i="12"/>
  <c r="J10" i="12"/>
  <c r="D10" i="12"/>
  <c r="E10" i="12"/>
  <c r="C10" i="12"/>
  <c r="AD9" i="12"/>
  <c r="AC9" i="12"/>
  <c r="G9" i="12"/>
  <c r="E9" i="12"/>
  <c r="F9" i="12"/>
  <c r="D9" i="12"/>
  <c r="C9" i="12"/>
  <c r="R9" i="12" s="1"/>
  <c r="O6" i="12"/>
  <c r="M6" i="12"/>
  <c r="J6" i="12"/>
  <c r="O5" i="12"/>
  <c r="M5" i="12"/>
  <c r="J4" i="12"/>
  <c r="F4" i="12"/>
  <c r="AD3" i="12"/>
  <c r="AC3" i="12"/>
  <c r="J3" i="12"/>
  <c r="G3" i="12"/>
  <c r="E3" i="12"/>
  <c r="F3" i="12"/>
  <c r="D3" i="12"/>
  <c r="C3" i="12"/>
  <c r="B3" i="12"/>
  <c r="P40" i="11"/>
  <c r="O40" i="11"/>
  <c r="AD38" i="11"/>
  <c r="AC38" i="11"/>
  <c r="J38" i="11"/>
  <c r="G38" i="11"/>
  <c r="E38" i="11"/>
  <c r="C38" i="11"/>
  <c r="B38" i="11"/>
  <c r="AD37" i="11"/>
  <c r="AC37" i="11"/>
  <c r="J37" i="11"/>
  <c r="D37" i="11"/>
  <c r="G37" i="11"/>
  <c r="E37" i="11"/>
  <c r="C37" i="11"/>
  <c r="Q37" i="11"/>
  <c r="AE37" i="11" s="1"/>
  <c r="AD36" i="11"/>
  <c r="AC36" i="11"/>
  <c r="J36" i="11"/>
  <c r="G36" i="11"/>
  <c r="E36" i="11"/>
  <c r="D36" i="11"/>
  <c r="C36" i="11"/>
  <c r="R36" i="11" s="1"/>
  <c r="AD35" i="11"/>
  <c r="AC35" i="11"/>
  <c r="J35" i="11"/>
  <c r="G35" i="11"/>
  <c r="E35" i="11"/>
  <c r="D35" i="11"/>
  <c r="C35" i="11"/>
  <c r="AD34" i="11"/>
  <c r="AC34" i="11"/>
  <c r="J34" i="11"/>
  <c r="G34" i="11"/>
  <c r="E34" i="11"/>
  <c r="D34" i="11"/>
  <c r="C34" i="11"/>
  <c r="AD33" i="11"/>
  <c r="AC33" i="11"/>
  <c r="J33" i="11"/>
  <c r="E33" i="11"/>
  <c r="C33" i="11"/>
  <c r="R33" i="11"/>
  <c r="AD32" i="11"/>
  <c r="AC32" i="11"/>
  <c r="J32" i="11"/>
  <c r="G32" i="11"/>
  <c r="E32" i="11"/>
  <c r="C32" i="11"/>
  <c r="R32" i="11"/>
  <c r="AD31" i="11"/>
  <c r="AC31" i="11"/>
  <c r="J31" i="11"/>
  <c r="G31" i="11"/>
  <c r="E31" i="11"/>
  <c r="D31" i="11"/>
  <c r="C31" i="11"/>
  <c r="Q31" i="11"/>
  <c r="AE31" i="11"/>
  <c r="AD30" i="11"/>
  <c r="AC30" i="11"/>
  <c r="J30" i="11"/>
  <c r="G30" i="11"/>
  <c r="E30" i="11"/>
  <c r="C30" i="11"/>
  <c r="AD29" i="11"/>
  <c r="AC29" i="11"/>
  <c r="J29" i="11"/>
  <c r="G29" i="11"/>
  <c r="E29" i="11"/>
  <c r="D29" i="11"/>
  <c r="C29" i="11"/>
  <c r="R29" i="11" s="1"/>
  <c r="AD28" i="11"/>
  <c r="AC28" i="11"/>
  <c r="J28" i="11"/>
  <c r="G28" i="11"/>
  <c r="E28" i="11"/>
  <c r="F29" i="11" s="1"/>
  <c r="C28" i="11"/>
  <c r="R28" i="11"/>
  <c r="AD27" i="11"/>
  <c r="AC27" i="11"/>
  <c r="J27" i="11"/>
  <c r="D27" i="11"/>
  <c r="E27" i="11"/>
  <c r="C27" i="11"/>
  <c r="Q27" i="11" s="1"/>
  <c r="AD26" i="11"/>
  <c r="AC26" i="11"/>
  <c r="J26" i="11"/>
  <c r="G26" i="11"/>
  <c r="E26" i="11"/>
  <c r="C26" i="11"/>
  <c r="AD25" i="11"/>
  <c r="AC25" i="11"/>
  <c r="J25" i="11"/>
  <c r="D25" i="11"/>
  <c r="E25" i="11"/>
  <c r="C25" i="11"/>
  <c r="Q25" i="11"/>
  <c r="AE25" i="11" s="1"/>
  <c r="AD24" i="11"/>
  <c r="AC24" i="11"/>
  <c r="J24" i="11"/>
  <c r="G24" i="11"/>
  <c r="E24" i="11"/>
  <c r="C24" i="11"/>
  <c r="R24" i="11" s="1"/>
  <c r="AD23" i="11"/>
  <c r="AC23" i="11"/>
  <c r="J23" i="11"/>
  <c r="E23" i="11"/>
  <c r="C23" i="11"/>
  <c r="Q23" i="11"/>
  <c r="AD22" i="11"/>
  <c r="AC22" i="11"/>
  <c r="J22" i="11"/>
  <c r="G22" i="11"/>
  <c r="E22" i="11"/>
  <c r="F23" i="11" s="1"/>
  <c r="C22" i="11"/>
  <c r="AD21" i="11"/>
  <c r="AC21" i="11"/>
  <c r="J21" i="11"/>
  <c r="D21" i="11"/>
  <c r="G21" i="11"/>
  <c r="E21" i="11"/>
  <c r="C21" i="11"/>
  <c r="R21" i="11" s="1"/>
  <c r="AD20" i="11"/>
  <c r="AC20" i="11"/>
  <c r="J20" i="11"/>
  <c r="G20" i="11"/>
  <c r="E20" i="11"/>
  <c r="D20" i="11"/>
  <c r="C20" i="11"/>
  <c r="AD19" i="11"/>
  <c r="AC19" i="11"/>
  <c r="J19" i="11"/>
  <c r="G19" i="11"/>
  <c r="E19" i="11"/>
  <c r="D19" i="11"/>
  <c r="C19" i="11"/>
  <c r="AD18" i="11"/>
  <c r="AC18" i="11"/>
  <c r="J18" i="11"/>
  <c r="G18" i="11"/>
  <c r="E18" i="11"/>
  <c r="D18" i="11"/>
  <c r="C18" i="11"/>
  <c r="AD17" i="11"/>
  <c r="AC17" i="11"/>
  <c r="J17" i="11"/>
  <c r="E17" i="11"/>
  <c r="C17" i="11"/>
  <c r="Q17" i="11"/>
  <c r="AE17" i="11"/>
  <c r="AD16" i="11"/>
  <c r="AC16" i="11"/>
  <c r="J16" i="11"/>
  <c r="G16" i="11"/>
  <c r="E16" i="11"/>
  <c r="F16" i="11" s="1"/>
  <c r="C16" i="11"/>
  <c r="R16" i="11"/>
  <c r="AD15" i="11"/>
  <c r="AC15" i="11"/>
  <c r="J15" i="11"/>
  <c r="G15" i="11"/>
  <c r="E15" i="11"/>
  <c r="D15" i="11"/>
  <c r="C15" i="11"/>
  <c r="Q15" i="11"/>
  <c r="AE15" i="11"/>
  <c r="AD14" i="11"/>
  <c r="AC14" i="11"/>
  <c r="J14" i="11"/>
  <c r="G14" i="11"/>
  <c r="E14" i="11"/>
  <c r="F14" i="11" s="1"/>
  <c r="C14" i="11"/>
  <c r="AD13" i="11"/>
  <c r="AC13" i="11"/>
  <c r="J13" i="11"/>
  <c r="G13" i="11"/>
  <c r="E13" i="11"/>
  <c r="D13" i="11"/>
  <c r="C13" i="11"/>
  <c r="AD12" i="11"/>
  <c r="AC12" i="11"/>
  <c r="J12" i="11"/>
  <c r="G12" i="11"/>
  <c r="E12" i="11"/>
  <c r="C12" i="11"/>
  <c r="R12" i="11"/>
  <c r="AD11" i="11"/>
  <c r="AC11" i="11"/>
  <c r="J11" i="11"/>
  <c r="D11" i="11"/>
  <c r="E11" i="11"/>
  <c r="C11" i="11"/>
  <c r="Q11" i="11"/>
  <c r="AD10" i="11"/>
  <c r="AC10" i="11"/>
  <c r="J10" i="11"/>
  <c r="G10" i="11"/>
  <c r="E10" i="11"/>
  <c r="C10" i="11"/>
  <c r="B10" i="11"/>
  <c r="AD9" i="11"/>
  <c r="AC9" i="11"/>
  <c r="G9" i="11"/>
  <c r="E9" i="11"/>
  <c r="F9" i="11"/>
  <c r="D9" i="11"/>
  <c r="C9" i="11"/>
  <c r="Q9" i="11"/>
  <c r="AE9" i="11"/>
  <c r="B9" i="11"/>
  <c r="O6" i="11"/>
  <c r="M6" i="11"/>
  <c r="J6" i="11"/>
  <c r="O5" i="11"/>
  <c r="M5" i="11"/>
  <c r="J4" i="11"/>
  <c r="F4" i="11"/>
  <c r="AD3" i="11"/>
  <c r="AC3" i="11"/>
  <c r="J3" i="11"/>
  <c r="G3" i="11"/>
  <c r="E3" i="11"/>
  <c r="F3" i="11" s="1"/>
  <c r="C3" i="11"/>
  <c r="Q3" i="11" s="1"/>
  <c r="B3" i="11"/>
  <c r="Q38" i="13"/>
  <c r="J38" i="13"/>
  <c r="D38" i="13"/>
  <c r="G38" i="13"/>
  <c r="E38" i="13"/>
  <c r="C38" i="13"/>
  <c r="B38" i="13"/>
  <c r="Q37" i="13"/>
  <c r="N37" i="13"/>
  <c r="J37" i="13"/>
  <c r="G37" i="13"/>
  <c r="E37" i="13"/>
  <c r="C37" i="13"/>
  <c r="Q36" i="13"/>
  <c r="N36" i="13"/>
  <c r="J36" i="13"/>
  <c r="G36" i="13"/>
  <c r="E36" i="13"/>
  <c r="F37" i="13" s="1"/>
  <c r="D36" i="13"/>
  <c r="C36" i="13"/>
  <c r="Q35" i="13"/>
  <c r="N35" i="13"/>
  <c r="T35" i="13" s="1"/>
  <c r="J35" i="13"/>
  <c r="E35" i="13"/>
  <c r="C35" i="13"/>
  <c r="Q34" i="13"/>
  <c r="N34" i="13"/>
  <c r="T34" i="13"/>
  <c r="J34" i="13"/>
  <c r="G34" i="13"/>
  <c r="E34" i="13"/>
  <c r="C34" i="13"/>
  <c r="Q33" i="13"/>
  <c r="N33" i="13"/>
  <c r="T33" i="13" s="1"/>
  <c r="J33" i="13"/>
  <c r="G33" i="13"/>
  <c r="E33" i="13"/>
  <c r="D33" i="13"/>
  <c r="C33" i="13"/>
  <c r="Q32" i="13"/>
  <c r="N32" i="13"/>
  <c r="T32" i="13"/>
  <c r="J32" i="13"/>
  <c r="G32" i="13"/>
  <c r="E32" i="13"/>
  <c r="C32" i="13"/>
  <c r="Q31" i="13"/>
  <c r="N31" i="13"/>
  <c r="J31" i="13"/>
  <c r="G31" i="13"/>
  <c r="E31" i="13"/>
  <c r="D31" i="13"/>
  <c r="C31" i="13"/>
  <c r="Q30" i="13"/>
  <c r="N30" i="13"/>
  <c r="T30" i="13"/>
  <c r="J30" i="13"/>
  <c r="G30" i="13"/>
  <c r="E30" i="13"/>
  <c r="C30" i="13"/>
  <c r="Q29" i="13"/>
  <c r="N29" i="13"/>
  <c r="S29" i="13" s="1"/>
  <c r="J29" i="13"/>
  <c r="G29" i="13"/>
  <c r="E29" i="13"/>
  <c r="C29" i="13"/>
  <c r="Q28" i="13"/>
  <c r="N28" i="13"/>
  <c r="T28" i="13" s="1"/>
  <c r="J28" i="13"/>
  <c r="D28" i="13"/>
  <c r="E28" i="13"/>
  <c r="C28" i="13"/>
  <c r="Q27" i="13"/>
  <c r="N27" i="13"/>
  <c r="R27" i="13" s="1"/>
  <c r="J27" i="13"/>
  <c r="G27" i="13"/>
  <c r="E27" i="13"/>
  <c r="C27" i="13"/>
  <c r="Q26" i="13"/>
  <c r="N26" i="13"/>
  <c r="T26" i="13"/>
  <c r="J26" i="13"/>
  <c r="D26" i="13"/>
  <c r="E26" i="13"/>
  <c r="C26" i="13"/>
  <c r="Q25" i="13"/>
  <c r="N25" i="13"/>
  <c r="J25" i="13"/>
  <c r="G25" i="13"/>
  <c r="E25" i="13"/>
  <c r="C25" i="13"/>
  <c r="Q24" i="13"/>
  <c r="N24" i="13"/>
  <c r="T24" i="13"/>
  <c r="J24" i="13"/>
  <c r="D24" i="13"/>
  <c r="E24" i="13"/>
  <c r="C24" i="13"/>
  <c r="Q23" i="13"/>
  <c r="N23" i="13"/>
  <c r="J23" i="13"/>
  <c r="G23" i="13"/>
  <c r="E23" i="13"/>
  <c r="C23" i="13"/>
  <c r="Q22" i="13"/>
  <c r="N22" i="13"/>
  <c r="T22" i="13" s="1"/>
  <c r="J22" i="13"/>
  <c r="D22" i="13"/>
  <c r="G22" i="13"/>
  <c r="E22" i="13"/>
  <c r="C22" i="13"/>
  <c r="Q21" i="13"/>
  <c r="N21" i="13"/>
  <c r="J21" i="13"/>
  <c r="G21" i="13"/>
  <c r="E21" i="13"/>
  <c r="C21" i="13"/>
  <c r="Q20" i="13"/>
  <c r="N20" i="13"/>
  <c r="T20" i="13"/>
  <c r="J20" i="13"/>
  <c r="G20" i="13"/>
  <c r="E20" i="13"/>
  <c r="D20" i="13"/>
  <c r="C20" i="13"/>
  <c r="Q19" i="13"/>
  <c r="N19" i="13"/>
  <c r="J19" i="13"/>
  <c r="E19" i="13"/>
  <c r="F20" i="13" s="1"/>
  <c r="C19" i="13"/>
  <c r="Q18" i="13"/>
  <c r="N18" i="13"/>
  <c r="T18" i="13"/>
  <c r="J18" i="13"/>
  <c r="G18" i="13"/>
  <c r="E18" i="13"/>
  <c r="C18" i="13"/>
  <c r="Q17" i="13"/>
  <c r="N17" i="13"/>
  <c r="J17" i="13"/>
  <c r="G17" i="13"/>
  <c r="E17" i="13"/>
  <c r="D17" i="13"/>
  <c r="C17" i="13"/>
  <c r="Q16" i="13"/>
  <c r="N16" i="13"/>
  <c r="T16" i="13" s="1"/>
  <c r="J16" i="13"/>
  <c r="G16" i="13"/>
  <c r="E16" i="13"/>
  <c r="F16" i="13" s="1"/>
  <c r="C16" i="13"/>
  <c r="Q15" i="13"/>
  <c r="N15" i="13"/>
  <c r="J15" i="13"/>
  <c r="G15" i="13"/>
  <c r="E15" i="13"/>
  <c r="D15" i="13"/>
  <c r="C15" i="13"/>
  <c r="Q14" i="13"/>
  <c r="N14" i="13"/>
  <c r="T14" i="13"/>
  <c r="J14" i="13"/>
  <c r="G14" i="13"/>
  <c r="E14" i="13"/>
  <c r="C14" i="13"/>
  <c r="Q13" i="13"/>
  <c r="N13" i="13"/>
  <c r="J13" i="13"/>
  <c r="G13" i="13"/>
  <c r="E13" i="13"/>
  <c r="C13" i="13"/>
  <c r="Q12" i="13"/>
  <c r="J12" i="13"/>
  <c r="D12" i="13"/>
  <c r="E12" i="13"/>
  <c r="C12" i="13"/>
  <c r="N12" i="13"/>
  <c r="T12" i="13"/>
  <c r="Q11" i="13"/>
  <c r="N11" i="13"/>
  <c r="J11" i="13"/>
  <c r="G11" i="13"/>
  <c r="E11" i="13"/>
  <c r="C11" i="13"/>
  <c r="Q10" i="13"/>
  <c r="J10" i="13"/>
  <c r="D10" i="13"/>
  <c r="E10" i="13"/>
  <c r="C10" i="13"/>
  <c r="B10" i="13"/>
  <c r="Q9" i="13"/>
  <c r="G9" i="13"/>
  <c r="E9" i="13"/>
  <c r="F9" i="13"/>
  <c r="D9" i="13"/>
  <c r="C9" i="13"/>
  <c r="N9" i="13"/>
  <c r="O6" i="13"/>
  <c r="M6" i="13"/>
  <c r="J6" i="13"/>
  <c r="O5" i="13"/>
  <c r="M5" i="13"/>
  <c r="J4" i="13"/>
  <c r="F4" i="13"/>
  <c r="Q3" i="13"/>
  <c r="N3" i="13"/>
  <c r="J3" i="13"/>
  <c r="G3" i="13"/>
  <c r="E3" i="13"/>
  <c r="F3" i="13" s="1"/>
  <c r="D3" i="13"/>
  <c r="C3" i="13"/>
  <c r="B3" i="13"/>
  <c r="P40" i="6"/>
  <c r="O40" i="6"/>
  <c r="AD38" i="6"/>
  <c r="AC38" i="6"/>
  <c r="J38" i="6"/>
  <c r="G38" i="6"/>
  <c r="E38" i="6"/>
  <c r="F38" i="6" s="1"/>
  <c r="C38" i="6"/>
  <c r="AD37" i="6"/>
  <c r="AC37" i="6"/>
  <c r="J37" i="6"/>
  <c r="D37" i="6"/>
  <c r="E37" i="6"/>
  <c r="C37" i="6"/>
  <c r="Q37" i="6" s="1"/>
  <c r="AD36" i="6"/>
  <c r="AC36" i="6"/>
  <c r="J36" i="6"/>
  <c r="G36" i="6"/>
  <c r="E36" i="6"/>
  <c r="F36" i="6" s="1"/>
  <c r="C36" i="6"/>
  <c r="R36" i="6" s="1"/>
  <c r="AD35" i="6"/>
  <c r="AC35" i="6"/>
  <c r="J35" i="6"/>
  <c r="E35" i="6"/>
  <c r="C35" i="6"/>
  <c r="R35" i="6"/>
  <c r="AD34" i="6"/>
  <c r="AC34" i="6"/>
  <c r="J34" i="6"/>
  <c r="G34" i="6"/>
  <c r="E34" i="6"/>
  <c r="C34" i="6"/>
  <c r="Q34" i="6"/>
  <c r="AD33" i="6"/>
  <c r="AC33" i="6"/>
  <c r="J33" i="6"/>
  <c r="D33" i="6"/>
  <c r="G33" i="6"/>
  <c r="E33" i="6"/>
  <c r="C33" i="6"/>
  <c r="AD32" i="6"/>
  <c r="AC32" i="6"/>
  <c r="J32" i="6"/>
  <c r="G32" i="6"/>
  <c r="E32" i="6"/>
  <c r="D32" i="6"/>
  <c r="C32" i="6"/>
  <c r="Q32" i="6" s="1"/>
  <c r="AD31" i="6"/>
  <c r="AC31" i="6"/>
  <c r="J31" i="6"/>
  <c r="G31" i="6"/>
  <c r="E31" i="6"/>
  <c r="D31" i="6"/>
  <c r="C31" i="6"/>
  <c r="R31" i="6" s="1"/>
  <c r="AD30" i="6"/>
  <c r="AC30" i="6"/>
  <c r="J30" i="6"/>
  <c r="G30" i="6"/>
  <c r="E30" i="6"/>
  <c r="D30" i="6"/>
  <c r="C30" i="6"/>
  <c r="Q30" i="6" s="1"/>
  <c r="AD29" i="6"/>
  <c r="AC29" i="6"/>
  <c r="J29" i="6"/>
  <c r="E29" i="6"/>
  <c r="C29" i="6"/>
  <c r="R29" i="6" s="1"/>
  <c r="AD28" i="6"/>
  <c r="AC28" i="6"/>
  <c r="J28" i="6"/>
  <c r="G28" i="6"/>
  <c r="E28" i="6"/>
  <c r="C28" i="6"/>
  <c r="R28" i="6" s="1"/>
  <c r="AD27" i="6"/>
  <c r="AC27" i="6"/>
  <c r="J27" i="6"/>
  <c r="G27" i="6"/>
  <c r="E27" i="6"/>
  <c r="D27" i="6"/>
  <c r="C27" i="6"/>
  <c r="R27" i="6" s="1"/>
  <c r="AD26" i="6"/>
  <c r="AC26" i="6"/>
  <c r="J26" i="6"/>
  <c r="G26" i="6"/>
  <c r="E26" i="6"/>
  <c r="C26" i="6"/>
  <c r="Q26" i="6"/>
  <c r="AD25" i="6"/>
  <c r="AC25" i="6"/>
  <c r="J25" i="6"/>
  <c r="G25" i="6"/>
  <c r="E25" i="6"/>
  <c r="D25" i="6"/>
  <c r="C25" i="6"/>
  <c r="AD24" i="6"/>
  <c r="AC24" i="6"/>
  <c r="J24" i="6"/>
  <c r="G24" i="6"/>
  <c r="E24" i="6"/>
  <c r="C24" i="6"/>
  <c r="Q24" i="6"/>
  <c r="AD23" i="6"/>
  <c r="AC23" i="6"/>
  <c r="J23" i="6"/>
  <c r="D23" i="6"/>
  <c r="E23" i="6"/>
  <c r="C23" i="6"/>
  <c r="R23" i="6" s="1"/>
  <c r="AD22" i="6"/>
  <c r="AC22" i="6"/>
  <c r="J22" i="6"/>
  <c r="G22" i="6"/>
  <c r="E22" i="6"/>
  <c r="C22" i="6"/>
  <c r="Q22" i="6"/>
  <c r="AD21" i="6"/>
  <c r="AC21" i="6"/>
  <c r="J21" i="6"/>
  <c r="D21" i="6"/>
  <c r="E21" i="6"/>
  <c r="C21" i="6"/>
  <c r="AD20" i="6"/>
  <c r="AC20" i="6"/>
  <c r="J20" i="6"/>
  <c r="G20" i="6"/>
  <c r="E20" i="6"/>
  <c r="C20" i="6"/>
  <c r="Q20" i="6" s="1"/>
  <c r="AD19" i="6"/>
  <c r="AC19" i="6"/>
  <c r="J19" i="6"/>
  <c r="E19" i="6"/>
  <c r="C19" i="6"/>
  <c r="AD18" i="6"/>
  <c r="AC18" i="6"/>
  <c r="J18" i="6"/>
  <c r="G18" i="6"/>
  <c r="E18" i="6"/>
  <c r="C18" i="6"/>
  <c r="Q18" i="6"/>
  <c r="AD17" i="6"/>
  <c r="AC17" i="6"/>
  <c r="J17" i="6"/>
  <c r="D17" i="6"/>
  <c r="G17" i="6"/>
  <c r="E17" i="6"/>
  <c r="C17" i="6"/>
  <c r="AD16" i="6"/>
  <c r="AC16" i="6"/>
  <c r="J16" i="6"/>
  <c r="G16" i="6"/>
  <c r="E16" i="6"/>
  <c r="D16" i="6"/>
  <c r="C16" i="6"/>
  <c r="R16" i="6" s="1"/>
  <c r="AD15" i="6"/>
  <c r="AC15" i="6"/>
  <c r="J15" i="6"/>
  <c r="G15" i="6"/>
  <c r="E15" i="6"/>
  <c r="D15" i="6"/>
  <c r="C15" i="6"/>
  <c r="R15" i="6" s="1"/>
  <c r="AD14" i="6"/>
  <c r="AC14" i="6"/>
  <c r="J14" i="6"/>
  <c r="G14" i="6" s="1"/>
  <c r="C14" i="6"/>
  <c r="Q14" i="6" s="1"/>
  <c r="AD13" i="6"/>
  <c r="AC13" i="6"/>
  <c r="J13" i="6"/>
  <c r="G13" i="6" s="1"/>
  <c r="E13" i="6"/>
  <c r="E14" i="6" s="1"/>
  <c r="C13" i="6"/>
  <c r="AD12" i="6"/>
  <c r="AC12" i="6"/>
  <c r="J12" i="6"/>
  <c r="G12" i="6"/>
  <c r="E12" i="6"/>
  <c r="D12" i="6"/>
  <c r="D13" i="6" s="1"/>
  <c r="D14" i="6" s="1"/>
  <c r="C12" i="6"/>
  <c r="R12" i="6"/>
  <c r="AD11" i="6"/>
  <c r="AC11" i="6"/>
  <c r="J11" i="6"/>
  <c r="C11" i="6"/>
  <c r="AD10" i="6"/>
  <c r="AC10" i="6"/>
  <c r="J10" i="6"/>
  <c r="G10" i="6"/>
  <c r="C10" i="6"/>
  <c r="AD9" i="6"/>
  <c r="AC9" i="6"/>
  <c r="G9" i="6"/>
  <c r="E9" i="6"/>
  <c r="E10" i="6" s="1"/>
  <c r="F10" i="6" s="1"/>
  <c r="F9" i="6"/>
  <c r="D9" i="6"/>
  <c r="D10" i="6" s="1"/>
  <c r="D11" i="6" s="1"/>
  <c r="C9" i="6"/>
  <c r="R9" i="6"/>
  <c r="B9" i="6"/>
  <c r="O6" i="6"/>
  <c r="M6" i="6"/>
  <c r="J6" i="6"/>
  <c r="O5" i="6"/>
  <c r="M5" i="6"/>
  <c r="J4" i="6"/>
  <c r="F4" i="6"/>
  <c r="AD3" i="6"/>
  <c r="AC3" i="6"/>
  <c r="J3" i="6"/>
  <c r="G3" i="6"/>
  <c r="E3" i="6"/>
  <c r="F3" i="6"/>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c r="C764" i="5"/>
  <c r="B764" i="5"/>
  <c r="A764" i="5"/>
  <c r="J763" i="5"/>
  <c r="F763" i="5"/>
  <c r="E763" i="5"/>
  <c r="C763" i="5"/>
  <c r="B763" i="5"/>
  <c r="A763" i="5"/>
  <c r="J762" i="5"/>
  <c r="F762" i="5"/>
  <c r="I762" i="5" s="1"/>
  <c r="E93" i="70" s="1"/>
  <c r="E762" i="5"/>
  <c r="C762" i="5"/>
  <c r="B762" i="5"/>
  <c r="A762" i="5"/>
  <c r="J761" i="5"/>
  <c r="M761" i="5" s="1"/>
  <c r="F92" i="70" s="1"/>
  <c r="E761" i="5"/>
  <c r="C761" i="5"/>
  <c r="B761" i="5"/>
  <c r="A761" i="5"/>
  <c r="E760" i="5"/>
  <c r="C760" i="5"/>
  <c r="B760" i="5"/>
  <c r="A760" i="5"/>
  <c r="E759" i="5"/>
  <c r="C759" i="5"/>
  <c r="B759" i="5"/>
  <c r="A759" i="5"/>
  <c r="J758" i="5"/>
  <c r="M758" i="5" s="1"/>
  <c r="F72" i="74" s="1"/>
  <c r="I5125" i="18" s="1"/>
  <c r="F758" i="5"/>
  <c r="I758" i="5" s="1"/>
  <c r="E758" i="5"/>
  <c r="C758" i="5"/>
  <c r="B758" i="5"/>
  <c r="A758" i="5"/>
  <c r="J757" i="5"/>
  <c r="F757" i="5"/>
  <c r="I757" i="5" s="1"/>
  <c r="E757" i="5"/>
  <c r="C757" i="5"/>
  <c r="B757" i="5"/>
  <c r="A757" i="5"/>
  <c r="J756" i="5"/>
  <c r="M756" i="5" s="1"/>
  <c r="F756" i="5"/>
  <c r="I756" i="5" s="1"/>
  <c r="E70" i="74" s="1"/>
  <c r="H5123" i="18" s="1"/>
  <c r="E756" i="5"/>
  <c r="C756" i="5"/>
  <c r="B756" i="5"/>
  <c r="A756" i="5"/>
  <c r="E755" i="5"/>
  <c r="C755" i="5"/>
  <c r="B755" i="5"/>
  <c r="A755" i="5"/>
  <c r="L754" i="5"/>
  <c r="K754" i="5"/>
  <c r="H754" i="5"/>
  <c r="G754" i="5"/>
  <c r="E754" i="5"/>
  <c r="E826" i="5"/>
  <c r="C754" i="5"/>
  <c r="B754" i="5"/>
  <c r="A754" i="5"/>
  <c r="J753" i="5"/>
  <c r="F753" i="5"/>
  <c r="E753" i="5"/>
  <c r="C753" i="5"/>
  <c r="B753" i="5"/>
  <c r="A753" i="5"/>
  <c r="J752" i="5"/>
  <c r="F752" i="5"/>
  <c r="I752" i="5" s="1"/>
  <c r="E752" i="5"/>
  <c r="C752" i="5"/>
  <c r="B752" i="5"/>
  <c r="A752" i="5"/>
  <c r="J751" i="5"/>
  <c r="F751" i="5"/>
  <c r="I751" i="5" s="1"/>
  <c r="E751" i="5"/>
  <c r="C751" i="5"/>
  <c r="B751" i="5"/>
  <c r="A751" i="5"/>
  <c r="J750" i="5"/>
  <c r="F750" i="5"/>
  <c r="I750" i="5" s="1"/>
  <c r="E64" i="74" s="1"/>
  <c r="H5113" i="18" s="1"/>
  <c r="E750" i="5"/>
  <c r="C750" i="5"/>
  <c r="B750" i="5"/>
  <c r="A750" i="5"/>
  <c r="J749" i="5"/>
  <c r="F749" i="5"/>
  <c r="I749" i="5" s="1"/>
  <c r="E749" i="5"/>
  <c r="C749" i="5"/>
  <c r="B749" i="5"/>
  <c r="A749" i="5"/>
  <c r="J748" i="5"/>
  <c r="F748" i="5"/>
  <c r="I748" i="5" s="1"/>
  <c r="K6145" i="18" s="1"/>
  <c r="L6146" i="18" s="1"/>
  <c r="E748" i="5"/>
  <c r="C748" i="5"/>
  <c r="B748" i="5"/>
  <c r="A748" i="5"/>
  <c r="J747" i="5"/>
  <c r="F747" i="5"/>
  <c r="E747" i="5"/>
  <c r="C747" i="5"/>
  <c r="B747" i="5"/>
  <c r="A747" i="5"/>
  <c r="J746" i="5"/>
  <c r="F746" i="5"/>
  <c r="I746" i="5" s="1"/>
  <c r="E77" i="70" s="1"/>
  <c r="E746" i="5"/>
  <c r="C746" i="5"/>
  <c r="B746" i="5"/>
  <c r="A746" i="5"/>
  <c r="J745" i="5"/>
  <c r="F745" i="5"/>
  <c r="I745" i="5" s="1"/>
  <c r="E76" i="70" s="1"/>
  <c r="E745" i="5"/>
  <c r="C745" i="5"/>
  <c r="B745" i="5"/>
  <c r="A745" i="5"/>
  <c r="J744" i="5"/>
  <c r="F744" i="5"/>
  <c r="I744" i="5" s="1"/>
  <c r="E744" i="5"/>
  <c r="C744" i="5"/>
  <c r="B744" i="5"/>
  <c r="A744" i="5"/>
  <c r="J743" i="5"/>
  <c r="F743" i="5"/>
  <c r="E743" i="5"/>
  <c r="C743" i="5"/>
  <c r="B743" i="5"/>
  <c r="A743" i="5"/>
  <c r="J742" i="5"/>
  <c r="F742" i="5"/>
  <c r="I742" i="5" s="1"/>
  <c r="E73" i="70" s="1"/>
  <c r="E742" i="5"/>
  <c r="C742" i="5"/>
  <c r="B742" i="5"/>
  <c r="A742" i="5"/>
  <c r="J741" i="5"/>
  <c r="F741" i="5"/>
  <c r="I741" i="5" s="1"/>
  <c r="K6074" i="18" s="1"/>
  <c r="L6075" i="18" s="1"/>
  <c r="E741" i="5"/>
  <c r="C741" i="5"/>
  <c r="B741" i="5"/>
  <c r="A741" i="5"/>
  <c r="J740" i="5"/>
  <c r="F740" i="5"/>
  <c r="I740" i="5" s="1"/>
  <c r="E54" i="74" s="1"/>
  <c r="H5103" i="18" s="1"/>
  <c r="E740" i="5"/>
  <c r="C740" i="5"/>
  <c r="B740" i="5"/>
  <c r="A740" i="5"/>
  <c r="J739" i="5"/>
  <c r="F739" i="5"/>
  <c r="E739" i="5"/>
  <c r="C739" i="5"/>
  <c r="B739" i="5"/>
  <c r="A739" i="5"/>
  <c r="J738" i="5"/>
  <c r="F738" i="5"/>
  <c r="I738" i="5" s="1"/>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c r="E721" i="5"/>
  <c r="C721" i="5"/>
  <c r="B721" i="5"/>
  <c r="A721" i="5"/>
  <c r="J720" i="5"/>
  <c r="F720" i="5"/>
  <c r="E720" i="5"/>
  <c r="C720" i="5"/>
  <c r="B720" i="5"/>
  <c r="A720" i="5"/>
  <c r="J719" i="5"/>
  <c r="F719" i="5"/>
  <c r="E719" i="5"/>
  <c r="C719" i="5"/>
  <c r="B719" i="5"/>
  <c r="A719" i="5"/>
  <c r="J718" i="5"/>
  <c r="F718" i="5"/>
  <c r="F45" i="52"/>
  <c r="E718" i="5"/>
  <c r="C718" i="5"/>
  <c r="B718" i="5"/>
  <c r="A718" i="5"/>
  <c r="E717" i="5"/>
  <c r="C717" i="5"/>
  <c r="B717" i="5"/>
  <c r="A717" i="5"/>
  <c r="E713" i="5"/>
  <c r="C713" i="5"/>
  <c r="B713" i="5"/>
  <c r="A713" i="5"/>
  <c r="J712" i="5"/>
  <c r="E712" i="5"/>
  <c r="C712" i="5"/>
  <c r="B712" i="5"/>
  <c r="A712" i="5"/>
  <c r="E711" i="5"/>
  <c r="E829" i="5"/>
  <c r="C711" i="5"/>
  <c r="B711" i="5"/>
  <c r="A711" i="5"/>
  <c r="J710" i="5"/>
  <c r="M710" i="5" s="1"/>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M706" i="5" s="1"/>
  <c r="F706" i="5"/>
  <c r="E706" i="5"/>
  <c r="C706" i="5"/>
  <c r="B706" i="5"/>
  <c r="A706" i="5"/>
  <c r="J705" i="5"/>
  <c r="M705" i="5" s="1"/>
  <c r="F705" i="5"/>
  <c r="E705" i="5"/>
  <c r="C705" i="5"/>
  <c r="B705" i="5"/>
  <c r="A705" i="5"/>
  <c r="J704" i="5"/>
  <c r="F704" i="5"/>
  <c r="E704" i="5"/>
  <c r="C704" i="5"/>
  <c r="B704" i="5"/>
  <c r="A704" i="5"/>
  <c r="L703" i="5"/>
  <c r="K703" i="5"/>
  <c r="E703" i="5"/>
  <c r="C703" i="5"/>
  <c r="B703" i="5"/>
  <c r="A703" i="5"/>
  <c r="J702" i="5"/>
  <c r="M702" i="5" s="1"/>
  <c r="K333" i="50" s="1"/>
  <c r="F702" i="5"/>
  <c r="E702" i="5"/>
  <c r="C702" i="5"/>
  <c r="B702" i="5"/>
  <c r="A702" i="5"/>
  <c r="E715" i="5"/>
  <c r="C715" i="5"/>
  <c r="B715" i="5"/>
  <c r="A715" i="5"/>
  <c r="J701" i="5"/>
  <c r="M701" i="5" s="1"/>
  <c r="F33" i="74" s="1"/>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M695" i="5" s="1"/>
  <c r="K332" i="50" s="1"/>
  <c r="F695" i="5"/>
  <c r="E695" i="5"/>
  <c r="C695" i="5"/>
  <c r="B695" i="5"/>
  <c r="A695" i="5"/>
  <c r="J694" i="5"/>
  <c r="M694" i="5" s="1"/>
  <c r="F694" i="5"/>
  <c r="E694" i="5"/>
  <c r="C694" i="5"/>
  <c r="B694" i="5"/>
  <c r="A694" i="5"/>
  <c r="J693" i="5"/>
  <c r="F693" i="5"/>
  <c r="E693" i="5"/>
  <c r="C693" i="5"/>
  <c r="B693" i="5"/>
  <c r="A693" i="5"/>
  <c r="J692" i="5"/>
  <c r="F692" i="5"/>
  <c r="E692" i="5"/>
  <c r="C692" i="5"/>
  <c r="B692" i="5"/>
  <c r="A692" i="5"/>
  <c r="J691" i="5"/>
  <c r="M691" i="5" s="1"/>
  <c r="F41" i="70" s="1"/>
  <c r="F691" i="5"/>
  <c r="E691" i="5"/>
  <c r="C691" i="5"/>
  <c r="B691" i="5"/>
  <c r="A691" i="5"/>
  <c r="L690" i="5"/>
  <c r="L697" i="5"/>
  <c r="K690" i="5"/>
  <c r="K697" i="5"/>
  <c r="E690" i="5"/>
  <c r="C690" i="5"/>
  <c r="B690" i="5"/>
  <c r="A690" i="5"/>
  <c r="J689" i="5"/>
  <c r="F689" i="5"/>
  <c r="E689" i="5"/>
  <c r="C689" i="5"/>
  <c r="B689" i="5"/>
  <c r="M689" i="5" s="1"/>
  <c r="K331" i="50" s="1"/>
  <c r="A689" i="5"/>
  <c r="J688" i="5"/>
  <c r="M688" i="5" s="1"/>
  <c r="F688" i="5"/>
  <c r="E688" i="5"/>
  <c r="C688" i="5"/>
  <c r="B688" i="5"/>
  <c r="A688" i="5"/>
  <c r="J687" i="5"/>
  <c r="M687" i="5" s="1"/>
  <c r="F687" i="5"/>
  <c r="E687" i="5"/>
  <c r="C687" i="5"/>
  <c r="B687" i="5"/>
  <c r="A687" i="5"/>
  <c r="J686" i="5"/>
  <c r="M686" i="5" s="1"/>
  <c r="F36" i="70" s="1"/>
  <c r="F686" i="5"/>
  <c r="E686" i="5"/>
  <c r="C686" i="5"/>
  <c r="B686" i="5"/>
  <c r="A686" i="5"/>
  <c r="J685" i="5"/>
  <c r="M685" i="5" s="1"/>
  <c r="F35" i="70" s="1"/>
  <c r="F685" i="5"/>
  <c r="E685" i="5"/>
  <c r="C685" i="5"/>
  <c r="B685" i="5"/>
  <c r="A685" i="5"/>
  <c r="E684" i="5"/>
  <c r="C684" i="5"/>
  <c r="B684" i="5"/>
  <c r="A684" i="5"/>
  <c r="E683" i="5"/>
  <c r="E825" i="5"/>
  <c r="C683" i="5"/>
  <c r="B683" i="5"/>
  <c r="A683" i="5"/>
  <c r="L682" i="5"/>
  <c r="K682" i="5"/>
  <c r="E682" i="5"/>
  <c r="C682" i="5"/>
  <c r="B682" i="5"/>
  <c r="A682" i="5"/>
  <c r="J681" i="5"/>
  <c r="M681" i="5" s="1"/>
  <c r="N5036" i="18" s="1"/>
  <c r="F681" i="5"/>
  <c r="E681" i="5"/>
  <c r="C681" i="5"/>
  <c r="B681" i="5"/>
  <c r="A681" i="5"/>
  <c r="J680" i="5"/>
  <c r="M680" i="5" s="1"/>
  <c r="F30" i="70" s="1"/>
  <c r="F680" i="5"/>
  <c r="E680" i="5"/>
  <c r="C680" i="5"/>
  <c r="B680" i="5"/>
  <c r="A680" i="5"/>
  <c r="J679" i="5"/>
  <c r="F679" i="5"/>
  <c r="E679" i="5"/>
  <c r="C679" i="5"/>
  <c r="B679" i="5"/>
  <c r="A679" i="5"/>
  <c r="J678" i="5"/>
  <c r="M678" i="5" s="1"/>
  <c r="F678" i="5"/>
  <c r="E678" i="5"/>
  <c r="C678" i="5"/>
  <c r="B678" i="5"/>
  <c r="A678" i="5"/>
  <c r="J677" i="5"/>
  <c r="M677" i="5" s="1"/>
  <c r="F27" i="70" s="1"/>
  <c r="F677" i="5"/>
  <c r="E677" i="5"/>
  <c r="C677" i="5"/>
  <c r="B677" i="5"/>
  <c r="A677" i="5"/>
  <c r="J675" i="5"/>
  <c r="M675" i="5" s="1"/>
  <c r="F25" i="70" s="1"/>
  <c r="F675" i="5"/>
  <c r="E675" i="5"/>
  <c r="C675" i="5"/>
  <c r="B675" i="5"/>
  <c r="A675" i="5"/>
  <c r="J674" i="5"/>
  <c r="M674" i="5" s="1"/>
  <c r="F24" i="70" s="1"/>
  <c r="F674" i="5"/>
  <c r="E674" i="5"/>
  <c r="C674" i="5"/>
  <c r="B674" i="5"/>
  <c r="A674" i="5"/>
  <c r="J673" i="5"/>
  <c r="M673" i="5" s="1"/>
  <c r="F23" i="70" s="1"/>
  <c r="F673" i="5"/>
  <c r="E673" i="5"/>
  <c r="C673" i="5"/>
  <c r="B673" i="5"/>
  <c r="A673" i="5"/>
  <c r="J672" i="5"/>
  <c r="M672" i="5" s="1"/>
  <c r="K336" i="50" s="1"/>
  <c r="F672" i="5"/>
  <c r="E672" i="5"/>
  <c r="C672" i="5"/>
  <c r="B672" i="5"/>
  <c r="A672" i="5"/>
  <c r="L671" i="5"/>
  <c r="L683" i="5"/>
  <c r="K671" i="5"/>
  <c r="K683" i="5"/>
  <c r="E671" i="5"/>
  <c r="C671" i="5"/>
  <c r="B671" i="5"/>
  <c r="A671" i="5"/>
  <c r="J670" i="5"/>
  <c r="M670" i="5" s="1"/>
  <c r="F670" i="5"/>
  <c r="E670" i="5"/>
  <c r="C670" i="5"/>
  <c r="B670" i="5"/>
  <c r="A670" i="5"/>
  <c r="J669" i="5"/>
  <c r="M669" i="5" s="1"/>
  <c r="F19" i="70" s="1"/>
  <c r="F669" i="5"/>
  <c r="E669" i="5"/>
  <c r="C669" i="5"/>
  <c r="B669" i="5"/>
  <c r="A669" i="5"/>
  <c r="J667" i="5"/>
  <c r="M667" i="5" s="1"/>
  <c r="F17" i="70" s="1"/>
  <c r="F667" i="5"/>
  <c r="E667" i="5"/>
  <c r="C667" i="5"/>
  <c r="B667" i="5"/>
  <c r="A667" i="5"/>
  <c r="J666" i="5"/>
  <c r="M666" i="5" s="1"/>
  <c r="F16" i="70" s="1"/>
  <c r="F666" i="5"/>
  <c r="E666" i="5"/>
  <c r="C666" i="5"/>
  <c r="B666" i="5"/>
  <c r="A666" i="5"/>
  <c r="J665" i="5"/>
  <c r="F665" i="5"/>
  <c r="E665" i="5"/>
  <c r="C665" i="5"/>
  <c r="B665" i="5"/>
  <c r="A665" i="5"/>
  <c r="E714" i="5"/>
  <c r="C714" i="5"/>
  <c r="B714" i="5"/>
  <c r="A714" i="5"/>
  <c r="J664" i="5"/>
  <c r="M664" i="5" s="1"/>
  <c r="F14" i="70" s="1"/>
  <c r="F664" i="5"/>
  <c r="E664" i="5"/>
  <c r="C664" i="5"/>
  <c r="B664" i="5"/>
  <c r="A664" i="5"/>
  <c r="J663" i="5"/>
  <c r="M663" i="5" s="1"/>
  <c r="F13" i="70" s="1"/>
  <c r="F663" i="5"/>
  <c r="E663" i="5"/>
  <c r="C663" i="5"/>
  <c r="B663" i="5"/>
  <c r="A663" i="5"/>
  <c r="J662" i="5"/>
  <c r="M662" i="5" s="1"/>
  <c r="F12" i="70" s="1"/>
  <c r="F662" i="5"/>
  <c r="E662" i="5"/>
  <c r="C662" i="5"/>
  <c r="B662" i="5"/>
  <c r="A662" i="5"/>
  <c r="J661" i="5"/>
  <c r="M661" i="5" s="1"/>
  <c r="F11" i="70" s="1"/>
  <c r="F661" i="5"/>
  <c r="E661" i="5"/>
  <c r="C661" i="5"/>
  <c r="B661" i="5"/>
  <c r="A661" i="5"/>
  <c r="J660" i="5"/>
  <c r="M660" i="5" s="1"/>
  <c r="F10" i="70" s="1"/>
  <c r="F660" i="5"/>
  <c r="E660" i="5"/>
  <c r="C660" i="5"/>
  <c r="B660" i="5"/>
  <c r="A660" i="5"/>
  <c r="J659" i="5"/>
  <c r="M659" i="5" s="1"/>
  <c r="F9" i="70" s="1"/>
  <c r="F659" i="5"/>
  <c r="E659" i="5"/>
  <c r="C659" i="5"/>
  <c r="B659" i="5"/>
  <c r="A659" i="5"/>
  <c r="J658" i="5"/>
  <c r="M658" i="5" s="1"/>
  <c r="D44" i="48" s="1"/>
  <c r="F658" i="5"/>
  <c r="E658" i="5"/>
  <c r="C658" i="5"/>
  <c r="B658" i="5"/>
  <c r="A658" i="5"/>
  <c r="E657" i="5"/>
  <c r="C657" i="5"/>
  <c r="B657" i="5"/>
  <c r="A657" i="5"/>
  <c r="E656" i="5"/>
  <c r="C656" i="5"/>
  <c r="B656" i="5"/>
  <c r="A656" i="5"/>
  <c r="E655" i="5"/>
  <c r="E874" i="5"/>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F633" i="5"/>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c r="C193" i="5"/>
  <c r="B193" i="5"/>
  <c r="A193" i="5"/>
  <c r="E192" i="5"/>
  <c r="E813" i="5" s="1"/>
  <c r="C192" i="5"/>
  <c r="B192" i="5"/>
  <c r="A192" i="5"/>
  <c r="J191" i="5"/>
  <c r="J194" i="5" s="1"/>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J178" i="5" s="1"/>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J172" i="5" s="1"/>
  <c r="J171" i="5" s="1"/>
  <c r="J170" i="5" s="1"/>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F168" i="5"/>
  <c r="E168" i="5"/>
  <c r="E792" i="5" s="1"/>
  <c r="C168" i="5"/>
  <c r="B168" i="5"/>
  <c r="A168" i="5"/>
  <c r="E167" i="5"/>
  <c r="C167" i="5"/>
  <c r="B167" i="5"/>
  <c r="A167" i="5"/>
  <c r="E166" i="5"/>
  <c r="E797" i="5" s="1"/>
  <c r="C166" i="5"/>
  <c r="B166" i="5"/>
  <c r="A166" i="5"/>
  <c r="E165" i="5"/>
  <c r="E796" i="5"/>
  <c r="C165" i="5"/>
  <c r="B165" i="5"/>
  <c r="A165" i="5"/>
  <c r="E164" i="5"/>
  <c r="C164" i="5"/>
  <c r="B164" i="5"/>
  <c r="A164" i="5"/>
  <c r="E163" i="5"/>
  <c r="C163" i="5"/>
  <c r="B163" i="5"/>
  <c r="A163" i="5"/>
  <c r="J162" i="5"/>
  <c r="F162" i="5"/>
  <c r="F119" i="51" s="1"/>
  <c r="E162" i="5"/>
  <c r="C162" i="5"/>
  <c r="K162" i="5" s="1"/>
  <c r="B162" i="5"/>
  <c r="A162" i="5"/>
  <c r="E161" i="5"/>
  <c r="C161" i="5"/>
  <c r="B161" i="5"/>
  <c r="A161" i="5"/>
  <c r="J160" i="5"/>
  <c r="F160" i="5"/>
  <c r="E160" i="5"/>
  <c r="C160" i="5"/>
  <c r="B160" i="5"/>
  <c r="A160" i="5"/>
  <c r="J159" i="5"/>
  <c r="F159" i="5"/>
  <c r="F116" i="51"/>
  <c r="E159" i="5"/>
  <c r="C159" i="5"/>
  <c r="B159" i="5"/>
  <c r="A159" i="5"/>
  <c r="E158" i="5"/>
  <c r="C158" i="5"/>
  <c r="B158" i="5"/>
  <c r="A158" i="5"/>
  <c r="J157" i="5"/>
  <c r="F157" i="5"/>
  <c r="F114" i="51"/>
  <c r="E157" i="5"/>
  <c r="C157" i="5"/>
  <c r="B157" i="5"/>
  <c r="A157" i="5"/>
  <c r="J156" i="5"/>
  <c r="F156" i="5"/>
  <c r="F113" i="51" s="1"/>
  <c r="E156" i="5"/>
  <c r="C156" i="5"/>
  <c r="B156" i="5"/>
  <c r="A156" i="5"/>
  <c r="J155" i="5"/>
  <c r="F155" i="5"/>
  <c r="F112" i="51"/>
  <c r="E155" i="5"/>
  <c r="C155" i="5"/>
  <c r="B155" i="5"/>
  <c r="A155" i="5"/>
  <c r="J154" i="5"/>
  <c r="F154" i="5"/>
  <c r="F111" i="51" s="1"/>
  <c r="E154" i="5"/>
  <c r="C154" i="5"/>
  <c r="B154" i="5"/>
  <c r="A154" i="5"/>
  <c r="J153" i="5"/>
  <c r="J158" i="5" s="1"/>
  <c r="F153" i="5"/>
  <c r="F110" i="51"/>
  <c r="E153" i="5"/>
  <c r="C153" i="5"/>
  <c r="B153" i="5"/>
  <c r="A153" i="5"/>
  <c r="J152" i="5"/>
  <c r="F152" i="5"/>
  <c r="E152" i="5"/>
  <c r="C152" i="5"/>
  <c r="B152" i="5"/>
  <c r="A152" i="5"/>
  <c r="J151" i="5"/>
  <c r="F151" i="5"/>
  <c r="E151" i="5"/>
  <c r="C151" i="5"/>
  <c r="L151" i="5" s="1"/>
  <c r="B151" i="5"/>
  <c r="A151" i="5"/>
  <c r="J150" i="5"/>
  <c r="F150" i="5"/>
  <c r="E150" i="5"/>
  <c r="C150" i="5"/>
  <c r="B150" i="5"/>
  <c r="A150" i="5"/>
  <c r="J149" i="5"/>
  <c r="F149" i="5"/>
  <c r="F109" i="51" s="1"/>
  <c r="E149" i="5"/>
  <c r="C149" i="5"/>
  <c r="L149" i="5" s="1"/>
  <c r="B149" i="5"/>
  <c r="A149" i="5"/>
  <c r="J148" i="5"/>
  <c r="F148" i="5"/>
  <c r="F108" i="51" s="1"/>
  <c r="E148" i="5"/>
  <c r="C148" i="5"/>
  <c r="B148" i="5"/>
  <c r="A148" i="5"/>
  <c r="J147" i="5"/>
  <c r="F147" i="5"/>
  <c r="E147" i="5"/>
  <c r="C147" i="5"/>
  <c r="B147" i="5"/>
  <c r="A147" i="5"/>
  <c r="J146" i="5"/>
  <c r="F146" i="5"/>
  <c r="E146" i="5"/>
  <c r="C146" i="5"/>
  <c r="L146" i="5" s="1"/>
  <c r="B146" i="5"/>
  <c r="A146" i="5"/>
  <c r="J145" i="5"/>
  <c r="F145" i="5"/>
  <c r="E145" i="5"/>
  <c r="C145" i="5"/>
  <c r="B145" i="5"/>
  <c r="A145" i="5"/>
  <c r="J144" i="5"/>
  <c r="F144" i="5"/>
  <c r="E144" i="5"/>
  <c r="C144" i="5"/>
  <c r="B144" i="5"/>
  <c r="A144" i="5"/>
  <c r="J143" i="5"/>
  <c r="F143" i="5"/>
  <c r="F69" i="52" s="1"/>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F123" i="5"/>
  <c r="F97" i="51" s="1"/>
  <c r="E123" i="5"/>
  <c r="E873" i="5"/>
  <c r="C123" i="5"/>
  <c r="B123" i="5"/>
  <c r="A123" i="5"/>
  <c r="E122" i="5"/>
  <c r="C122" i="5"/>
  <c r="B122" i="5"/>
  <c r="A122" i="5"/>
  <c r="J121" i="5"/>
  <c r="J122" i="5" s="1"/>
  <c r="J124" i="5" s="1"/>
  <c r="F121" i="5"/>
  <c r="F95" i="51" s="1"/>
  <c r="E121" i="5"/>
  <c r="E869" i="5" s="1"/>
  <c r="C121" i="5"/>
  <c r="B121" i="5"/>
  <c r="A121" i="5"/>
  <c r="J120" i="5"/>
  <c r="F120" i="5"/>
  <c r="F94" i="51" s="1"/>
  <c r="E120" i="5"/>
  <c r="E865" i="5" s="1"/>
  <c r="C120" i="5"/>
  <c r="B120" i="5"/>
  <c r="A120" i="5"/>
  <c r="J119" i="5"/>
  <c r="F119" i="5"/>
  <c r="E119" i="5"/>
  <c r="E861" i="5"/>
  <c r="C119" i="5"/>
  <c r="B119" i="5"/>
  <c r="A119" i="5"/>
  <c r="J118" i="5"/>
  <c r="F118" i="5"/>
  <c r="E118" i="5"/>
  <c r="E857" i="5"/>
  <c r="C118" i="5"/>
  <c r="B118" i="5"/>
  <c r="A118" i="5"/>
  <c r="J117" i="5"/>
  <c r="F117" i="5"/>
  <c r="F91" i="51" s="1"/>
  <c r="E117" i="5"/>
  <c r="E853" i="5" s="1"/>
  <c r="C117" i="5"/>
  <c r="B117" i="5"/>
  <c r="A117" i="5"/>
  <c r="J116" i="5"/>
  <c r="F116" i="5"/>
  <c r="E116" i="5"/>
  <c r="E849" i="5"/>
  <c r="C116" i="5"/>
  <c r="B116" i="5"/>
  <c r="A116" i="5"/>
  <c r="J115" i="5"/>
  <c r="F115" i="5"/>
  <c r="E115" i="5"/>
  <c r="E845" i="5" s="1"/>
  <c r="C115" i="5"/>
  <c r="L115" i="5" s="1"/>
  <c r="B115" i="5"/>
  <c r="A115" i="5"/>
  <c r="J114" i="5"/>
  <c r="F114" i="5"/>
  <c r="E114" i="5"/>
  <c r="E841" i="5"/>
  <c r="C114" i="5"/>
  <c r="B114" i="5"/>
  <c r="A114" i="5"/>
  <c r="J113" i="5"/>
  <c r="F113" i="5"/>
  <c r="E113" i="5"/>
  <c r="E837" i="5" s="1"/>
  <c r="C113" i="5"/>
  <c r="B113" i="5"/>
  <c r="A113" i="5"/>
  <c r="J112" i="5"/>
  <c r="F112" i="5"/>
  <c r="F88" i="51"/>
  <c r="E112" i="5"/>
  <c r="C112" i="5"/>
  <c r="B112" i="5"/>
  <c r="A112" i="5"/>
  <c r="J111" i="5"/>
  <c r="F111" i="5"/>
  <c r="E111" i="5"/>
  <c r="E833" i="5"/>
  <c r="C111" i="5"/>
  <c r="B111" i="5"/>
  <c r="A111" i="5"/>
  <c r="E110" i="5"/>
  <c r="C110" i="5"/>
  <c r="B110" i="5"/>
  <c r="A110" i="5"/>
  <c r="E109" i="5"/>
  <c r="C109" i="5"/>
  <c r="B109" i="5"/>
  <c r="A109" i="5"/>
  <c r="E108" i="5"/>
  <c r="C108" i="5"/>
  <c r="B108" i="5"/>
  <c r="A108" i="5"/>
  <c r="J107" i="5"/>
  <c r="F107" i="5"/>
  <c r="F83" i="51" s="1"/>
  <c r="E107" i="5"/>
  <c r="C107" i="5"/>
  <c r="B107" i="5"/>
  <c r="A107" i="5"/>
  <c r="J106" i="5"/>
  <c r="F106" i="5"/>
  <c r="F82" i="51"/>
  <c r="E106" i="5"/>
  <c r="C106" i="5"/>
  <c r="K106" i="5" s="1"/>
  <c r="B106" i="5"/>
  <c r="A106" i="5"/>
  <c r="J105" i="5"/>
  <c r="F105" i="5"/>
  <c r="F81" i="51" s="1"/>
  <c r="E105" i="5"/>
  <c r="C105" i="5"/>
  <c r="B105" i="5"/>
  <c r="A105" i="5"/>
  <c r="J104" i="5"/>
  <c r="F104" i="5"/>
  <c r="F80" i="51"/>
  <c r="E104" i="5"/>
  <c r="C104" i="5"/>
  <c r="B104" i="5"/>
  <c r="A104" i="5"/>
  <c r="J103" i="5"/>
  <c r="F103" i="5"/>
  <c r="F79" i="51" s="1"/>
  <c r="E103" i="5"/>
  <c r="C103" i="5"/>
  <c r="B103" i="5"/>
  <c r="A103" i="5"/>
  <c r="J102" i="5"/>
  <c r="F102" i="5"/>
  <c r="F78" i="51" s="1"/>
  <c r="E102" i="5"/>
  <c r="C102" i="5"/>
  <c r="B102" i="5"/>
  <c r="A102" i="5"/>
  <c r="J101" i="5"/>
  <c r="F101" i="5"/>
  <c r="F77" i="51"/>
  <c r="E101" i="5"/>
  <c r="C101" i="5"/>
  <c r="B101" i="5"/>
  <c r="A101" i="5"/>
  <c r="E100" i="5"/>
  <c r="C100" i="5"/>
  <c r="B100" i="5"/>
  <c r="A100" i="5"/>
  <c r="J99" i="5"/>
  <c r="F99" i="5"/>
  <c r="E99" i="5"/>
  <c r="C99" i="5"/>
  <c r="B99" i="5"/>
  <c r="A99" i="5"/>
  <c r="J98" i="5"/>
  <c r="F98" i="5"/>
  <c r="E98" i="5"/>
  <c r="C98" i="5"/>
  <c r="B98" i="5"/>
  <c r="A98" i="5"/>
  <c r="J97" i="5"/>
  <c r="F97" i="5"/>
  <c r="E97" i="5"/>
  <c r="C97" i="5"/>
  <c r="L97" i="5" s="1"/>
  <c r="B97" i="5"/>
  <c r="A97" i="5"/>
  <c r="J96" i="5"/>
  <c r="F96" i="5"/>
  <c r="F75" i="51" s="1"/>
  <c r="E96" i="5"/>
  <c r="C96" i="5"/>
  <c r="L96" i="5" s="1"/>
  <c r="B96" i="5"/>
  <c r="A96" i="5"/>
  <c r="J95" i="5"/>
  <c r="F95" i="5"/>
  <c r="F74" i="51" s="1"/>
  <c r="E95" i="5"/>
  <c r="C95" i="5"/>
  <c r="B95" i="5"/>
  <c r="A95" i="5"/>
  <c r="E93" i="5"/>
  <c r="C93" i="5"/>
  <c r="B93" i="5"/>
  <c r="A93" i="5"/>
  <c r="E92" i="5"/>
  <c r="C92" i="5"/>
  <c r="B92" i="5"/>
  <c r="A92" i="5"/>
  <c r="J91" i="5"/>
  <c r="F91" i="5"/>
  <c r="F71" i="51" s="1"/>
  <c r="E91" i="5"/>
  <c r="C91" i="5"/>
  <c r="B91" i="5"/>
  <c r="A91" i="5"/>
  <c r="J90" i="5"/>
  <c r="F90" i="5"/>
  <c r="F70" i="5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c r="E85" i="5"/>
  <c r="C85" i="5"/>
  <c r="B85" i="5"/>
  <c r="A85" i="5"/>
  <c r="J84" i="5"/>
  <c r="F84" i="5"/>
  <c r="F67" i="51" s="1"/>
  <c r="E84" i="5"/>
  <c r="C84" i="5"/>
  <c r="B84" i="5"/>
  <c r="A84" i="5"/>
  <c r="E83" i="5"/>
  <c r="C83" i="5"/>
  <c r="B83" i="5"/>
  <c r="A83" i="5"/>
  <c r="J82" i="5"/>
  <c r="F82" i="5"/>
  <c r="F65" i="5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c r="E75" i="5"/>
  <c r="C75" i="5"/>
  <c r="B75" i="5"/>
  <c r="A75" i="5"/>
  <c r="J74" i="5"/>
  <c r="F74" i="5"/>
  <c r="F62" i="51" s="1"/>
  <c r="E74" i="5"/>
  <c r="C74" i="5"/>
  <c r="B74" i="5"/>
  <c r="A74" i="5"/>
  <c r="J73" i="5"/>
  <c r="J72" i="5" s="1"/>
  <c r="F73" i="5"/>
  <c r="E73" i="5"/>
  <c r="C73" i="5"/>
  <c r="B73" i="5"/>
  <c r="A73" i="5"/>
  <c r="E72" i="5"/>
  <c r="C72" i="5"/>
  <c r="B72" i="5"/>
  <c r="A72" i="5"/>
  <c r="J71" i="5"/>
  <c r="F71" i="5"/>
  <c r="F60" i="5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F57" i="51" s="1"/>
  <c r="E66" i="5"/>
  <c r="C66" i="5"/>
  <c r="B66" i="5"/>
  <c r="A66" i="5"/>
  <c r="E65" i="5"/>
  <c r="C65" i="5"/>
  <c r="B65" i="5"/>
  <c r="A65" i="5"/>
  <c r="E64" i="5"/>
  <c r="E786" i="5"/>
  <c r="C64" i="5"/>
  <c r="B64" i="5"/>
  <c r="A64" i="5"/>
  <c r="E63" i="5"/>
  <c r="C63" i="5"/>
  <c r="B63" i="5"/>
  <c r="A63" i="5"/>
  <c r="J62" i="5"/>
  <c r="F62" i="5"/>
  <c r="F53" i="51" s="1"/>
  <c r="E62" i="5"/>
  <c r="C62" i="5"/>
  <c r="B62" i="5"/>
  <c r="A62" i="5"/>
  <c r="J61" i="5"/>
  <c r="F61" i="5"/>
  <c r="F52" i="51"/>
  <c r="E61" i="5"/>
  <c r="C61" i="5"/>
  <c r="B61" i="5"/>
  <c r="A61" i="5"/>
  <c r="J60" i="5"/>
  <c r="F60" i="5"/>
  <c r="F51" i="51"/>
  <c r="E60" i="5"/>
  <c r="C60" i="5"/>
  <c r="B60" i="5"/>
  <c r="A60" i="5"/>
  <c r="J59" i="5"/>
  <c r="F59" i="5"/>
  <c r="F50" i="51" s="1"/>
  <c r="E59" i="5"/>
  <c r="C59" i="5"/>
  <c r="B59" i="5"/>
  <c r="A59" i="5"/>
  <c r="J58" i="5"/>
  <c r="F58" i="5"/>
  <c r="F49" i="51"/>
  <c r="E58" i="5"/>
  <c r="C58" i="5"/>
  <c r="B58" i="5"/>
  <c r="A58" i="5"/>
  <c r="J57" i="5"/>
  <c r="F57" i="5"/>
  <c r="F48" i="51" s="1"/>
  <c r="E57" i="5"/>
  <c r="C57" i="5"/>
  <c r="B57" i="5"/>
  <c r="A57" i="5"/>
  <c r="J56" i="5"/>
  <c r="F56" i="5"/>
  <c r="E56" i="5"/>
  <c r="C56" i="5"/>
  <c r="B56" i="5"/>
  <c r="A56" i="5"/>
  <c r="J55" i="5"/>
  <c r="F55" i="5"/>
  <c r="F47" i="51"/>
  <c r="E55" i="5"/>
  <c r="C55" i="5"/>
  <c r="L55" i="5" s="1"/>
  <c r="B55" i="5"/>
  <c r="A55" i="5"/>
  <c r="J54" i="5"/>
  <c r="F54" i="5"/>
  <c r="F46" i="51" s="1"/>
  <c r="E54" i="5"/>
  <c r="C54" i="5"/>
  <c r="B54" i="5"/>
  <c r="A54" i="5"/>
  <c r="J53" i="5"/>
  <c r="F53" i="5"/>
  <c r="F45" i="51"/>
  <c r="E53" i="5"/>
  <c r="C53" i="5"/>
  <c r="B53" i="5"/>
  <c r="A53" i="5"/>
  <c r="J52" i="5"/>
  <c r="F52" i="5"/>
  <c r="F44" i="51" s="1"/>
  <c r="E52" i="5"/>
  <c r="C52" i="5"/>
  <c r="B52" i="5"/>
  <c r="A52" i="5"/>
  <c r="E51" i="5"/>
  <c r="C51" i="5"/>
  <c r="B51" i="5"/>
  <c r="A51" i="5"/>
  <c r="J50" i="5"/>
  <c r="F50" i="5"/>
  <c r="F42" i="51" s="1"/>
  <c r="E50" i="5"/>
  <c r="C50" i="5"/>
  <c r="B50" i="5"/>
  <c r="A50" i="5"/>
  <c r="J49" i="5"/>
  <c r="F49" i="5"/>
  <c r="F41" i="51"/>
  <c r="E49" i="5"/>
  <c r="C49" i="5"/>
  <c r="B49" i="5"/>
  <c r="A49" i="5"/>
  <c r="E48" i="5"/>
  <c r="C48" i="5"/>
  <c r="B48" i="5"/>
  <c r="A48" i="5"/>
  <c r="J47" i="5"/>
  <c r="F47" i="5"/>
  <c r="F39" i="51"/>
  <c r="E47" i="5"/>
  <c r="C47" i="5"/>
  <c r="B47" i="5"/>
  <c r="A47" i="5"/>
  <c r="J46" i="5"/>
  <c r="F46" i="5"/>
  <c r="F38" i="51" s="1"/>
  <c r="E46" i="5"/>
  <c r="C46" i="5"/>
  <c r="B46" i="5"/>
  <c r="A46" i="5"/>
  <c r="J45" i="5"/>
  <c r="F45" i="5"/>
  <c r="F37" i="51"/>
  <c r="E45" i="5"/>
  <c r="C45" i="5"/>
  <c r="K45" i="5" s="1"/>
  <c r="B45" i="5"/>
  <c r="A45" i="5"/>
  <c r="J44" i="5"/>
  <c r="F44" i="5"/>
  <c r="F36" i="51" s="1"/>
  <c r="E44" i="5"/>
  <c r="C44" i="5"/>
  <c r="B44" i="5"/>
  <c r="A44" i="5"/>
  <c r="J43" i="5"/>
  <c r="F43" i="5"/>
  <c r="F35" i="51"/>
  <c r="E43" i="5"/>
  <c r="C43" i="5"/>
  <c r="B43" i="5"/>
  <c r="A43" i="5"/>
  <c r="J42" i="5"/>
  <c r="F42" i="5"/>
  <c r="F34" i="51" s="1"/>
  <c r="E42" i="5"/>
  <c r="C42" i="5"/>
  <c r="B42" i="5"/>
  <c r="A42" i="5"/>
  <c r="J41" i="5"/>
  <c r="F41" i="5"/>
  <c r="F33" i="51" s="1"/>
  <c r="E41" i="5"/>
  <c r="C41" i="5"/>
  <c r="B41" i="5"/>
  <c r="A41" i="5"/>
  <c r="J40" i="5"/>
  <c r="F40" i="5"/>
  <c r="F32" i="51"/>
  <c r="E40" i="5"/>
  <c r="C40" i="5"/>
  <c r="B40" i="5"/>
  <c r="A40" i="5"/>
  <c r="J39" i="5"/>
  <c r="F39" i="5"/>
  <c r="F31" i="5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c r="E34" i="5"/>
  <c r="C34" i="5"/>
  <c r="B34" i="5"/>
  <c r="A34" i="5"/>
  <c r="J33" i="5"/>
  <c r="F33" i="5"/>
  <c r="F26" i="51" s="1"/>
  <c r="E33" i="5"/>
  <c r="C33" i="5"/>
  <c r="L33" i="5" s="1"/>
  <c r="B33" i="5"/>
  <c r="A33" i="5"/>
  <c r="J32" i="5"/>
  <c r="F32" i="5"/>
  <c r="F25" i="51" s="1"/>
  <c r="E32" i="5"/>
  <c r="C32" i="5"/>
  <c r="B32" i="5"/>
  <c r="A32" i="5"/>
  <c r="J31" i="5"/>
  <c r="F31" i="5"/>
  <c r="E31" i="5"/>
  <c r="C31" i="5"/>
  <c r="B31" i="5"/>
  <c r="A31" i="5"/>
  <c r="J30" i="5"/>
  <c r="F30" i="5"/>
  <c r="F49" i="52" s="1"/>
  <c r="E30" i="5"/>
  <c r="C30" i="5"/>
  <c r="B30" i="5"/>
  <c r="A30" i="5"/>
  <c r="J29" i="5"/>
  <c r="F29" i="5"/>
  <c r="E29" i="5"/>
  <c r="C29" i="5"/>
  <c r="B29" i="5"/>
  <c r="A29" i="5"/>
  <c r="J28" i="5"/>
  <c r="F28" i="5"/>
  <c r="E28" i="5"/>
  <c r="C28" i="5"/>
  <c r="B28" i="5"/>
  <c r="A28" i="5"/>
  <c r="J27" i="5"/>
  <c r="F27" i="5"/>
  <c r="F23" i="51"/>
  <c r="E27" i="5"/>
  <c r="C27" i="5"/>
  <c r="B27" i="5"/>
  <c r="A27" i="5"/>
  <c r="J26" i="5"/>
  <c r="F26" i="5"/>
  <c r="F22" i="51"/>
  <c r="E26" i="5"/>
  <c r="C26" i="5"/>
  <c r="L26" i="5" s="1"/>
  <c r="B26" i="5"/>
  <c r="A26" i="5"/>
  <c r="E25" i="5"/>
  <c r="C25" i="5"/>
  <c r="B25" i="5"/>
  <c r="A25" i="5"/>
  <c r="J24" i="5"/>
  <c r="F24" i="5"/>
  <c r="E24" i="5"/>
  <c r="C24" i="5"/>
  <c r="B24" i="5"/>
  <c r="A24" i="5"/>
  <c r="J23" i="5"/>
  <c r="F23" i="5"/>
  <c r="E23" i="5"/>
  <c r="C23" i="5"/>
  <c r="L23" i="5" s="1"/>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c r="E16" i="5"/>
  <c r="C16" i="5"/>
  <c r="B16" i="5"/>
  <c r="A16" i="5"/>
  <c r="J15" i="5"/>
  <c r="F15" i="5"/>
  <c r="F15" i="51" s="1"/>
  <c r="E15" i="5"/>
  <c r="C15" i="5"/>
  <c r="B15" i="5"/>
  <c r="A15" i="5"/>
  <c r="J14" i="5"/>
  <c r="F14" i="5"/>
  <c r="F14" i="51"/>
  <c r="E14" i="5"/>
  <c r="C14" i="5"/>
  <c r="B14" i="5"/>
  <c r="A14" i="5"/>
  <c r="J13" i="5"/>
  <c r="F13" i="5"/>
  <c r="E13" i="5"/>
  <c r="C13" i="5"/>
  <c r="K13" i="5" s="1"/>
  <c r="B13" i="5"/>
  <c r="A13" i="5"/>
  <c r="J12" i="5"/>
  <c r="F12" i="5"/>
  <c r="E12" i="5"/>
  <c r="C12" i="5"/>
  <c r="L12" i="5" s="1"/>
  <c r="B12" i="5"/>
  <c r="A12" i="5"/>
  <c r="J11" i="5"/>
  <c r="F94" i="8"/>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c r="O14" i="2"/>
  <c r="AC47" i="2"/>
  <c r="M14" i="2"/>
  <c r="AA47" i="2"/>
  <c r="K14" i="2"/>
  <c r="Y47" i="2"/>
  <c r="J14" i="2"/>
  <c r="X47" i="2"/>
  <c r="I14" i="2"/>
  <c r="H14" i="2"/>
  <c r="V47" i="2"/>
  <c r="G14" i="2"/>
  <c r="U47" i="2"/>
  <c r="F14" i="2"/>
  <c r="T47" i="2"/>
  <c r="E14" i="2"/>
  <c r="S47" i="2"/>
  <c r="C14" i="2"/>
  <c r="AE13" i="2"/>
  <c r="Q13" i="2"/>
  <c r="C13" i="2"/>
  <c r="AE12" i="2"/>
  <c r="Q12" i="2"/>
  <c r="C12" i="2"/>
  <c r="AE11" i="2"/>
  <c r="Q11" i="2"/>
  <c r="C11" i="2"/>
  <c r="AE10" i="2"/>
  <c r="Q10" i="2"/>
  <c r="C10" i="2"/>
  <c r="AE9" i="2"/>
  <c r="C9" i="2"/>
  <c r="M47" i="2" s="1"/>
  <c r="C5" i="2"/>
  <c r="C4" i="2"/>
  <c r="F122" i="8"/>
  <c r="F121" i="8"/>
  <c r="F123" i="8" s="1"/>
  <c r="F124" i="8" s="1"/>
  <c r="C109" i="8"/>
  <c r="C98" i="8"/>
  <c r="C125" i="8"/>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c r="A65" i="8"/>
  <c r="C64" i="8"/>
  <c r="C103" i="8"/>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F127" i="21" s="1"/>
  <c r="F128" i="21" s="1"/>
  <c r="E76" i="21"/>
  <c r="E125" i="21"/>
  <c r="C76" i="21"/>
  <c r="C97" i="21" s="1"/>
  <c r="C125" i="2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A51" i="21"/>
  <c r="C49" i="21"/>
  <c r="A49" i="21"/>
  <c r="C48" i="21"/>
  <c r="C93" i="21" s="1"/>
  <c r="A48" i="21"/>
  <c r="C47" i="21"/>
  <c r="A47" i="21"/>
  <c r="C46" i="21"/>
  <c r="A46" i="21"/>
  <c r="C101" i="21"/>
  <c r="A45" i="21"/>
  <c r="C44" i="21"/>
  <c r="A44" i="21"/>
  <c r="A43" i="21"/>
  <c r="C42" i="21"/>
  <c r="A42" i="21"/>
  <c r="C41" i="21"/>
  <c r="A41" i="21"/>
  <c r="E40" i="21"/>
  <c r="E43" i="21"/>
  <c r="E45" i="21"/>
  <c r="E92" i="21"/>
  <c r="E94" i="21"/>
  <c r="E95" i="2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c r="D68" i="7"/>
  <c r="D96" i="7"/>
  <c r="I67" i="7"/>
  <c r="D67" i="7"/>
  <c r="I66" i="7"/>
  <c r="AE55" i="2"/>
  <c r="K65" i="7"/>
  <c r="K67" i="7"/>
  <c r="Q55" i="2"/>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c r="F43" i="5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c r="F6" i="4"/>
  <c r="H5" i="4"/>
  <c r="H7" i="4"/>
  <c r="M679" i="5"/>
  <c r="M699" i="5"/>
  <c r="F32" i="74" s="1"/>
  <c r="M665" i="5"/>
  <c r="F15" i="70" s="1"/>
  <c r="D35" i="6"/>
  <c r="G35" i="6"/>
  <c r="G35" i="13"/>
  <c r="D35" i="13"/>
  <c r="G18" i="12"/>
  <c r="D18" i="12"/>
  <c r="G25" i="12"/>
  <c r="D25" i="12"/>
  <c r="D19" i="6"/>
  <c r="G19" i="6"/>
  <c r="D29" i="6"/>
  <c r="G29" i="6"/>
  <c r="G36" i="12"/>
  <c r="D36" i="12"/>
  <c r="D23" i="11"/>
  <c r="G23" i="11"/>
  <c r="D33" i="11"/>
  <c r="G33" i="11"/>
  <c r="G34" i="12"/>
  <c r="D34" i="12"/>
  <c r="G19" i="13"/>
  <c r="D19" i="13"/>
  <c r="D17" i="11"/>
  <c r="G17" i="11"/>
  <c r="G20" i="12"/>
  <c r="D20" i="12"/>
  <c r="F11" i="12"/>
  <c r="H115" i="47"/>
  <c r="U3" i="18"/>
  <c r="L6" i="72"/>
  <c r="H6" i="68"/>
  <c r="E69" i="68"/>
  <c r="H6" i="72"/>
  <c r="E60" i="72"/>
  <c r="L6" i="68"/>
  <c r="P15" i="2"/>
  <c r="AE11" i="11"/>
  <c r="AE27" i="11"/>
  <c r="D26" i="6"/>
  <c r="D28" i="6"/>
  <c r="D14" i="13"/>
  <c r="D16" i="13"/>
  <c r="D18" i="13"/>
  <c r="D21" i="13"/>
  <c r="D30" i="13"/>
  <c r="D32" i="13"/>
  <c r="D34" i="13"/>
  <c r="D37" i="13"/>
  <c r="D14" i="11"/>
  <c r="D16" i="11"/>
  <c r="D30" i="11"/>
  <c r="D32" i="11"/>
  <c r="D24" i="12"/>
  <c r="AE26" i="12"/>
  <c r="F34" i="12"/>
  <c r="F38" i="12"/>
  <c r="G24" i="13"/>
  <c r="AE23" i="11"/>
  <c r="G10" i="12"/>
  <c r="AE18" i="12"/>
  <c r="AE20" i="12"/>
  <c r="G26" i="12"/>
  <c r="AE34" i="12"/>
  <c r="AE36" i="12"/>
  <c r="Q38" i="12"/>
  <c r="AE38" i="12"/>
  <c r="B38" i="12"/>
  <c r="Q10" i="12"/>
  <c r="AE10" i="12"/>
  <c r="B10" i="12"/>
  <c r="B9" i="12"/>
  <c r="N38" i="13"/>
  <c r="T38" i="13"/>
  <c r="N10" i="13"/>
  <c r="P40" i="13" s="1"/>
  <c r="T10" i="13"/>
  <c r="B9" i="13"/>
  <c r="Q38" i="6"/>
  <c r="AE38" i="6" s="1"/>
  <c r="B38" i="6"/>
  <c r="Q10" i="6"/>
  <c r="AE10" i="6" s="1"/>
  <c r="B10" i="6"/>
  <c r="L734" i="18"/>
  <c r="R853" i="18"/>
  <c r="L756" i="18"/>
  <c r="M1794" i="18"/>
  <c r="J2073" i="18"/>
  <c r="M2645" i="18"/>
  <c r="O1860" i="18"/>
  <c r="M3932" i="18"/>
  <c r="J4130"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H3650" i="18"/>
  <c r="H3674" i="18"/>
  <c r="H1862" i="18"/>
  <c r="H1920" i="18"/>
  <c r="H1675" i="18"/>
  <c r="H1692" i="18"/>
  <c r="Q1665" i="18"/>
  <c r="H1677" i="18"/>
  <c r="H1421" i="18"/>
  <c r="H1442" i="18"/>
  <c r="H1072" i="18"/>
  <c r="H1094" i="18"/>
  <c r="N1478" i="18"/>
  <c r="J1482" i="18"/>
  <c r="H1036" i="18"/>
  <c r="H1319" i="18"/>
  <c r="M442" i="18"/>
  <c r="M350" i="18"/>
  <c r="O595" i="18"/>
  <c r="N579" i="18"/>
  <c r="H596" i="18"/>
  <c r="N448" i="18"/>
  <c r="H463" i="18"/>
  <c r="D5223" i="18"/>
  <c r="K515" i="18"/>
  <c r="H530" i="18"/>
  <c r="K356" i="18"/>
  <c r="H373" i="18"/>
  <c r="H395" i="18"/>
  <c r="L372" i="18"/>
  <c r="K394" i="18"/>
  <c r="H441" i="18"/>
  <c r="H371" i="18"/>
  <c r="D5235" i="18"/>
  <c r="D5248" i="18"/>
  <c r="D5260" i="18"/>
  <c r="D5215" i="18"/>
  <c r="D5228" i="18"/>
  <c r="D5234" i="18"/>
  <c r="D5245" i="18"/>
  <c r="D5253" i="18"/>
  <c r="D5259" i="18"/>
  <c r="D5265" i="18"/>
  <c r="D5220" i="18"/>
  <c r="D5214" i="18"/>
  <c r="D5225" i="18"/>
  <c r="D5233" i="18"/>
  <c r="D5244" i="18"/>
  <c r="D5250" i="18"/>
  <c r="D5258" i="18"/>
  <c r="D5264" i="18"/>
  <c r="D5270" i="18"/>
  <c r="D5219" i="18"/>
  <c r="D5252" i="18"/>
  <c r="D5213" i="18"/>
  <c r="D5212" i="18"/>
  <c r="D5238" i="18"/>
  <c r="D5227" i="18"/>
  <c r="D5217" i="18"/>
  <c r="D5267" i="18"/>
  <c r="D5239" i="18"/>
  <c r="D5232" i="18"/>
  <c r="D5222" i="18"/>
  <c r="D5262" i="18"/>
  <c r="D5240" i="18"/>
  <c r="D5237" i="18"/>
  <c r="D5242" i="18"/>
  <c r="D5247" i="18"/>
  <c r="D5257" i="18"/>
  <c r="D5229" i="18"/>
  <c r="D5254" i="18"/>
  <c r="D5268" i="18"/>
  <c r="D5224" i="18"/>
  <c r="D5230" i="18"/>
  <c r="D5243" i="18"/>
  <c r="D5249" i="18"/>
  <c r="D5255" i="18"/>
  <c r="D5263" i="18"/>
  <c r="D5269" i="18"/>
  <c r="D5218" i="18"/>
  <c r="K3667" i="18"/>
  <c r="Q4372" i="18"/>
  <c r="Q4379" i="18"/>
  <c r="M1953" i="18"/>
  <c r="M1959" i="18" s="1"/>
  <c r="N1947" i="18" s="1"/>
  <c r="O4397" i="18"/>
  <c r="K4410" i="18"/>
  <c r="H4115" i="18"/>
  <c r="K4107" i="18" s="1"/>
  <c r="Q3957" i="18"/>
  <c r="Q1753" i="18"/>
  <c r="Q1961" i="18"/>
  <c r="Q2391" i="18"/>
  <c r="N251" i="18"/>
  <c r="H268" i="18"/>
  <c r="O267" i="18"/>
  <c r="M186" i="18"/>
  <c r="K230" i="18"/>
  <c r="L208" i="18"/>
  <c r="Q1682" i="18"/>
  <c r="Q2368" i="18"/>
  <c r="K214" i="18"/>
  <c r="H231" i="18"/>
  <c r="K192" i="18"/>
  <c r="H209" i="18"/>
  <c r="Q3578" i="18"/>
  <c r="Q3937" i="18"/>
  <c r="Q130" i="18"/>
  <c r="Q2810" i="18"/>
  <c r="Q2897" i="18"/>
  <c r="K2696" i="18"/>
  <c r="O2696" i="18"/>
  <c r="K1055" i="18"/>
  <c r="K1043" i="18" s="1"/>
  <c r="K1231" i="18"/>
  <c r="K1219" i="18" s="1"/>
  <c r="H2494" i="18"/>
  <c r="N2463" i="18"/>
  <c r="L2494" i="18"/>
  <c r="P2494" i="18"/>
  <c r="K2494" i="18"/>
  <c r="O2494" i="18"/>
  <c r="E95" i="8"/>
  <c r="F761" i="5" s="1"/>
  <c r="I761" i="5" s="1"/>
  <c r="E75" i="74" s="1"/>
  <c r="H5132" i="18" s="1"/>
  <c r="C117" i="8"/>
  <c r="F13" i="51"/>
  <c r="F90" i="51"/>
  <c r="J2494" i="18"/>
  <c r="N2494" i="18"/>
  <c r="I2494" i="18"/>
  <c r="M2494" i="18"/>
  <c r="R2494" i="18"/>
  <c r="Q3491" i="18"/>
  <c r="F27" i="13"/>
  <c r="F26" i="11"/>
  <c r="F11" i="13"/>
  <c r="F15" i="13"/>
  <c r="F15" i="12"/>
  <c r="F23" i="13"/>
  <c r="F22" i="11"/>
  <c r="F10" i="11"/>
  <c r="F38" i="11"/>
  <c r="F27" i="12"/>
  <c r="F31" i="12"/>
  <c r="F30" i="13"/>
  <c r="F34" i="13"/>
  <c r="F35" i="13"/>
  <c r="F33" i="11"/>
  <c r="F34" i="11"/>
  <c r="F35" i="12"/>
  <c r="F31" i="13"/>
  <c r="F30" i="11"/>
  <c r="F18" i="12"/>
  <c r="F22" i="12"/>
  <c r="F23" i="12"/>
  <c r="F14" i="13"/>
  <c r="F18" i="13"/>
  <c r="F19" i="13"/>
  <c r="F13" i="11"/>
  <c r="F17" i="11"/>
  <c r="F18" i="11"/>
  <c r="F19" i="12"/>
  <c r="L709" i="5"/>
  <c r="L711" i="5"/>
  <c r="L713" i="5"/>
  <c r="K709" i="5"/>
  <c r="F106" i="51"/>
  <c r="G37" i="6"/>
  <c r="G10" i="13"/>
  <c r="G26" i="13"/>
  <c r="F38" i="13"/>
  <c r="G27" i="11"/>
  <c r="F12" i="12"/>
  <c r="G14" i="12"/>
  <c r="G16" i="12"/>
  <c r="G32" i="12"/>
  <c r="G21" i="6"/>
  <c r="G23" i="6"/>
  <c r="G12" i="13"/>
  <c r="F22" i="13"/>
  <c r="F24" i="13"/>
  <c r="G28" i="13"/>
  <c r="G11" i="11"/>
  <c r="F21" i="11"/>
  <c r="G25" i="11"/>
  <c r="F37" i="11"/>
  <c r="F10" i="12"/>
  <c r="F26" i="12"/>
  <c r="F28" i="12"/>
  <c r="G30" i="12"/>
  <c r="D15" i="2"/>
  <c r="H15" i="2"/>
  <c r="L15" i="2"/>
  <c r="D18" i="6"/>
  <c r="D20" i="6"/>
  <c r="F21" i="6"/>
  <c r="D34" i="6"/>
  <c r="D36" i="6"/>
  <c r="F10" i="13"/>
  <c r="F12" i="13"/>
  <c r="D23" i="13"/>
  <c r="D25" i="13"/>
  <c r="F26" i="13"/>
  <c r="F28" i="13"/>
  <c r="D3" i="11"/>
  <c r="F11" i="11"/>
  <c r="D22" i="11"/>
  <c r="D24" i="11"/>
  <c r="F25" i="11"/>
  <c r="F27" i="11"/>
  <c r="D38" i="11"/>
  <c r="D11" i="12"/>
  <c r="D13" i="12"/>
  <c r="F16" i="12"/>
  <c r="D27" i="12"/>
  <c r="D29" i="12"/>
  <c r="F30" i="12"/>
  <c r="F32" i="12"/>
  <c r="M15" i="2"/>
  <c r="G15" i="2"/>
  <c r="D3" i="6"/>
  <c r="D22" i="6"/>
  <c r="D24" i="6"/>
  <c r="D38" i="6"/>
  <c r="D11" i="13"/>
  <c r="D13" i="13"/>
  <c r="D27" i="13"/>
  <c r="D29" i="13"/>
  <c r="F32" i="13"/>
  <c r="D10" i="11"/>
  <c r="D12" i="11"/>
  <c r="F15" i="11"/>
  <c r="D26" i="11"/>
  <c r="D28" i="11"/>
  <c r="F31" i="11"/>
  <c r="D15" i="12"/>
  <c r="D17" i="12"/>
  <c r="F20" i="12"/>
  <c r="D31" i="12"/>
  <c r="D33" i="12"/>
  <c r="F36" i="12"/>
  <c r="F36" i="13"/>
  <c r="F19" i="11"/>
  <c r="F35" i="11"/>
  <c r="F24" i="12"/>
  <c r="AE20" i="6"/>
  <c r="AE24" i="6"/>
  <c r="AE32" i="6"/>
  <c r="Q1597" i="18"/>
  <c r="Q19" i="2"/>
  <c r="M40" i="2"/>
  <c r="M54" i="2"/>
  <c r="Q29" i="2"/>
  <c r="F13" i="13"/>
  <c r="F17" i="13"/>
  <c r="F21" i="13"/>
  <c r="F25" i="13"/>
  <c r="F29" i="13"/>
  <c r="F33" i="13"/>
  <c r="F12" i="11"/>
  <c r="F20" i="11"/>
  <c r="F24" i="11"/>
  <c r="F28" i="11"/>
  <c r="F32" i="11"/>
  <c r="F36" i="11"/>
  <c r="F17" i="12"/>
  <c r="F21" i="12"/>
  <c r="F25" i="12"/>
  <c r="F29" i="12"/>
  <c r="F33" i="12"/>
  <c r="F37" i="12"/>
  <c r="J83" i="5"/>
  <c r="F100" i="5"/>
  <c r="F76" i="51" s="1"/>
  <c r="K51" i="7"/>
  <c r="J48" i="5"/>
  <c r="F48" i="5"/>
  <c r="F40" i="51" s="1"/>
  <c r="F67" i="7"/>
  <c r="G40" i="2"/>
  <c r="G54" i="2"/>
  <c r="G56" i="2"/>
  <c r="G57" i="2"/>
  <c r="AC48" i="2"/>
  <c r="AC49" i="2" s="1"/>
  <c r="AC50" i="2" s="1"/>
  <c r="F15" i="2"/>
  <c r="F40" i="2"/>
  <c r="F54" i="2"/>
  <c r="F56" i="2"/>
  <c r="F57" i="2"/>
  <c r="AE36" i="2"/>
  <c r="K15" i="2"/>
  <c r="O15" i="2"/>
  <c r="O40" i="2"/>
  <c r="O54" i="2"/>
  <c r="O56" i="2"/>
  <c r="O57" i="2"/>
  <c r="E15" i="2"/>
  <c r="E40" i="2"/>
  <c r="E54" i="2"/>
  <c r="E56" i="2"/>
  <c r="E57" i="2"/>
  <c r="I15" i="2"/>
  <c r="I40" i="2"/>
  <c r="I54" i="2"/>
  <c r="I56" i="2"/>
  <c r="I57" i="2"/>
  <c r="Q36" i="2"/>
  <c r="W47" i="2"/>
  <c r="AE18" i="6"/>
  <c r="AE22" i="6"/>
  <c r="AE26" i="6"/>
  <c r="AE30" i="6"/>
  <c r="AE34" i="6"/>
  <c r="K40" i="2"/>
  <c r="K54" i="2"/>
  <c r="K56" i="2"/>
  <c r="K57" i="2"/>
  <c r="Q24" i="2"/>
  <c r="M56" i="2"/>
  <c r="M57" i="2"/>
  <c r="H40" i="2"/>
  <c r="H54" i="2"/>
  <c r="P40" i="2"/>
  <c r="P54" i="2"/>
  <c r="P56" i="2"/>
  <c r="P57" i="2"/>
  <c r="H56" i="2"/>
  <c r="H57" i="2"/>
  <c r="R9" i="11"/>
  <c r="Q9" i="12"/>
  <c r="AE9" i="12" s="1"/>
  <c r="R36" i="12"/>
  <c r="J17" i="5"/>
  <c r="F17" i="51"/>
  <c r="F61" i="51"/>
  <c r="F72" i="5"/>
  <c r="K711" i="5"/>
  <c r="K713" i="5"/>
  <c r="Q12" i="11"/>
  <c r="AE12" i="11"/>
  <c r="Q9" i="6"/>
  <c r="AE9" i="6" s="1"/>
  <c r="Q36" i="6"/>
  <c r="AE36" i="6"/>
  <c r="Q33" i="11"/>
  <c r="AE33" i="11" s="1"/>
  <c r="Q24" i="12"/>
  <c r="AE24" i="12" s="1"/>
  <c r="Q27" i="6"/>
  <c r="AE27" i="6" s="1"/>
  <c r="Q21" i="11"/>
  <c r="AE21" i="11"/>
  <c r="Q15" i="12"/>
  <c r="AE15" i="12" s="1"/>
  <c r="Q16" i="6"/>
  <c r="AE16" i="6" s="1"/>
  <c r="Q23" i="6"/>
  <c r="AE23" i="6" s="1"/>
  <c r="Q27" i="12"/>
  <c r="AE27" i="12"/>
  <c r="R20" i="6"/>
  <c r="R32" i="6"/>
  <c r="R17" i="11"/>
  <c r="R37" i="11"/>
  <c r="Q11" i="6"/>
  <c r="Q28" i="11"/>
  <c r="AE28" i="11"/>
  <c r="Q11" i="12"/>
  <c r="AE11" i="12" s="1"/>
  <c r="R20" i="12"/>
  <c r="R3" i="13"/>
  <c r="Q24" i="11"/>
  <c r="AE24" i="11" s="1"/>
  <c r="Q31" i="12"/>
  <c r="AE31" i="12"/>
  <c r="Q12" i="6"/>
  <c r="AE12" i="6" s="1"/>
  <c r="Q28" i="6"/>
  <c r="AE28" i="6"/>
  <c r="Q35" i="6"/>
  <c r="AE35" i="6"/>
  <c r="Q29" i="11"/>
  <c r="AE29" i="11" s="1"/>
  <c r="Q36" i="11"/>
  <c r="AE36" i="11"/>
  <c r="Q16" i="12"/>
  <c r="AE16" i="12" s="1"/>
  <c r="Q32" i="12"/>
  <c r="AE32" i="12" s="1"/>
  <c r="R24" i="6"/>
  <c r="R25" i="11"/>
  <c r="R12" i="12"/>
  <c r="R28" i="12"/>
  <c r="Q15" i="6"/>
  <c r="AE15" i="6"/>
  <c r="Q31" i="6"/>
  <c r="AE31" i="6" s="1"/>
  <c r="Q16" i="11"/>
  <c r="AE16" i="11"/>
  <c r="Q32" i="11"/>
  <c r="AE32" i="11" s="1"/>
  <c r="Q19" i="12"/>
  <c r="AE19" i="12"/>
  <c r="Q35" i="12"/>
  <c r="AE35" i="12" s="1"/>
  <c r="C106" i="21"/>
  <c r="C122" i="21"/>
  <c r="C126" i="21"/>
  <c r="R34" i="11"/>
  <c r="Q34" i="11"/>
  <c r="AE34" i="11"/>
  <c r="Q21" i="12"/>
  <c r="AE21" i="12" s="1"/>
  <c r="R21" i="12"/>
  <c r="Q37" i="12"/>
  <c r="AE37" i="12"/>
  <c r="R37" i="12"/>
  <c r="AE37" i="6"/>
  <c r="R37" i="6"/>
  <c r="Q22" i="11"/>
  <c r="AE22" i="11" s="1"/>
  <c r="R22" i="11"/>
  <c r="R25" i="12"/>
  <c r="Q25" i="12"/>
  <c r="AE25" i="12" s="1"/>
  <c r="R25" i="6"/>
  <c r="Q25" i="6"/>
  <c r="AE25" i="6" s="1"/>
  <c r="R10" i="11"/>
  <c r="Q10" i="11"/>
  <c r="AE10" i="11"/>
  <c r="R26" i="11"/>
  <c r="Q26" i="11"/>
  <c r="AE26" i="11"/>
  <c r="Q13" i="12"/>
  <c r="AE13" i="12" s="1"/>
  <c r="R13" i="12"/>
  <c r="Q29" i="12"/>
  <c r="AE29" i="12" s="1"/>
  <c r="R29" i="12"/>
  <c r="C118" i="21"/>
  <c r="C114" i="21"/>
  <c r="C102" i="21"/>
  <c r="C110" i="21"/>
  <c r="R17" i="6"/>
  <c r="Q17" i="6"/>
  <c r="AE17" i="6"/>
  <c r="R33" i="6"/>
  <c r="Q33" i="6"/>
  <c r="AE33" i="6"/>
  <c r="R18" i="11"/>
  <c r="Q18" i="11"/>
  <c r="AE18" i="11" s="1"/>
  <c r="Q21" i="6"/>
  <c r="AE21" i="6" s="1"/>
  <c r="R21" i="6"/>
  <c r="R38" i="11"/>
  <c r="Q38" i="11"/>
  <c r="AE38" i="11" s="1"/>
  <c r="Q13" i="6"/>
  <c r="R13" i="6"/>
  <c r="Q29" i="6"/>
  <c r="AE29" i="6" s="1"/>
  <c r="Q14" i="11"/>
  <c r="AE14" i="11" s="1"/>
  <c r="R14" i="11"/>
  <c r="Q30" i="11"/>
  <c r="AE30" i="11"/>
  <c r="R30" i="11"/>
  <c r="R17" i="12"/>
  <c r="Q17" i="12"/>
  <c r="AE17" i="12"/>
  <c r="R33" i="12"/>
  <c r="Q33" i="12"/>
  <c r="AE33" i="12" s="1"/>
  <c r="L24" i="72"/>
  <c r="R10" i="6"/>
  <c r="R14" i="6"/>
  <c r="R18" i="6"/>
  <c r="R22" i="6"/>
  <c r="R26" i="6"/>
  <c r="R30" i="6"/>
  <c r="R34" i="6"/>
  <c r="R38" i="6"/>
  <c r="R11" i="11"/>
  <c r="R15" i="11"/>
  <c r="R23" i="11"/>
  <c r="R27" i="11"/>
  <c r="R31" i="11"/>
  <c r="R10" i="12"/>
  <c r="R14" i="12"/>
  <c r="R18" i="12"/>
  <c r="R26" i="12"/>
  <c r="R30" i="12"/>
  <c r="R34" i="12"/>
  <c r="R38" i="12"/>
  <c r="E61" i="8"/>
  <c r="E49" i="8"/>
  <c r="C122" i="8"/>
  <c r="M692" i="5"/>
  <c r="K343" i="50" s="1"/>
  <c r="C104" i="8"/>
  <c r="C121" i="8"/>
  <c r="M707" i="5"/>
  <c r="K334" i="50" s="1"/>
  <c r="E53" i="21"/>
  <c r="E52" i="21"/>
  <c r="E74" i="21"/>
  <c r="E127" i="21"/>
  <c r="E128" i="21"/>
  <c r="F178" i="5"/>
  <c r="E88" i="21"/>
  <c r="E50" i="21"/>
  <c r="E109" i="8"/>
  <c r="J127" i="5"/>
  <c r="F172" i="5"/>
  <c r="K52" i="7"/>
  <c r="K68" i="7"/>
  <c r="K94" i="7"/>
  <c r="F25" i="5"/>
  <c r="F21" i="51" s="1"/>
  <c r="D94" i="7"/>
  <c r="F83" i="5"/>
  <c r="F66" i="51" s="1"/>
  <c r="J734" i="5"/>
  <c r="I96" i="7"/>
  <c r="Q678" i="18"/>
  <c r="Q910" i="18"/>
  <c r="Q3886" i="18"/>
  <c r="Q3588" i="18"/>
  <c r="Q1587" i="18"/>
  <c r="K2401" i="18"/>
  <c r="K3876" i="18"/>
  <c r="Q4157" i="18"/>
  <c r="Q4040" i="18"/>
  <c r="Q3370" i="18"/>
  <c r="Q4136" i="18"/>
  <c r="Q3481" i="18"/>
  <c r="Q668" i="18"/>
  <c r="Q890" i="18"/>
  <c r="M4390" i="18"/>
  <c r="Q2479" i="18"/>
  <c r="Q2491" i="18"/>
  <c r="H4390" i="18"/>
  <c r="N4367" i="18"/>
  <c r="L4390" i="18"/>
  <c r="P4390" i="18"/>
  <c r="K4367" i="18" s="1"/>
  <c r="J4390" i="18"/>
  <c r="N4390" i="18"/>
  <c r="I4390" i="18"/>
  <c r="F93" i="51"/>
  <c r="F18" i="51"/>
  <c r="F20" i="51"/>
  <c r="F48" i="52"/>
  <c r="F87" i="51"/>
  <c r="F89" i="51"/>
  <c r="F68" i="52"/>
  <c r="F104" i="51"/>
  <c r="F105" i="51"/>
  <c r="E800" i="5"/>
  <c r="C96" i="21"/>
  <c r="C54" i="2"/>
  <c r="C88" i="21"/>
  <c r="E94" i="8"/>
  <c r="F24" i="51"/>
  <c r="F67" i="52"/>
  <c r="F102" i="51"/>
  <c r="F122" i="5"/>
  <c r="F734" i="5"/>
  <c r="F92" i="51"/>
  <c r="F101" i="51"/>
  <c r="F61" i="52"/>
  <c r="F63" i="52"/>
  <c r="S11" i="13"/>
  <c r="R11" i="13"/>
  <c r="T11" i="13"/>
  <c r="S19" i="13"/>
  <c r="R19" i="13"/>
  <c r="T19" i="13"/>
  <c r="S27" i="13"/>
  <c r="T27" i="13"/>
  <c r="S35" i="13"/>
  <c r="R35" i="13"/>
  <c r="E802" i="5"/>
  <c r="E817" i="5"/>
  <c r="R3" i="6"/>
  <c r="Q3" i="6"/>
  <c r="AE3" i="6"/>
  <c r="S13" i="13"/>
  <c r="R13" i="13"/>
  <c r="T13" i="13"/>
  <c r="S21" i="13"/>
  <c r="R21" i="13"/>
  <c r="T21" i="13"/>
  <c r="R29" i="13"/>
  <c r="T29" i="13"/>
  <c r="S37" i="13"/>
  <c r="R37" i="13"/>
  <c r="T37" i="13"/>
  <c r="S15" i="13"/>
  <c r="R15" i="13"/>
  <c r="T15" i="13"/>
  <c r="S23" i="13"/>
  <c r="R23" i="13"/>
  <c r="T23" i="13"/>
  <c r="S31" i="13"/>
  <c r="R31" i="13"/>
  <c r="T31" i="13"/>
  <c r="E790" i="5"/>
  <c r="E791" i="5"/>
  <c r="E805" i="5"/>
  <c r="M693" i="5"/>
  <c r="S9" i="13"/>
  <c r="R9" i="13"/>
  <c r="T9" i="13"/>
  <c r="S17" i="13"/>
  <c r="R17" i="13"/>
  <c r="T17" i="13"/>
  <c r="S25" i="13"/>
  <c r="R25" i="13"/>
  <c r="T25" i="13"/>
  <c r="S33" i="13"/>
  <c r="R33" i="13"/>
  <c r="M712" i="5"/>
  <c r="F43" i="74" s="1"/>
  <c r="F102" i="74" s="1"/>
  <c r="S12" i="13"/>
  <c r="R12" i="13"/>
  <c r="S14" i="13"/>
  <c r="R14" i="13"/>
  <c r="S16" i="13"/>
  <c r="R16" i="13"/>
  <c r="S18" i="13"/>
  <c r="R18" i="13"/>
  <c r="S20" i="13"/>
  <c r="R20" i="13"/>
  <c r="S22" i="13"/>
  <c r="R22" i="13"/>
  <c r="S24" i="13"/>
  <c r="R24" i="13"/>
  <c r="S26" i="13"/>
  <c r="R26" i="13"/>
  <c r="S28" i="13"/>
  <c r="R28" i="13"/>
  <c r="S30" i="13"/>
  <c r="R30" i="13"/>
  <c r="S32" i="13"/>
  <c r="R32" i="13"/>
  <c r="S34" i="13"/>
  <c r="R34" i="13"/>
  <c r="R36" i="13"/>
  <c r="R3" i="12"/>
  <c r="Q3" i="12"/>
  <c r="AE3" i="12" s="1"/>
  <c r="M704" i="5"/>
  <c r="F36" i="74" s="1"/>
  <c r="R3" i="11"/>
  <c r="AE3" i="11"/>
  <c r="K4390" i="18"/>
  <c r="O4390" i="18"/>
  <c r="H3107" i="18"/>
  <c r="H2699" i="18"/>
  <c r="D5426" i="18"/>
  <c r="P2674" i="18"/>
  <c r="P2685" i="18"/>
  <c r="J2696" i="18"/>
  <c r="D5398" i="18"/>
  <c r="D5436" i="18"/>
  <c r="D5442" i="18"/>
  <c r="D5448" i="18"/>
  <c r="D5445" i="18"/>
  <c r="D5433" i="18"/>
  <c r="D5441" i="18"/>
  <c r="D5447" i="18"/>
  <c r="P2687" i="18"/>
  <c r="P2691" i="18"/>
  <c r="P2695" i="18"/>
  <c r="P2663" i="18"/>
  <c r="D5425" i="18"/>
  <c r="D5432" i="18"/>
  <c r="P2690" i="18"/>
  <c r="P2694" i="18"/>
  <c r="D5437" i="18"/>
  <c r="P2689" i="18"/>
  <c r="P2693" i="18"/>
  <c r="P2688" i="18"/>
  <c r="P2692" i="18"/>
  <c r="N2696" i="18"/>
  <c r="D2657" i="18"/>
  <c r="D2653" i="18"/>
  <c r="D2673" i="18"/>
  <c r="D2682" i="18"/>
  <c r="D2666" i="18"/>
  <c r="D2695" i="18"/>
  <c r="D2679" i="18"/>
  <c r="D2663" i="18"/>
  <c r="D2692" i="18"/>
  <c r="D2676" i="18"/>
  <c r="D2660" i="18"/>
  <c r="D5446" i="18"/>
  <c r="D5430" i="18"/>
  <c r="D5397" i="18"/>
  <c r="D5409" i="18"/>
  <c r="D5435" i="18"/>
  <c r="D5402" i="18"/>
  <c r="D5408" i="18"/>
  <c r="D5414" i="18"/>
  <c r="D5452" i="18"/>
  <c r="D5440" i="18"/>
  <c r="D5428" i="18"/>
  <c r="D5438" i="18"/>
  <c r="D5403" i="18"/>
  <c r="D5443" i="18"/>
  <c r="D5431" i="18"/>
  <c r="D5427" i="18"/>
  <c r="D5393" i="18"/>
  <c r="D5399" i="18"/>
  <c r="D5413" i="18"/>
  <c r="D5418" i="18"/>
  <c r="D5406" i="18"/>
  <c r="D5394" i="18"/>
  <c r="D5411" i="18"/>
  <c r="D5407" i="18"/>
  <c r="D5391" i="18"/>
  <c r="D5412" i="18"/>
  <c r="D5404" i="18"/>
  <c r="D5396" i="18"/>
  <c r="D5392" i="18"/>
  <c r="D5401" i="18"/>
  <c r="D5125" i="18"/>
  <c r="D5123" i="18"/>
  <c r="D5124" i="18"/>
  <c r="H3913" i="18"/>
  <c r="K3896" i="18"/>
  <c r="P3097" i="18"/>
  <c r="P3101" i="18"/>
  <c r="K4496" i="18"/>
  <c r="I4496" i="18"/>
  <c r="N4488" i="18" s="1"/>
  <c r="O4488" i="18" s="1"/>
  <c r="P3094" i="18"/>
  <c r="P3098" i="18"/>
  <c r="P3102" i="18"/>
  <c r="H3788" i="18"/>
  <c r="K3770" i="18" s="1"/>
  <c r="D5102" i="18"/>
  <c r="I2616" i="18"/>
  <c r="H4496" i="18"/>
  <c r="K4488" i="18"/>
  <c r="L4488" i="18" s="1"/>
  <c r="J4496" i="18"/>
  <c r="J2616" i="18"/>
  <c r="D3051" i="18"/>
  <c r="D3067" i="18"/>
  <c r="O2975" i="18"/>
  <c r="P3092" i="18"/>
  <c r="P3096" i="18"/>
  <c r="P3100" i="18"/>
  <c r="D3071" i="18"/>
  <c r="H2616" i="18"/>
  <c r="D3066" i="18"/>
  <c r="D3074" i="18"/>
  <c r="D3084" i="18"/>
  <c r="D3094" i="18"/>
  <c r="D3102" i="18"/>
  <c r="K2366" i="18"/>
  <c r="K2349" i="18"/>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c r="J2917" i="18"/>
  <c r="K2908" i="18" s="1"/>
  <c r="D3090" i="18"/>
  <c r="D3062" i="18"/>
  <c r="D3058" i="18"/>
  <c r="D3054" i="18"/>
  <c r="D3103" i="18"/>
  <c r="D3075" i="18"/>
  <c r="D3063" i="18"/>
  <c r="D3059" i="18"/>
  <c r="D3055" i="18"/>
  <c r="M2917" i="18"/>
  <c r="N2908" i="18" s="1"/>
  <c r="K2271" i="18"/>
  <c r="K2260" i="18"/>
  <c r="K1906" i="18"/>
  <c r="K1895" i="18" s="1"/>
  <c r="N2340" i="18"/>
  <c r="J2340" i="18"/>
  <c r="N1474" i="18"/>
  <c r="N856" i="18"/>
  <c r="J856" i="18"/>
  <c r="N585" i="18"/>
  <c r="N592" i="18" s="1"/>
  <c r="N596" i="18" s="1"/>
  <c r="J264" i="18"/>
  <c r="K1944" i="18"/>
  <c r="H3103" i="18"/>
  <c r="P3089" i="18"/>
  <c r="P3093" i="18"/>
  <c r="P3091" i="18"/>
  <c r="P3107" i="18" s="1"/>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80" i="18" s="1"/>
  <c r="K2920" i="18" s="1"/>
  <c r="O2952" i="18"/>
  <c r="H2980" i="18"/>
  <c r="L3015" i="18"/>
  <c r="L3024" i="18"/>
  <c r="L3030" i="18"/>
  <c r="L3033" i="18"/>
  <c r="H3615" i="18"/>
  <c r="K3598" i="18"/>
  <c r="H3027" i="18"/>
  <c r="H3018" i="18"/>
  <c r="K3018" i="18"/>
  <c r="I3027" i="18"/>
  <c r="K3036" i="18"/>
  <c r="J3018" i="18"/>
  <c r="J3036" i="18"/>
  <c r="J3027" i="18"/>
  <c r="Q2733" i="18"/>
  <c r="H2583" i="18"/>
  <c r="I2573" i="18"/>
  <c r="J2573" i="18"/>
  <c r="H3036" i="18"/>
  <c r="L3011" i="18"/>
  <c r="L3039" i="18"/>
  <c r="I3018" i="18"/>
  <c r="K3027" i="18"/>
  <c r="I3036" i="18"/>
  <c r="I2583" i="18"/>
  <c r="K2603" i="18"/>
  <c r="L3021" i="18"/>
  <c r="J2583" i="18"/>
  <c r="K2611" i="18"/>
  <c r="K2616" i="18" s="1"/>
  <c r="I2593" i="18"/>
  <c r="J2593" i="18"/>
  <c r="K2569" i="18"/>
  <c r="D2711" i="18"/>
  <c r="D2725" i="18"/>
  <c r="D2713" i="18"/>
  <c r="D2727" i="18"/>
  <c r="D2726" i="18"/>
  <c r="H6210" i="18"/>
  <c r="H6239" i="18"/>
  <c r="K2562" i="18"/>
  <c r="K2579" i="18"/>
  <c r="K2586" i="18"/>
  <c r="K2589" i="18"/>
  <c r="K2576" i="18"/>
  <c r="K2596" i="18"/>
  <c r="H2593" i="18"/>
  <c r="H2573" i="18"/>
  <c r="L2284" i="18"/>
  <c r="N2273" i="18" s="1"/>
  <c r="K2245" i="18"/>
  <c r="K2234" i="18" s="1"/>
  <c r="J2011" i="18"/>
  <c r="K2001" i="18" s="1"/>
  <c r="K1893" i="18"/>
  <c r="K1882" i="18" s="1"/>
  <c r="K1665" i="18"/>
  <c r="N3188" i="18"/>
  <c r="K1880" i="18"/>
  <c r="K1869" i="18" s="1"/>
  <c r="J1834" i="18"/>
  <c r="J1836" i="18" s="1"/>
  <c r="K1823" i="18"/>
  <c r="N1823" i="18"/>
  <c r="J3711" i="18"/>
  <c r="H3528" i="18"/>
  <c r="K3511" i="18"/>
  <c r="Q648" i="18"/>
  <c r="L1317" i="18"/>
  <c r="K559" i="18"/>
  <c r="J567" i="18"/>
  <c r="I1434" i="18"/>
  <c r="K1510" i="18"/>
  <c r="Q658" i="18"/>
  <c r="H5461" i="18"/>
  <c r="H5483" i="18"/>
  <c r="L1707" i="18"/>
  <c r="K4454" i="18"/>
  <c r="K4449" i="18"/>
  <c r="J6237" i="18"/>
  <c r="L439" i="18"/>
  <c r="L443" i="18" s="1"/>
  <c r="L347" i="18"/>
  <c r="K4287" i="18"/>
  <c r="H646" i="18"/>
  <c r="K1397" i="18"/>
  <c r="I1433" i="18"/>
  <c r="K3709" i="18"/>
  <c r="O4094" i="18"/>
  <c r="K4084" i="18"/>
  <c r="Q4563" i="18"/>
  <c r="L183" i="18"/>
  <c r="K170" i="18" s="1"/>
  <c r="L1375" i="18"/>
  <c r="L1378" i="18"/>
  <c r="K601" i="18"/>
  <c r="Q618" i="18"/>
  <c r="I865" i="18"/>
  <c r="I868" i="18"/>
  <c r="Q977" i="18"/>
  <c r="I1437" i="18"/>
  <c r="I1439" i="18"/>
  <c r="K1440" i="18"/>
  <c r="J1634" i="18"/>
  <c r="K1617" i="18" s="1"/>
  <c r="P2990" i="18"/>
  <c r="L3003" i="18"/>
  <c r="P2998" i="18"/>
  <c r="O4348" i="18"/>
  <c r="K4340" i="18" s="1"/>
  <c r="J2216" i="18"/>
  <c r="K2202" i="18" s="1"/>
  <c r="D5131" i="18"/>
  <c r="K5491" i="18"/>
  <c r="I6051" i="18"/>
  <c r="K6032" i="18"/>
  <c r="I6210" i="18"/>
  <c r="I6239" i="18"/>
  <c r="M128" i="18"/>
  <c r="N120" i="18" s="1"/>
  <c r="L495" i="18"/>
  <c r="L498" i="18"/>
  <c r="K485" i="18"/>
  <c r="J3003" i="18"/>
  <c r="Q3256" i="18"/>
  <c r="Q3955" i="18"/>
  <c r="Q4070" i="18"/>
  <c r="Q4072" i="18" s="1"/>
  <c r="H5787" i="18"/>
  <c r="K658" i="18"/>
  <c r="K510" i="18"/>
  <c r="L1440" i="18"/>
  <c r="K1428" i="18"/>
  <c r="K569" i="18"/>
  <c r="N678" i="18"/>
  <c r="I1435" i="18"/>
  <c r="L1787" i="18"/>
  <c r="K1774" i="18" s="1"/>
  <c r="J1959" i="18"/>
  <c r="K1947" i="18"/>
  <c r="M2019" i="18"/>
  <c r="Q2013" i="18"/>
  <c r="I3003" i="18"/>
  <c r="M3003" i="18"/>
  <c r="K3359" i="18"/>
  <c r="K4317" i="18"/>
  <c r="I5461" i="18"/>
  <c r="I5483" i="18"/>
  <c r="I5787" i="18"/>
  <c r="K160" i="18"/>
  <c r="J128" i="18"/>
  <c r="K120" i="18"/>
  <c r="I1396" i="18"/>
  <c r="I1399" i="18"/>
  <c r="I1398" i="18"/>
  <c r="I1392" i="18"/>
  <c r="N859" i="18"/>
  <c r="K1400" i="18"/>
  <c r="J1419" i="18"/>
  <c r="Q1409" i="18"/>
  <c r="K1597" i="18"/>
  <c r="M1634" i="18"/>
  <c r="N1617" i="18"/>
  <c r="J2169" i="18"/>
  <c r="K2157" i="18"/>
  <c r="K2717" i="18"/>
  <c r="K2705" i="18"/>
  <c r="D5133" i="18"/>
  <c r="H6183" i="18"/>
  <c r="K6164" i="18"/>
  <c r="Q138" i="18"/>
  <c r="J526" i="18"/>
  <c r="Q515" i="18"/>
  <c r="K567" i="18"/>
  <c r="K678" i="18"/>
  <c r="K859" i="18"/>
  <c r="K864" i="18"/>
  <c r="K867" i="18"/>
  <c r="K1375" i="18"/>
  <c r="L1397" i="18"/>
  <c r="L1400" i="18"/>
  <c r="K1724" i="18"/>
  <c r="Q1716" i="18"/>
  <c r="M2169" i="18"/>
  <c r="N2157" i="18" s="1"/>
  <c r="N2293" i="18"/>
  <c r="K3003" i="18"/>
  <c r="O3003" i="18"/>
  <c r="K3704" i="18"/>
  <c r="N4397" i="18"/>
  <c r="N4402" i="18"/>
  <c r="N4410" i="18" s="1"/>
  <c r="K4392" i="18" s="1"/>
  <c r="K5007" i="18"/>
  <c r="J5461" i="18"/>
  <c r="J5483" i="18"/>
  <c r="Q5600" i="18"/>
  <c r="H5833" i="18"/>
  <c r="H5835" i="18"/>
  <c r="K5805" i="18"/>
  <c r="J6196" i="18"/>
  <c r="J577" i="18"/>
  <c r="I866" i="18"/>
  <c r="K1409" i="18"/>
  <c r="M4410" i="18"/>
  <c r="N4563" i="18"/>
  <c r="O4563" i="18"/>
  <c r="K5462" i="18"/>
  <c r="K5467" i="18"/>
  <c r="N695" i="18"/>
  <c r="K688" i="18"/>
  <c r="J646" i="18"/>
  <c r="I864" i="18"/>
  <c r="K865" i="18"/>
  <c r="K868" i="18"/>
  <c r="I1436" i="18"/>
  <c r="K1457" i="18"/>
  <c r="J1457" i="18"/>
  <c r="J1467" i="18"/>
  <c r="K1459" i="18"/>
  <c r="K1467" i="18"/>
  <c r="N1614" i="18"/>
  <c r="Q1607" i="18"/>
  <c r="I1555" i="18"/>
  <c r="N1597" i="18"/>
  <c r="N3003" i="18"/>
  <c r="P2994" i="18"/>
  <c r="P3003" i="18" s="1"/>
  <c r="H3003" i="18"/>
  <c r="N2982" i="18"/>
  <c r="P3002" i="18"/>
  <c r="L3223" i="18"/>
  <c r="K3213" i="18"/>
  <c r="K4446" i="18"/>
  <c r="K4437" i="18" s="1"/>
  <c r="N4516" i="18"/>
  <c r="O4516" i="18"/>
  <c r="Q4849" i="18"/>
  <c r="K5474" i="18"/>
  <c r="R5600" i="18"/>
  <c r="J6208" i="18"/>
  <c r="J4575" i="18"/>
  <c r="D5134" i="18"/>
  <c r="Q146" i="18"/>
  <c r="I505" i="18"/>
  <c r="K513" i="18"/>
  <c r="I509" i="18"/>
  <c r="I508" i="18"/>
  <c r="I507" i="18"/>
  <c r="I512" i="18"/>
  <c r="I511" i="18"/>
  <c r="K498" i="18"/>
  <c r="I497" i="18"/>
  <c r="I496" i="18"/>
  <c r="I494" i="18"/>
  <c r="I493" i="18"/>
  <c r="I490" i="18"/>
  <c r="I492" i="18"/>
  <c r="N1348" i="18"/>
  <c r="K1013" i="18"/>
  <c r="L1013" i="18" s="1"/>
  <c r="I1374" i="18"/>
  <c r="I1373" i="18"/>
  <c r="I1372" i="18"/>
  <c r="K1378" i="18"/>
  <c r="I1377" i="18"/>
  <c r="I1376" i="18"/>
  <c r="I1370" i="18"/>
  <c r="D2712" i="18"/>
  <c r="D2710" i="18"/>
  <c r="D2731" i="18"/>
  <c r="D2724" i="18"/>
  <c r="D2723" i="18"/>
  <c r="D5101" i="18"/>
  <c r="D5117" i="18"/>
  <c r="D5109" i="18"/>
  <c r="D5100" i="18"/>
  <c r="D5115" i="18"/>
  <c r="D5107" i="18"/>
  <c r="D5103" i="18"/>
  <c r="D5113" i="18"/>
  <c r="D5111" i="18"/>
  <c r="K3306" i="18"/>
  <c r="K3997" i="18"/>
  <c r="Q535" i="18"/>
  <c r="I1394" i="18"/>
  <c r="I1395" i="18"/>
  <c r="K1449" i="18"/>
  <c r="K1527" i="18"/>
  <c r="Q1567" i="18"/>
  <c r="M1653" i="18"/>
  <c r="D2717" i="18"/>
  <c r="K2731" i="18"/>
  <c r="K2719" i="18" s="1"/>
  <c r="D5105" i="18"/>
  <c r="D5108" i="18"/>
  <c r="I330" i="18"/>
  <c r="K577" i="18"/>
  <c r="I1002" i="18"/>
  <c r="N1326" i="18"/>
  <c r="L1555" i="18"/>
  <c r="J2845" i="18"/>
  <c r="N3256" i="18"/>
  <c r="K3531" i="18"/>
  <c r="H4575" i="18"/>
  <c r="H4533" i="18"/>
  <c r="H4556" i="18"/>
  <c r="H330" i="18"/>
  <c r="L510" i="18"/>
  <c r="L513" i="18"/>
  <c r="N500" i="18"/>
  <c r="N485" i="18"/>
  <c r="M2216" i="18"/>
  <c r="N2202" i="18" s="1"/>
  <c r="D2722" i="18"/>
  <c r="M3198" i="18"/>
  <c r="Q3188" i="18"/>
  <c r="H3300" i="18"/>
  <c r="K3286" i="18"/>
  <c r="L4338" i="18"/>
  <c r="Q4330" i="18" s="1"/>
  <c r="D2709" i="18"/>
  <c r="M2845" i="18"/>
  <c r="Q2830" i="18" s="1"/>
  <c r="K3568" i="18"/>
  <c r="K3697" i="18"/>
  <c r="D2875" i="18"/>
  <c r="D2865" i="18"/>
  <c r="J4410" i="18"/>
  <c r="I4577" i="18"/>
  <c r="K4563" i="18"/>
  <c r="L4563" i="18"/>
  <c r="D5110" i="18"/>
  <c r="D5116" i="18"/>
  <c r="L4082" i="18"/>
  <c r="Q4074" i="18"/>
  <c r="I4410" i="18"/>
  <c r="O4402" i="18"/>
  <c r="D2708" i="18"/>
  <c r="M3210" i="18"/>
  <c r="K3200" i="18"/>
  <c r="H4514" i="18"/>
  <c r="K4507" i="18" s="1"/>
  <c r="Q4540" i="18"/>
  <c r="K4540" i="18"/>
  <c r="L4540" i="18"/>
  <c r="M3185" i="18"/>
  <c r="K3175" i="18"/>
  <c r="H4410" i="18"/>
  <c r="N4392" i="18"/>
  <c r="L4410" i="18"/>
  <c r="N4540" i="18"/>
  <c r="O4540" i="18"/>
  <c r="J4577" i="18"/>
  <c r="K4877" i="18"/>
  <c r="D5104" i="18"/>
  <c r="D5112" i="18"/>
  <c r="D5132" i="18"/>
  <c r="D5135" i="18"/>
  <c r="K5484" i="18"/>
  <c r="K5495" i="18"/>
  <c r="K5498" i="18"/>
  <c r="N4313" i="18"/>
  <c r="K4305" i="18"/>
  <c r="K4297" i="18"/>
  <c r="N4348" i="18"/>
  <c r="D5106" i="18"/>
  <c r="D5114" i="18"/>
  <c r="K5479" i="18"/>
  <c r="J6225" i="18"/>
  <c r="X3" i="18"/>
  <c r="G1933" i="18" s="1"/>
  <c r="W3" i="18"/>
  <c r="V3" i="18"/>
  <c r="I2522" i="18" s="1"/>
  <c r="I2528" i="18" s="1"/>
  <c r="K483" i="5"/>
  <c r="L765" i="5"/>
  <c r="L162" i="5"/>
  <c r="L428" i="5"/>
  <c r="L570" i="5"/>
  <c r="L448" i="5"/>
  <c r="L140" i="5"/>
  <c r="K547" i="5"/>
  <c r="L402" i="5"/>
  <c r="K68" i="5"/>
  <c r="K177" i="5"/>
  <c r="L456" i="5"/>
  <c r="K134" i="5"/>
  <c r="L84" i="5"/>
  <c r="L527" i="5"/>
  <c r="L307" i="5"/>
  <c r="L293" i="5"/>
  <c r="L67" i="5"/>
  <c r="L594" i="5"/>
  <c r="L613" i="5"/>
  <c r="L413" i="5"/>
  <c r="L69" i="5"/>
  <c r="L409" i="5"/>
  <c r="L174" i="5"/>
  <c r="K190" i="5"/>
  <c r="L574" i="5"/>
  <c r="K442" i="5"/>
  <c r="L781" i="5"/>
  <c r="L370" i="5"/>
  <c r="K39" i="5"/>
  <c r="L272" i="5"/>
  <c r="K236" i="5"/>
  <c r="K37" i="5"/>
  <c r="L90" i="5"/>
  <c r="L179" i="5"/>
  <c r="L525" i="5"/>
  <c r="K21" i="5"/>
  <c r="K102" i="5"/>
  <c r="L550" i="5"/>
  <c r="L615" i="5"/>
  <c r="K84" i="5"/>
  <c r="L541" i="5"/>
  <c r="L128" i="5"/>
  <c r="K101" i="5"/>
  <c r="K28" i="5"/>
  <c r="L24" i="5"/>
  <c r="L116" i="5"/>
  <c r="K191" i="5"/>
  <c r="L49" i="5"/>
  <c r="K391" i="5"/>
  <c r="L39" i="5"/>
  <c r="K239" i="5"/>
  <c r="K270" i="5"/>
  <c r="K286" i="5"/>
  <c r="K309" i="5"/>
  <c r="K328" i="5"/>
  <c r="K341" i="5"/>
  <c r="K363" i="5"/>
  <c r="K386" i="5"/>
  <c r="K412" i="5"/>
  <c r="K417" i="5"/>
  <c r="K31" i="5"/>
  <c r="L88" i="5"/>
  <c r="L176" i="5"/>
  <c r="L66" i="5"/>
  <c r="L134" i="5"/>
  <c r="L247" i="5"/>
  <c r="L271" i="5"/>
  <c r="L278" i="5"/>
  <c r="L283" i="5"/>
  <c r="L303" i="5"/>
  <c r="L315" i="5"/>
  <c r="L324" i="5"/>
  <c r="L342" i="5"/>
  <c r="L357" i="5"/>
  <c r="L362" i="5"/>
  <c r="L383" i="5"/>
  <c r="L387" i="5"/>
  <c r="L411" i="5"/>
  <c r="K521" i="5"/>
  <c r="K181" i="5"/>
  <c r="L398" i="5"/>
  <c r="L608" i="5"/>
  <c r="L587" i="5"/>
  <c r="K722" i="5"/>
  <c r="K619" i="5"/>
  <c r="K558" i="5"/>
  <c r="K548" i="5"/>
  <c r="L732" i="5"/>
  <c r="L508" i="5"/>
  <c r="K487" i="5"/>
  <c r="L774" i="5"/>
  <c r="L558" i="5"/>
  <c r="L538" i="5"/>
  <c r="L496" i="5"/>
  <c r="K456" i="5"/>
  <c r="K437" i="5"/>
  <c r="K645" i="5"/>
  <c r="L442" i="5"/>
  <c r="K580" i="5"/>
  <c r="K594" i="5"/>
  <c r="K438" i="5"/>
  <c r="K443" i="5"/>
  <c r="K452" i="5"/>
  <c r="L476" i="5"/>
  <c r="L481" i="5"/>
  <c r="L499" i="5"/>
  <c r="K599" i="5"/>
  <c r="K559" i="5"/>
  <c r="L719" i="5"/>
  <c r="L579" i="5"/>
  <c r="K653" i="5"/>
  <c r="K767" i="5"/>
  <c r="L528" i="5"/>
  <c r="L542" i="5"/>
  <c r="K613" i="5"/>
  <c r="L646" i="5"/>
  <c r="K776" i="5"/>
  <c r="L626" i="5"/>
  <c r="L105" i="5"/>
  <c r="K254" i="5"/>
  <c r="L112" i="5"/>
  <c r="K30" i="5"/>
  <c r="K156" i="5"/>
  <c r="K77" i="5"/>
  <c r="K44" i="5"/>
  <c r="K515" i="5"/>
  <c r="K510" i="5"/>
  <c r="L68" i="5"/>
  <c r="L99" i="5"/>
  <c r="K179" i="5"/>
  <c r="K118" i="5"/>
  <c r="L187" i="5"/>
  <c r="K81" i="5"/>
  <c r="K147" i="5"/>
  <c r="L560" i="5"/>
  <c r="K97" i="5"/>
  <c r="K50" i="5"/>
  <c r="K94" i="5"/>
  <c r="L98" i="5"/>
  <c r="K52" i="5"/>
  <c r="L11" i="5"/>
  <c r="K72" i="5"/>
  <c r="L111" i="5"/>
  <c r="L575" i="5"/>
  <c r="L22" i="5"/>
  <c r="K247" i="5"/>
  <c r="K431" i="5"/>
  <c r="K32" i="5"/>
  <c r="K240" i="5"/>
  <c r="L239" i="5"/>
  <c r="L250" i="5"/>
  <c r="L276" i="5"/>
  <c r="L281" i="5"/>
  <c r="L291" i="5"/>
  <c r="L314" i="5"/>
  <c r="L319" i="5"/>
  <c r="L334" i="5"/>
  <c r="L346" i="5"/>
  <c r="L363" i="5"/>
  <c r="L369" i="5"/>
  <c r="L407" i="5"/>
  <c r="L417" i="5"/>
  <c r="L421" i="5"/>
  <c r="K29" i="5"/>
  <c r="K41" i="5"/>
  <c r="L156" i="5"/>
  <c r="L43" i="5"/>
  <c r="L77" i="5"/>
  <c r="L157" i="5"/>
  <c r="L258" i="5"/>
  <c r="K262" i="5"/>
  <c r="K269" i="5"/>
  <c r="K290" i="5"/>
  <c r="K307" i="5"/>
  <c r="K322" i="5"/>
  <c r="K340" i="5"/>
  <c r="K345" i="5"/>
  <c r="K364" i="5"/>
  <c r="K370" i="5"/>
  <c r="K380" i="5"/>
  <c r="K413" i="5"/>
  <c r="K418" i="5"/>
  <c r="L142" i="5"/>
  <c r="L190" i="5"/>
  <c r="L397" i="5"/>
  <c r="L403" i="5"/>
  <c r="L779" i="5"/>
  <c r="L771" i="5"/>
  <c r="K732" i="5"/>
  <c r="K621" i="5"/>
  <c r="K612" i="5"/>
  <c r="K575" i="5"/>
  <c r="K550" i="5"/>
  <c r="K529" i="5"/>
  <c r="L768" i="5"/>
  <c r="L510" i="5"/>
  <c r="K500" i="5"/>
  <c r="K489" i="5"/>
  <c r="K642" i="5"/>
  <c r="K608" i="5"/>
  <c r="L562" i="5"/>
  <c r="L500" i="5"/>
  <c r="L480" i="5"/>
  <c r="L470" i="5"/>
  <c r="K439" i="5"/>
  <c r="L730" i="5"/>
  <c r="K654" i="5"/>
  <c r="L444" i="5"/>
  <c r="L180" i="5"/>
  <c r="L584" i="5"/>
  <c r="L610" i="5"/>
  <c r="K551" i="5"/>
  <c r="L440" i="5"/>
  <c r="L455" i="5"/>
  <c r="L462" i="5"/>
  <c r="K471" i="5"/>
  <c r="K481" i="5"/>
  <c r="K485" i="5"/>
  <c r="K499" i="5"/>
  <c r="L599" i="5"/>
  <c r="K528" i="5"/>
  <c r="K554" i="5"/>
  <c r="K729" i="5"/>
  <c r="K733" i="5"/>
  <c r="K641" i="5"/>
  <c r="K773" i="5"/>
  <c r="K781" i="5"/>
  <c r="L526" i="5"/>
  <c r="L549" i="5"/>
  <c r="L576" i="5"/>
  <c r="K620" i="5"/>
  <c r="L653" i="5"/>
  <c r="K766" i="5"/>
  <c r="K774" i="5"/>
  <c r="L645" i="5"/>
  <c r="L654" i="5"/>
  <c r="L18" i="5"/>
  <c r="L183" i="5"/>
  <c r="L17" i="5"/>
  <c r="L62" i="5"/>
  <c r="L642" i="5"/>
  <c r="K772" i="5"/>
  <c r="K615" i="5"/>
  <c r="K731" i="5"/>
  <c r="K574" i="5"/>
  <c r="K450" i="5"/>
  <c r="K600" i="5"/>
  <c r="L188" i="5"/>
  <c r="L494" i="5"/>
  <c r="L766" i="5"/>
  <c r="L505" i="5"/>
  <c r="K602" i="5"/>
  <c r="L504" i="5"/>
  <c r="L511" i="5"/>
  <c r="K373" i="5"/>
  <c r="K352" i="5"/>
  <c r="K288" i="5"/>
  <c r="K265" i="5"/>
  <c r="L240" i="5"/>
  <c r="K19" i="5"/>
  <c r="K419" i="5"/>
  <c r="K358" i="5"/>
  <c r="K316" i="5"/>
  <c r="K272" i="5"/>
  <c r="L249" i="5"/>
  <c r="L38" i="5"/>
  <c r="L429" i="5"/>
  <c r="K123" i="5"/>
  <c r="K40" i="5"/>
  <c r="L91" i="5"/>
  <c r="K70" i="5"/>
  <c r="L649" i="5"/>
  <c r="L628" i="5"/>
  <c r="K778" i="5"/>
  <c r="L559" i="5"/>
  <c r="L537" i="5"/>
  <c r="K771" i="5"/>
  <c r="L733" i="5"/>
  <c r="K544" i="5"/>
  <c r="L604" i="5"/>
  <c r="K478" i="5"/>
  <c r="L466" i="5"/>
  <c r="L452" i="5"/>
  <c r="K526" i="5"/>
  <c r="L605" i="5"/>
  <c r="L447" i="5"/>
  <c r="L772" i="5"/>
  <c r="L472" i="5"/>
  <c r="L492" i="5"/>
  <c r="K652" i="5"/>
  <c r="K482" i="5"/>
  <c r="L503" i="5"/>
  <c r="K543" i="5"/>
  <c r="K562" i="5"/>
  <c r="K595" i="5"/>
  <c r="K726" i="5"/>
  <c r="L598" i="5"/>
  <c r="K509" i="5"/>
  <c r="K516" i="5"/>
  <c r="L418" i="5"/>
  <c r="L408" i="5"/>
  <c r="L364" i="5"/>
  <c r="L354" i="5"/>
  <c r="L333" i="5"/>
  <c r="L312" i="5"/>
  <c r="L290" i="5"/>
  <c r="L280" i="5"/>
  <c r="L243" i="5"/>
  <c r="L114" i="5"/>
  <c r="L104" i="5"/>
  <c r="K27" i="5"/>
  <c r="L414" i="5"/>
  <c r="L379" i="5"/>
  <c r="L353" i="5"/>
  <c r="L343" i="5"/>
  <c r="L311" i="5"/>
  <c r="L300" i="5"/>
  <c r="L289" i="5"/>
  <c r="L254" i="5"/>
  <c r="K141" i="5"/>
  <c r="L13" i="5"/>
  <c r="K98" i="5"/>
  <c r="K517" i="5"/>
  <c r="L100" i="5"/>
  <c r="L59" i="5"/>
  <c r="K522" i="5"/>
  <c r="K155" i="5"/>
  <c r="K159" i="5"/>
  <c r="L83" i="5"/>
  <c r="L155" i="5"/>
  <c r="K47" i="5"/>
  <c r="L45" i="5"/>
  <c r="L80" i="5"/>
  <c r="L778" i="5"/>
  <c r="L621" i="5"/>
  <c r="L554" i="5"/>
  <c r="L586" i="5"/>
  <c r="K723" i="5"/>
  <c r="L495" i="5"/>
  <c r="L483" i="5"/>
  <c r="L432" i="5"/>
  <c r="L449" i="5"/>
  <c r="L475" i="5"/>
  <c r="K598" i="5"/>
  <c r="K640" i="5"/>
  <c r="K546" i="5"/>
  <c r="L603" i="5"/>
  <c r="L424" i="5"/>
  <c r="K416" i="5"/>
  <c r="K342" i="5"/>
  <c r="K297" i="5"/>
  <c r="K253" i="5"/>
  <c r="K176" i="5"/>
  <c r="L89" i="5"/>
  <c r="K374" i="5"/>
  <c r="K348" i="5"/>
  <c r="K284" i="5"/>
  <c r="K260" i="5"/>
  <c r="K88" i="5"/>
  <c r="K396" i="5"/>
  <c r="K89" i="5"/>
  <c r="K99" i="5"/>
  <c r="L78" i="5"/>
  <c r="L189" i="5"/>
  <c r="K43" i="5"/>
  <c r="L139" i="5"/>
  <c r="L652" i="5"/>
  <c r="K780" i="5"/>
  <c r="K627" i="5"/>
  <c r="L571" i="5"/>
  <c r="K777" i="5"/>
  <c r="K636" i="5"/>
  <c r="K727" i="5"/>
  <c r="K604" i="5"/>
  <c r="K583" i="5"/>
  <c r="L478" i="5"/>
  <c r="K445" i="5"/>
  <c r="K610" i="5"/>
  <c r="K584" i="5"/>
  <c r="L722" i="5"/>
  <c r="K444" i="5"/>
  <c r="K463" i="5"/>
  <c r="L577" i="5"/>
  <c r="L617" i="5"/>
  <c r="K494" i="5"/>
  <c r="L728" i="5"/>
  <c r="K555" i="5"/>
  <c r="K581" i="5"/>
  <c r="K720" i="5"/>
  <c r="L767" i="5"/>
  <c r="L582" i="5"/>
  <c r="K185" i="5"/>
  <c r="L182" i="5"/>
  <c r="K420" i="5"/>
  <c r="K387" i="5"/>
  <c r="K366" i="5"/>
  <c r="K357" i="5"/>
  <c r="K335" i="5"/>
  <c r="K324" i="5"/>
  <c r="K315" i="5"/>
  <c r="K283" i="5"/>
  <c r="K271" i="5"/>
  <c r="L248" i="5"/>
  <c r="L160" i="5"/>
  <c r="K33" i="5"/>
  <c r="K11" i="5"/>
  <c r="K388" i="5"/>
  <c r="K379" i="5"/>
  <c r="K365" i="5"/>
  <c r="K332" i="5"/>
  <c r="K321" i="5"/>
  <c r="K300" i="5"/>
  <c r="K279" i="5"/>
  <c r="L255" i="5"/>
  <c r="L238" i="5"/>
  <c r="K71" i="5"/>
  <c r="L20" i="5"/>
  <c r="K55" i="5"/>
  <c r="L529" i="5"/>
  <c r="K104" i="5"/>
  <c r="L191" i="5"/>
  <c r="L75" i="5"/>
  <c r="L74" i="5"/>
  <c r="K51" i="5"/>
  <c r="K111" i="5"/>
  <c r="L76" i="5"/>
  <c r="K75" i="5"/>
  <c r="K244" i="5"/>
  <c r="L423" i="5"/>
  <c r="L546" i="5"/>
  <c r="K86" i="5"/>
  <c r="K100" i="5"/>
  <c r="R38" i="13"/>
  <c r="S38" i="13"/>
  <c r="S10" i="13"/>
  <c r="O40" i="13"/>
  <c r="R10" i="13"/>
  <c r="O39" i="13"/>
  <c r="P39" i="13"/>
  <c r="G668" i="5"/>
  <c r="G681" i="5"/>
  <c r="H681" i="5"/>
  <c r="H660" i="5"/>
  <c r="H661" i="5"/>
  <c r="G659" i="5"/>
  <c r="H694" i="5"/>
  <c r="H710" i="5"/>
  <c r="H666" i="5"/>
  <c r="G692" i="5"/>
  <c r="H689" i="5"/>
  <c r="H701" i="5"/>
  <c r="H672" i="5"/>
  <c r="G685" i="5"/>
  <c r="G686" i="5"/>
  <c r="H663" i="5"/>
  <c r="H695" i="5"/>
  <c r="G712" i="5"/>
  <c r="H691" i="5"/>
  <c r="H667" i="5"/>
  <c r="H662" i="5"/>
  <c r="G678" i="5"/>
  <c r="H668" i="5"/>
  <c r="G672" i="5"/>
  <c r="H692" i="5"/>
  <c r="H664" i="5"/>
  <c r="G700" i="5"/>
  <c r="H678" i="5"/>
  <c r="H699" i="5"/>
  <c r="H658" i="5"/>
  <c r="H712" i="5"/>
  <c r="H700" i="5"/>
  <c r="H707" i="5"/>
  <c r="H688" i="5"/>
  <c r="G674" i="5"/>
  <c r="G687" i="5"/>
  <c r="G702" i="5"/>
  <c r="H686" i="5"/>
  <c r="G707" i="5"/>
  <c r="G662" i="5"/>
  <c r="G676" i="5"/>
  <c r="G704" i="5"/>
  <c r="G667" i="5"/>
  <c r="H685" i="5"/>
  <c r="G706" i="5"/>
  <c r="H702" i="5"/>
  <c r="H705" i="5"/>
  <c r="G689" i="5"/>
  <c r="G693" i="5"/>
  <c r="G660" i="5"/>
  <c r="H693" i="5"/>
  <c r="H669" i="5"/>
  <c r="H704" i="5"/>
  <c r="H680" i="5"/>
  <c r="H665" i="5"/>
  <c r="G694" i="5"/>
  <c r="G688" i="5"/>
  <c r="G695" i="5"/>
  <c r="H659" i="5"/>
  <c r="G699" i="5"/>
  <c r="G675" i="5"/>
  <c r="G663" i="5"/>
  <c r="H674" i="5"/>
  <c r="I674" i="5" s="1"/>
  <c r="E24" i="70" s="1"/>
  <c r="K1365" i="18"/>
  <c r="L1382" i="18"/>
  <c r="N1482" i="18"/>
  <c r="N1486" i="18" s="1"/>
  <c r="Q1699" i="18"/>
  <c r="L1711" i="18"/>
  <c r="K2330" i="18"/>
  <c r="N2344" i="18"/>
  <c r="K848" i="18"/>
  <c r="N1387" i="18"/>
  <c r="N1365" i="18"/>
  <c r="L1404" i="18"/>
  <c r="N1307" i="18"/>
  <c r="L1321" i="18"/>
  <c r="K579" i="18"/>
  <c r="N430" i="18"/>
  <c r="O4410" i="18"/>
  <c r="Q1449" i="18"/>
  <c r="Q688" i="18"/>
  <c r="L187" i="18"/>
  <c r="K3947" i="18"/>
  <c r="Q3947" i="18"/>
  <c r="Q485" i="18"/>
  <c r="Q1459" i="18"/>
  <c r="Q2494" i="18"/>
  <c r="K2463" i="18" s="1"/>
  <c r="F92" i="5"/>
  <c r="F57" i="52" s="1"/>
  <c r="F39" i="70"/>
  <c r="AC54" i="2"/>
  <c r="AC56" i="2" s="1"/>
  <c r="AC57" i="2" s="1"/>
  <c r="F63" i="5"/>
  <c r="K7" i="72"/>
  <c r="H24" i="72"/>
  <c r="E113" i="21"/>
  <c r="E75" i="21"/>
  <c r="F169" i="5"/>
  <c r="E105" i="21"/>
  <c r="E89" i="21"/>
  <c r="E90" i="21"/>
  <c r="E91" i="21"/>
  <c r="E117" i="21"/>
  <c r="E96" i="21"/>
  <c r="F68" i="7"/>
  <c r="G94" i="7"/>
  <c r="L94" i="7"/>
  <c r="E31" i="74"/>
  <c r="E18" i="74"/>
  <c r="Q20" i="18"/>
  <c r="N3043" i="18"/>
  <c r="H3108" i="18"/>
  <c r="H3109" i="18"/>
  <c r="H3110" i="18" s="1"/>
  <c r="K3111" i="18" s="1"/>
  <c r="L3111" i="18" s="1"/>
  <c r="P3103" i="18"/>
  <c r="P3108" i="18" s="1"/>
  <c r="P3109" i="18" s="1"/>
  <c r="L3018" i="18"/>
  <c r="L3036" i="18"/>
  <c r="L3027" i="18"/>
  <c r="I3038" i="18"/>
  <c r="J2595" i="18"/>
  <c r="J3038" i="18"/>
  <c r="H3038" i="18"/>
  <c r="K3038" i="18"/>
  <c r="K2573" i="18"/>
  <c r="I2595" i="18"/>
  <c r="K2593" i="18"/>
  <c r="H2595" i="18"/>
  <c r="K2583" i="18"/>
  <c r="K2595" i="18" s="1"/>
  <c r="K3711" i="18"/>
  <c r="K3681" i="18" s="1"/>
  <c r="J6239" i="18"/>
  <c r="K6213" i="18"/>
  <c r="Q4340" i="18"/>
  <c r="Q1947" i="18"/>
  <c r="Q629" i="18"/>
  <c r="K629" i="18"/>
  <c r="J6210" i="18"/>
  <c r="K6186" i="18"/>
  <c r="I869" i="18"/>
  <c r="K5461" i="18"/>
  <c r="Q4084" i="18"/>
  <c r="Q3213" i="18"/>
  <c r="Q1636" i="18"/>
  <c r="Q2705" i="18"/>
  <c r="I1440" i="18"/>
  <c r="Q2463" i="18"/>
  <c r="K5483" i="18"/>
  <c r="Q2157" i="18"/>
  <c r="Q4308" i="18"/>
  <c r="Q4437" i="18"/>
  <c r="Q1538" i="18"/>
  <c r="I1397" i="18"/>
  <c r="I1400" i="18"/>
  <c r="K869" i="18"/>
  <c r="Q3200" i="18"/>
  <c r="K1538" i="18"/>
  <c r="K2830" i="18"/>
  <c r="K3188" i="18"/>
  <c r="N2920" i="18"/>
  <c r="Q3175" i="18"/>
  <c r="I513" i="18"/>
  <c r="Q500" i="18"/>
  <c r="K4061" i="18"/>
  <c r="I1375" i="18"/>
  <c r="I1378" i="18"/>
  <c r="X18" i="2"/>
  <c r="X15" i="2" s="1"/>
  <c r="X40" i="2" s="1"/>
  <c r="X48" i="2" s="1"/>
  <c r="X49" i="2" s="1"/>
  <c r="X50" i="2" s="1"/>
  <c r="I4170" i="18"/>
  <c r="I4176" i="18" s="1"/>
  <c r="N2520" i="18"/>
  <c r="I2823" i="18"/>
  <c r="I2827" i="18" s="1"/>
  <c r="N2821" i="18" s="1"/>
  <c r="H851" i="18"/>
  <c r="H3659" i="18"/>
  <c r="H3672" i="18" s="1"/>
  <c r="N3657" i="18" s="1"/>
  <c r="H3178" i="18"/>
  <c r="I3772" i="18"/>
  <c r="I3788" i="18" s="1"/>
  <c r="J3259" i="18"/>
  <c r="H2433" i="18"/>
  <c r="H2454" i="18" s="1"/>
  <c r="K2431" i="18" s="1"/>
  <c r="H503" i="18"/>
  <c r="H3383" i="18"/>
  <c r="I4109" i="18"/>
  <c r="I4115" i="18" s="1"/>
  <c r="N4107" i="18" s="1"/>
  <c r="I4120" i="18"/>
  <c r="I4127" i="18" s="1"/>
  <c r="N4118" i="18" s="1"/>
  <c r="H2121" i="18"/>
  <c r="J3243" i="18"/>
  <c r="H582" i="18"/>
  <c r="J862" i="18"/>
  <c r="K2160" i="18"/>
  <c r="I3445" i="18"/>
  <c r="I3452" i="18" s="1"/>
  <c r="H4343" i="18"/>
  <c r="I4289" i="18"/>
  <c r="I4295" i="18" s="1"/>
  <c r="H1964" i="18"/>
  <c r="I1015" i="18"/>
  <c r="I1025" i="18" s="1"/>
  <c r="N1013" i="18" s="1"/>
  <c r="O1013" i="18" s="1"/>
  <c r="I1814" i="18"/>
  <c r="I1820" i="18" s="1"/>
  <c r="N1812" i="18" s="1"/>
  <c r="I3970" i="18"/>
  <c r="I3977" i="18"/>
  <c r="Q3968" i="18" s="1"/>
  <c r="I1792" i="18"/>
  <c r="I1797" i="18" s="1"/>
  <c r="H451" i="18"/>
  <c r="I3308" i="18"/>
  <c r="I3316" i="18" s="1"/>
  <c r="N3306" i="18" s="1"/>
  <c r="I5159" i="18"/>
  <c r="I936" i="18"/>
  <c r="I941" i="18" s="1"/>
  <c r="N934" i="18" s="1"/>
  <c r="H3630" i="18"/>
  <c r="H1351" i="18"/>
  <c r="I3423" i="18"/>
  <c r="I3429" i="18" s="1"/>
  <c r="Q3421" i="18" s="1"/>
  <c r="H3203" i="18"/>
  <c r="H4263" i="18"/>
  <c r="H4267" i="18" s="1"/>
  <c r="H4087" i="18"/>
  <c r="H1472" i="18"/>
  <c r="H2318" i="18"/>
  <c r="I3929" i="18"/>
  <c r="I3935" i="18" s="1"/>
  <c r="N3927" i="18" s="1"/>
  <c r="K1620" i="18"/>
  <c r="I2879" i="18"/>
  <c r="I2888" i="18" s="1"/>
  <c r="K5749" i="18"/>
  <c r="H4426" i="18"/>
  <c r="H4435" i="18" s="1"/>
  <c r="N4424" i="18" s="1"/>
  <c r="H4370" i="18"/>
  <c r="K1826" i="18"/>
  <c r="K23" i="18"/>
  <c r="I2849" i="18"/>
  <c r="I2860" i="18" s="1"/>
  <c r="H3216" i="18"/>
  <c r="H5579" i="18"/>
  <c r="I3288" i="18"/>
  <c r="I3296" i="18" s="1"/>
  <c r="I3300" i="18" s="1"/>
  <c r="I73" i="18"/>
  <c r="I87" i="18"/>
  <c r="N71" i="18" s="1"/>
  <c r="H3620" i="18"/>
  <c r="H3626" i="18"/>
  <c r="H2333" i="18"/>
  <c r="K2415" i="18"/>
  <c r="H2466" i="18"/>
  <c r="I2499" i="18"/>
  <c r="I2504" i="18" s="1"/>
  <c r="N2497" i="18" s="1"/>
  <c r="H1639" i="18"/>
  <c r="I3533" i="18"/>
  <c r="I3539" i="18" s="1"/>
  <c r="Q3531" i="18" s="1"/>
  <c r="I111" i="18"/>
  <c r="I117" i="18"/>
  <c r="N109" i="18" s="1"/>
  <c r="H1310" i="18"/>
  <c r="I3278" i="18"/>
  <c r="I3284" i="18" s="1"/>
  <c r="H4362" i="18"/>
  <c r="H4364" i="18" s="1"/>
  <c r="N4360" i="18" s="1"/>
  <c r="H433" i="18"/>
  <c r="L2051" i="18"/>
  <c r="I4053" i="18"/>
  <c r="I4059" i="18" s="1"/>
  <c r="I3803" i="18"/>
  <c r="I3816" i="18"/>
  <c r="K2833" i="18"/>
  <c r="I3999" i="18"/>
  <c r="I4008" i="18" s="1"/>
  <c r="N3997" i="18" s="1"/>
  <c r="K1950" i="18"/>
  <c r="I12" i="18"/>
  <c r="I17" i="18" s="1"/>
  <c r="N10" i="18" s="1"/>
  <c r="I2799" i="18"/>
  <c r="I2808" i="18" s="1"/>
  <c r="H3683" i="18"/>
  <c r="H3711" i="18"/>
  <c r="N3681" i="18" s="1"/>
  <c r="I132" i="18"/>
  <c r="I136" i="18" s="1"/>
  <c r="N130" i="18" s="1"/>
  <c r="H4353" i="18"/>
  <c r="H4357" i="18"/>
  <c r="H1777" i="18"/>
  <c r="H1329" i="18"/>
  <c r="H254" i="18"/>
  <c r="K2911" i="18"/>
  <c r="I3729" i="18"/>
  <c r="I3744" i="18" s="1"/>
  <c r="N3727" i="18" s="1"/>
  <c r="H1911" i="18"/>
  <c r="K2205" i="18"/>
  <c r="J5763" i="18"/>
  <c r="J5772" i="18" s="1"/>
  <c r="N5761" i="18" s="1"/>
  <c r="L4063" i="18"/>
  <c r="L4072" i="18" s="1"/>
  <c r="Q4061" i="18" s="1"/>
  <c r="I4249" i="18"/>
  <c r="I4258" i="18"/>
  <c r="Q4247" i="18" s="1"/>
  <c r="H4271" i="18"/>
  <c r="H4277" i="18" s="1"/>
  <c r="G3020" i="18"/>
  <c r="G3010" i="18"/>
  <c r="J4426" i="18"/>
  <c r="J4435" i="18" s="1"/>
  <c r="G1496" i="18"/>
  <c r="D1502" i="18" s="1"/>
  <c r="G2143" i="18"/>
  <c r="J254" i="18"/>
  <c r="J2333" i="18"/>
  <c r="G1497" i="18"/>
  <c r="D1497" i="18"/>
  <c r="J1472" i="18"/>
  <c r="J582" i="18"/>
  <c r="H2545" i="18"/>
  <c r="H2554" i="18"/>
  <c r="K2543" i="18" s="1"/>
  <c r="Q1428" i="18"/>
  <c r="Q1387" i="18"/>
  <c r="Q1365" i="18"/>
  <c r="R4396" i="18"/>
  <c r="L46" i="68"/>
  <c r="L37" i="72"/>
  <c r="O500" i="18"/>
  <c r="E121" i="21"/>
  <c r="E97" i="21"/>
  <c r="E98" i="21"/>
  <c r="E99" i="21"/>
  <c r="N18" i="2"/>
  <c r="F567" i="5" s="1"/>
  <c r="N16" i="2"/>
  <c r="F121" i="51"/>
  <c r="F66" i="52"/>
  <c r="M94" i="7"/>
  <c r="K3043" i="18"/>
  <c r="P3110" i="18"/>
  <c r="Q3043" i="18"/>
  <c r="L3038" i="18"/>
  <c r="Q859" i="18"/>
  <c r="Q3727" i="18"/>
  <c r="Q3306" i="18"/>
  <c r="N3770" i="18"/>
  <c r="Q3770" i="18"/>
  <c r="N3421" i="18"/>
  <c r="H2458" i="18"/>
  <c r="N3801" i="18"/>
  <c r="N3618" i="18"/>
  <c r="Q3286" i="18"/>
  <c r="N3286" i="18"/>
  <c r="N2877" i="18"/>
  <c r="I2892" i="18"/>
  <c r="I2893" i="18" s="1"/>
  <c r="I2894" i="18"/>
  <c r="N4261" i="18"/>
  <c r="N1790" i="18"/>
  <c r="N4168" i="18"/>
  <c r="Q4168" i="18"/>
  <c r="D1498" i="18"/>
  <c r="D1506" i="18"/>
  <c r="D1499" i="18"/>
  <c r="D1503" i="18"/>
  <c r="D1496" i="18"/>
  <c r="D1500" i="18"/>
  <c r="D1504" i="18"/>
  <c r="D1501" i="18"/>
  <c r="N4061" i="18"/>
  <c r="N4351" i="18"/>
  <c r="N2797" i="18"/>
  <c r="N4051" i="18"/>
  <c r="N3531" i="18"/>
  <c r="K2847" i="18"/>
  <c r="Q2847" i="18"/>
  <c r="N3968" i="18"/>
  <c r="N3443" i="18"/>
  <c r="Q3443" i="18"/>
  <c r="O4437" i="18"/>
  <c r="O1387" i="18"/>
  <c r="O4849" i="18"/>
  <c r="O130" i="18"/>
  <c r="L1449" i="18"/>
  <c r="L1428" i="18"/>
  <c r="L1365" i="18"/>
  <c r="L1459" i="18"/>
  <c r="L130" i="18"/>
  <c r="L4849" i="18"/>
  <c r="L569" i="18"/>
  <c r="L485" i="18"/>
  <c r="L559" i="18"/>
  <c r="L4437" i="18"/>
  <c r="O4392" i="18"/>
  <c r="R4395" i="18"/>
  <c r="L4392" i="18"/>
  <c r="P41" i="13" l="1"/>
  <c r="I660" i="5"/>
  <c r="E10" i="70" s="1"/>
  <c r="M111" i="5"/>
  <c r="M43" i="5"/>
  <c r="D35" i="47" s="1"/>
  <c r="M176" i="5"/>
  <c r="L585" i="5"/>
  <c r="K501" i="5"/>
  <c r="L422" i="5"/>
  <c r="M771" i="5"/>
  <c r="M732" i="5"/>
  <c r="M700" i="5"/>
  <c r="M676" i="5"/>
  <c r="F26" i="70" s="1"/>
  <c r="J690" i="5"/>
  <c r="N5052" i="18"/>
  <c r="F23" i="74"/>
  <c r="I663" i="5"/>
  <c r="E13" i="70" s="1"/>
  <c r="F682" i="5"/>
  <c r="F18" i="6"/>
  <c r="F34" i="6"/>
  <c r="AE13" i="6"/>
  <c r="AE14" i="6"/>
  <c r="F20" i="6"/>
  <c r="E75" i="70"/>
  <c r="E58" i="74"/>
  <c r="H5107" i="18" s="1"/>
  <c r="K6106" i="18"/>
  <c r="L6107" i="18" s="1"/>
  <c r="E66" i="74"/>
  <c r="H5115" i="18" s="1"/>
  <c r="E83" i="70"/>
  <c r="K6212" i="18"/>
  <c r="L6213" i="18" s="1"/>
  <c r="M97" i="5"/>
  <c r="L27" i="72" s="1"/>
  <c r="M363" i="5"/>
  <c r="U10" i="71" s="1"/>
  <c r="AE40" i="11"/>
  <c r="P4" i="11" s="1"/>
  <c r="M599" i="5"/>
  <c r="M559" i="5"/>
  <c r="Z10" i="75" s="1"/>
  <c r="N5085" i="18"/>
  <c r="F34" i="74"/>
  <c r="F35" i="74" s="1"/>
  <c r="F51" i="70"/>
  <c r="E76" i="74"/>
  <c r="H5133" i="18" s="1"/>
  <c r="F60" i="70"/>
  <c r="F119" i="70" s="1"/>
  <c r="N5074" i="18"/>
  <c r="F38" i="74"/>
  <c r="F9" i="74"/>
  <c r="J671" i="5"/>
  <c r="F31" i="70"/>
  <c r="F26" i="74"/>
  <c r="I689" i="5"/>
  <c r="E39" i="70" s="1"/>
  <c r="E35" i="8"/>
  <c r="E63" i="8" s="1"/>
  <c r="F507" i="5"/>
  <c r="J545" i="5"/>
  <c r="F634" i="5"/>
  <c r="F644" i="5"/>
  <c r="F651" i="5"/>
  <c r="F690" i="5"/>
  <c r="F696" i="5"/>
  <c r="F703" i="5"/>
  <c r="F708" i="5"/>
  <c r="F671" i="5"/>
  <c r="I702" i="5"/>
  <c r="G333" i="50" s="1"/>
  <c r="I685" i="5"/>
  <c r="K5934" i="18" s="1"/>
  <c r="L5935" i="18" s="1"/>
  <c r="I692" i="5"/>
  <c r="F58" i="70"/>
  <c r="F41" i="74"/>
  <c r="E114" i="8"/>
  <c r="N5020" i="18"/>
  <c r="F20" i="70"/>
  <c r="F38" i="70"/>
  <c r="F22" i="74"/>
  <c r="K346" i="50"/>
  <c r="F37" i="74"/>
  <c r="F39" i="74" s="1"/>
  <c r="I695" i="5"/>
  <c r="G332" i="50" s="1"/>
  <c r="M478" i="5"/>
  <c r="X24" i="75" s="1"/>
  <c r="M528" i="5"/>
  <c r="J469" i="5"/>
  <c r="F12" i="74"/>
  <c r="F55" i="70"/>
  <c r="M703" i="5"/>
  <c r="F22" i="70"/>
  <c r="I699" i="5"/>
  <c r="E49" i="70" s="1"/>
  <c r="I672" i="5"/>
  <c r="K5890" i="18" s="1"/>
  <c r="L5891" i="18" s="1"/>
  <c r="J682" i="5"/>
  <c r="F45" i="70"/>
  <c r="F42" i="70"/>
  <c r="J367" i="5"/>
  <c r="J696" i="5"/>
  <c r="J703" i="5"/>
  <c r="J708" i="5"/>
  <c r="N5063" i="18"/>
  <c r="F15" i="74"/>
  <c r="F28" i="74"/>
  <c r="F49" i="70"/>
  <c r="E106" i="21"/>
  <c r="E107" i="21" s="1"/>
  <c r="E108" i="21" s="1"/>
  <c r="F568" i="5"/>
  <c r="F585" i="5"/>
  <c r="M155" i="5"/>
  <c r="M483" i="5"/>
  <c r="X30" i="71" s="1"/>
  <c r="M526" i="5"/>
  <c r="Z10" i="71" s="1"/>
  <c r="J563" i="5"/>
  <c r="I739" i="5"/>
  <c r="E70" i="70" s="1"/>
  <c r="I743" i="5"/>
  <c r="K6092" i="18" s="1"/>
  <c r="L6093" i="18" s="1"/>
  <c r="I747" i="5"/>
  <c r="I753" i="5"/>
  <c r="E67" i="74" s="1"/>
  <c r="H5116" i="18" s="1"/>
  <c r="I763" i="5"/>
  <c r="E94" i="70" s="1"/>
  <c r="M98" i="5"/>
  <c r="L37" i="68" s="1"/>
  <c r="M621" i="5"/>
  <c r="AB36" i="71" s="1"/>
  <c r="L501" i="5"/>
  <c r="M558" i="5"/>
  <c r="AA9" i="75" s="1"/>
  <c r="F51" i="52"/>
  <c r="J479" i="5"/>
  <c r="F512" i="5"/>
  <c r="I659" i="5"/>
  <c r="E9" i="70" s="1"/>
  <c r="K441" i="5"/>
  <c r="M550" i="5"/>
  <c r="Z31" i="71" s="1"/>
  <c r="M39" i="5"/>
  <c r="K129" i="50" s="1"/>
  <c r="M766" i="5"/>
  <c r="M99" i="5"/>
  <c r="I681" i="5"/>
  <c r="K5036" i="18" s="1"/>
  <c r="L5037" i="18" s="1"/>
  <c r="I668" i="5"/>
  <c r="E18" i="70" s="1"/>
  <c r="R41" i="13"/>
  <c r="P4" i="13" s="1"/>
  <c r="M608" i="5"/>
  <c r="AB23" i="71" s="1"/>
  <c r="M594" i="5"/>
  <c r="H708" i="5"/>
  <c r="M104" i="5"/>
  <c r="K278" i="50" s="1"/>
  <c r="M554" i="5"/>
  <c r="Z35" i="71" s="1"/>
  <c r="M529" i="5"/>
  <c r="Z12" i="71" s="1"/>
  <c r="X54" i="2"/>
  <c r="X56" i="2" s="1"/>
  <c r="X57" i="2" s="1"/>
  <c r="J435" i="5"/>
  <c r="J810" i="5" s="1"/>
  <c r="F565" i="5"/>
  <c r="F210" i="5" s="1"/>
  <c r="Q16" i="2"/>
  <c r="I700" i="5"/>
  <c r="M75" i="5"/>
  <c r="F573" i="5"/>
  <c r="F578" i="5"/>
  <c r="J596" i="5"/>
  <c r="J606" i="5"/>
  <c r="J611" i="5"/>
  <c r="J618" i="5"/>
  <c r="AE40" i="12"/>
  <c r="P4" i="12" s="1"/>
  <c r="M604" i="5"/>
  <c r="L404" i="5"/>
  <c r="M88" i="5"/>
  <c r="L27" i="68" s="1"/>
  <c r="M162" i="5"/>
  <c r="K326" i="50" s="1"/>
  <c r="H4281" i="18"/>
  <c r="H2034" i="18"/>
  <c r="H2276" i="18"/>
  <c r="G2561" i="18"/>
  <c r="G2602" i="18"/>
  <c r="G3039" i="18"/>
  <c r="L3981" i="18"/>
  <c r="L3987" i="18" s="1"/>
  <c r="I2023" i="18"/>
  <c r="I2029" i="18" s="1"/>
  <c r="Q2021" i="18" s="1"/>
  <c r="J3271" i="18"/>
  <c r="G2585" i="18"/>
  <c r="G3029" i="18"/>
  <c r="I700" i="18"/>
  <c r="I704" i="18" s="1"/>
  <c r="N698" i="18" s="1"/>
  <c r="K3271" i="18"/>
  <c r="G2011" i="18"/>
  <c r="G2596" i="18"/>
  <c r="L2276" i="18"/>
  <c r="J2276" i="18"/>
  <c r="K2982" i="18"/>
  <c r="Q2982" i="18"/>
  <c r="Q2599" i="18"/>
  <c r="K2599" i="18"/>
  <c r="N4247" i="18"/>
  <c r="K1469" i="18"/>
  <c r="G2575" i="18"/>
  <c r="H5423" i="18"/>
  <c r="Q4287" i="18"/>
  <c r="N4287" i="18"/>
  <c r="G1932" i="18"/>
  <c r="G2355" i="18"/>
  <c r="G2354" i="18"/>
  <c r="J1911" i="18"/>
  <c r="Q2202" i="18"/>
  <c r="N2830" i="18"/>
  <c r="L351" i="18"/>
  <c r="K334" i="18"/>
  <c r="H1006" i="18"/>
  <c r="H1380" i="18"/>
  <c r="H1402" i="18"/>
  <c r="Q2719" i="18"/>
  <c r="H528" i="18"/>
  <c r="H552" i="18"/>
  <c r="H733" i="18"/>
  <c r="H755" i="18"/>
  <c r="D1508" i="18"/>
  <c r="D1505" i="18"/>
  <c r="Q2920" i="18"/>
  <c r="H2532" i="18"/>
  <c r="H2541" i="18" s="1"/>
  <c r="K2530" i="18" s="1"/>
  <c r="J4370" i="18"/>
  <c r="J2121" i="18"/>
  <c r="G2142" i="18"/>
  <c r="D2143" i="18" s="1"/>
  <c r="J851" i="18"/>
  <c r="I990" i="18"/>
  <c r="I1004" i="18" s="1"/>
  <c r="K123" i="18"/>
  <c r="H4311" i="18"/>
  <c r="I946" i="18"/>
  <c r="I954" i="18" s="1"/>
  <c r="K1975" i="18"/>
  <c r="K1984" i="18" s="1"/>
  <c r="L1802" i="18"/>
  <c r="I969" i="18"/>
  <c r="I975" i="18" s="1"/>
  <c r="N967" i="18" s="1"/>
  <c r="I2641" i="18"/>
  <c r="I2645" i="18" s="1"/>
  <c r="N2639" i="18" s="1"/>
  <c r="H5373" i="18"/>
  <c r="H5340" i="18"/>
  <c r="L1841" i="18"/>
  <c r="H3191" i="18"/>
  <c r="H4415" i="18"/>
  <c r="H4421" i="18" s="1"/>
  <c r="N4413" i="18" s="1"/>
  <c r="I3831" i="18"/>
  <c r="I3837" i="18" s="1"/>
  <c r="N3829" i="18" s="1"/>
  <c r="I92" i="18"/>
  <c r="I106" i="18" s="1"/>
  <c r="N90" i="18" s="1"/>
  <c r="I3321" i="18"/>
  <c r="I3327" i="18" s="1"/>
  <c r="N3319" i="18" s="1"/>
  <c r="I3434" i="18"/>
  <c r="I3439" i="18" s="1"/>
  <c r="I3411" i="18"/>
  <c r="I3418" i="18" s="1"/>
  <c r="N3409" i="18" s="1"/>
  <c r="K1990" i="18"/>
  <c r="K1999" i="18" s="1"/>
  <c r="I3762" i="18"/>
  <c r="I3767" i="18" s="1"/>
  <c r="N3760" i="18" s="1"/>
  <c r="I319" i="18"/>
  <c r="I332" i="18" s="1"/>
  <c r="N317" i="18" s="1"/>
  <c r="H691" i="18"/>
  <c r="I3918" i="18"/>
  <c r="I3924" i="18" s="1"/>
  <c r="N3916" i="18" s="1"/>
  <c r="H4149" i="18"/>
  <c r="H4155" i="18" s="1"/>
  <c r="H2296" i="18"/>
  <c r="H471" i="18"/>
  <c r="L2288" i="18"/>
  <c r="H185" i="18"/>
  <c r="H266" i="18"/>
  <c r="H207" i="18"/>
  <c r="H229" i="18"/>
  <c r="H1248" i="18"/>
  <c r="H1270" i="18"/>
  <c r="P2699" i="18"/>
  <c r="Q1617" i="18"/>
  <c r="N1918" i="18"/>
  <c r="N1922" i="18" s="1"/>
  <c r="N2128" i="18"/>
  <c r="K5280" i="18"/>
  <c r="K5289" i="18" s="1"/>
  <c r="N5276" i="18" s="1"/>
  <c r="I4180" i="18"/>
  <c r="I4767" i="18"/>
  <c r="I4773" i="18" s="1"/>
  <c r="N4765" i="18" s="1"/>
  <c r="I4215" i="18"/>
  <c r="I5023" i="18"/>
  <c r="I5034" i="18" s="1"/>
  <c r="I4200" i="18"/>
  <c r="I4635" i="18"/>
  <c r="I4650" i="18" s="1"/>
  <c r="I4824" i="18"/>
  <c r="I4833" i="18" s="1"/>
  <c r="N4822" i="18" s="1"/>
  <c r="I4987" i="18"/>
  <c r="I4997" i="18" s="1"/>
  <c r="N4985" i="18" s="1"/>
  <c r="I5122" i="18"/>
  <c r="I4738" i="18"/>
  <c r="I4747" i="18" s="1"/>
  <c r="N4736" i="18" s="1"/>
  <c r="I4459" i="18"/>
  <c r="I4838" i="18"/>
  <c r="I4847" i="18" s="1"/>
  <c r="N4836" i="18" s="1"/>
  <c r="I5055" i="18"/>
  <c r="I5061" i="18" s="1"/>
  <c r="I4500" i="18"/>
  <c r="I4801" i="18"/>
  <c r="N4799" i="18" s="1"/>
  <c r="I5077" i="18"/>
  <c r="I5083" i="18" s="1"/>
  <c r="I4224" i="18"/>
  <c r="I4696" i="18"/>
  <c r="I4712" i="18" s="1"/>
  <c r="I4901" i="18"/>
  <c r="I4911" i="18" s="1"/>
  <c r="N4899" i="18" s="1"/>
  <c r="I5039" i="18"/>
  <c r="I5050" i="18" s="1"/>
  <c r="I5777" i="18"/>
  <c r="J4519" i="18"/>
  <c r="I4916" i="18"/>
  <c r="I4925" i="18" s="1"/>
  <c r="N4914" i="18" s="1"/>
  <c r="I5099" i="18"/>
  <c r="J4566" i="18"/>
  <c r="I4879" i="18"/>
  <c r="I4896" i="18" s="1"/>
  <c r="I5130" i="18"/>
  <c r="I4509" i="18"/>
  <c r="I4514" i="18" s="1"/>
  <c r="Q4507" i="18" s="1"/>
  <c r="I4752" i="18"/>
  <c r="I4763" i="18" s="1"/>
  <c r="N4750" i="18" s="1"/>
  <c r="I4929" i="18"/>
  <c r="I4935" i="18" s="1"/>
  <c r="I5066" i="18"/>
  <c r="I5072" i="18" s="1"/>
  <c r="N5064" i="18" s="1"/>
  <c r="J4491" i="18"/>
  <c r="I4665" i="18"/>
  <c r="I4681" i="18" s="1"/>
  <c r="I4968" i="18"/>
  <c r="I4982" i="18" s="1"/>
  <c r="K5295" i="18"/>
  <c r="K5304" i="18" s="1"/>
  <c r="N5291" i="18" s="1"/>
  <c r="I4727" i="18"/>
  <c r="I4734" i="18" s="1"/>
  <c r="N4725" i="18" s="1"/>
  <c r="I4947" i="18"/>
  <c r="I4955" i="18" s="1"/>
  <c r="N4945" i="18" s="1"/>
  <c r="I5807" i="18"/>
  <c r="I5835" i="18" s="1"/>
  <c r="N5805" i="18" s="1"/>
  <c r="J4543" i="18"/>
  <c r="I4778" i="18"/>
  <c r="I4788" i="18" s="1"/>
  <c r="N4776" i="18" s="1"/>
  <c r="I4960" i="18"/>
  <c r="I4964" i="18" s="1"/>
  <c r="I5088" i="18"/>
  <c r="I5094" i="18" s="1"/>
  <c r="I4865" i="18"/>
  <c r="I4874" i="18" s="1"/>
  <c r="N4863" i="18" s="1"/>
  <c r="I5763" i="18"/>
  <c r="I5772" i="18" s="1"/>
  <c r="K5761" i="18" s="1"/>
  <c r="H1950" i="18"/>
  <c r="H2911" i="18"/>
  <c r="H709" i="18"/>
  <c r="H1295" i="18"/>
  <c r="N851" i="18"/>
  <c r="H3803" i="18"/>
  <c r="H3816" i="18" s="1"/>
  <c r="L1777" i="18"/>
  <c r="H862" i="18"/>
  <c r="H969" i="18"/>
  <c r="H975" i="18" s="1"/>
  <c r="K967" i="18" s="1"/>
  <c r="H3278" i="18"/>
  <c r="H3284" i="18" s="1"/>
  <c r="Q3276" i="18" s="1"/>
  <c r="H1192" i="18"/>
  <c r="H111" i="18"/>
  <c r="H117" i="18" s="1"/>
  <c r="H488" i="18"/>
  <c r="H936" i="18"/>
  <c r="H941" i="18" s="1"/>
  <c r="K934" i="18" s="1"/>
  <c r="K4263" i="18"/>
  <c r="K4267" i="18" s="1"/>
  <c r="N4311" i="18"/>
  <c r="H92" i="18"/>
  <c r="H106" i="18" s="1"/>
  <c r="H2522" i="18"/>
  <c r="H2528" i="18" s="1"/>
  <c r="K2520" i="18" s="1"/>
  <c r="H337" i="18"/>
  <c r="H3929" i="18"/>
  <c r="H3935" i="18" s="1"/>
  <c r="H2823" i="18"/>
  <c r="H2827" i="18" s="1"/>
  <c r="K2821" i="18" s="1"/>
  <c r="J5730" i="18"/>
  <c r="J5736" i="18" s="1"/>
  <c r="N4343" i="18"/>
  <c r="K3383" i="18"/>
  <c r="K3392" i="18" s="1"/>
  <c r="K3381" i="18" s="1"/>
  <c r="M1639" i="18"/>
  <c r="H5357" i="18"/>
  <c r="H3918" i="18"/>
  <c r="H3924" i="18" s="1"/>
  <c r="H1792" i="18"/>
  <c r="H1797" i="18" s="1"/>
  <c r="M4271" i="18"/>
  <c r="M4277" i="18" s="1"/>
  <c r="M4281" i="18" s="1"/>
  <c r="H217" i="18"/>
  <c r="K4149" i="18"/>
  <c r="K4155" i="18" s="1"/>
  <c r="K4147" i="18" s="1"/>
  <c r="Q2466" i="18"/>
  <c r="H1620" i="18"/>
  <c r="K4362" i="18"/>
  <c r="K4364" i="18" s="1"/>
  <c r="K4360" i="18" s="1"/>
  <c r="K2545" i="18"/>
  <c r="H724" i="18"/>
  <c r="H814" i="18"/>
  <c r="I1559" i="18"/>
  <c r="I1565" i="18" s="1"/>
  <c r="H958" i="18"/>
  <c r="H964" i="18" s="1"/>
  <c r="G2573" i="18"/>
  <c r="G3036" i="18"/>
  <c r="H5560" i="18"/>
  <c r="J5211" i="18"/>
  <c r="G2593" i="18"/>
  <c r="H5458" i="18"/>
  <c r="H5197" i="18"/>
  <c r="H5206" i="18" s="1"/>
  <c r="H3820" i="18"/>
  <c r="H3826" i="18" s="1"/>
  <c r="K4353" i="18"/>
  <c r="K4357" i="18" s="1"/>
  <c r="H4053" i="18"/>
  <c r="H4059" i="18" s="1"/>
  <c r="H1258" i="18"/>
  <c r="Q5579" i="18"/>
  <c r="H3259" i="18"/>
  <c r="H1280" i="18"/>
  <c r="H4120" i="18"/>
  <c r="H4127" i="18" s="1"/>
  <c r="M3191" i="18"/>
  <c r="H2160" i="18"/>
  <c r="N1472" i="18"/>
  <c r="K3620" i="18"/>
  <c r="H2641" i="18"/>
  <c r="H2645" i="18" s="1"/>
  <c r="K2639" i="18" s="1"/>
  <c r="M3178" i="18"/>
  <c r="H359" i="18"/>
  <c r="H1826" i="18"/>
  <c r="H1814" i="18"/>
  <c r="H1820" i="18" s="1"/>
  <c r="K4415" i="18"/>
  <c r="K4421" i="18" s="1"/>
  <c r="K4413" i="18" s="1"/>
  <c r="H946" i="18"/>
  <c r="H954" i="18" s="1"/>
  <c r="H403" i="18"/>
  <c r="H3560" i="18"/>
  <c r="H3566" i="18" s="1"/>
  <c r="H1148" i="18"/>
  <c r="H319" i="18"/>
  <c r="H3473" i="18"/>
  <c r="H3479" i="18" s="1"/>
  <c r="J5637" i="18"/>
  <c r="J5646" i="18" s="1"/>
  <c r="N5635" i="18" s="1"/>
  <c r="M4426" i="18"/>
  <c r="M4435" i="18" s="1"/>
  <c r="K4424" i="18" s="1"/>
  <c r="H1060" i="18"/>
  <c r="H2833" i="18"/>
  <c r="H12" i="18"/>
  <c r="H17" i="18" s="1"/>
  <c r="H2415" i="18"/>
  <c r="H2879" i="18"/>
  <c r="H2888" i="18" s="1"/>
  <c r="I5680" i="18"/>
  <c r="I5686" i="18" s="1"/>
  <c r="H3411" i="18"/>
  <c r="H3418" i="18" s="1"/>
  <c r="I5637" i="18"/>
  <c r="I5646" i="18" s="1"/>
  <c r="K5635" i="18" s="1"/>
  <c r="N1911" i="18"/>
  <c r="L3216" i="18"/>
  <c r="N2121" i="18"/>
  <c r="H3321" i="18"/>
  <c r="H3327" i="18" s="1"/>
  <c r="H5066" i="18"/>
  <c r="H5072" i="18" s="1"/>
  <c r="H4929" i="18"/>
  <c r="H4935" i="18" s="1"/>
  <c r="H4778" i="18"/>
  <c r="H4788" i="18" s="1"/>
  <c r="K4776" i="18" s="1"/>
  <c r="H4543" i="18"/>
  <c r="H4200" i="18"/>
  <c r="H5099" i="18"/>
  <c r="H4916" i="18"/>
  <c r="H4925" i="18" s="1"/>
  <c r="H4519" i="18"/>
  <c r="H4801" i="18"/>
  <c r="H4500" i="18"/>
  <c r="H4505" i="18" s="1"/>
  <c r="K4498" i="18" s="1"/>
  <c r="H4947" i="18"/>
  <c r="H4955" i="18" s="1"/>
  <c r="H700" i="18"/>
  <c r="H704" i="18" s="1"/>
  <c r="K698" i="18" s="1"/>
  <c r="H1766" i="18"/>
  <c r="H1772" i="18" s="1"/>
  <c r="G2366" i="18"/>
  <c r="D2366" i="18" s="1"/>
  <c r="I3271" i="18"/>
  <c r="G2595" i="18"/>
  <c r="H5551" i="18"/>
  <c r="G2616" i="18"/>
  <c r="D2616" i="18" s="1"/>
  <c r="H873" i="18"/>
  <c r="H888" i="18" s="1"/>
  <c r="H5604" i="18"/>
  <c r="Q3981" i="18"/>
  <c r="Q3987" i="18" s="1"/>
  <c r="J5624" i="18"/>
  <c r="J5633" i="18" s="1"/>
  <c r="I5670" i="18"/>
  <c r="I5676" i="18" s="1"/>
  <c r="I5624" i="18"/>
  <c r="I5633" i="18" s="1"/>
  <c r="N5622" i="18" s="1"/>
  <c r="I1766" i="18"/>
  <c r="I1772" i="18" s="1"/>
  <c r="G2583" i="18"/>
  <c r="D2583" i="18" s="1"/>
  <c r="H3858" i="18"/>
  <c r="H3864" i="18" s="1"/>
  <c r="H3271" i="18"/>
  <c r="G1944" i="18"/>
  <c r="D1944" i="18" s="1"/>
  <c r="G3027" i="18"/>
  <c r="M2034" i="18"/>
  <c r="M2046" i="18" s="1"/>
  <c r="K2032" i="18" s="1"/>
  <c r="Q4750" i="18"/>
  <c r="K4516" i="18"/>
  <c r="N4507" i="18"/>
  <c r="I4505" i="18"/>
  <c r="N4498" i="18" s="1"/>
  <c r="K3640" i="18"/>
  <c r="K3648" i="18" s="1"/>
  <c r="K3652" i="18" s="1"/>
  <c r="I3626" i="18"/>
  <c r="K3672" i="18"/>
  <c r="K3657" i="18" s="1"/>
  <c r="K3622" i="18"/>
  <c r="J3621" i="18"/>
  <c r="J3651" i="18" s="1"/>
  <c r="J3653" i="18" s="1"/>
  <c r="J3654" i="18" s="1"/>
  <c r="J3652" i="18"/>
  <c r="I3652" i="18"/>
  <c r="H3648" i="18"/>
  <c r="N3628" i="18" s="1"/>
  <c r="P2696" i="18"/>
  <c r="K2648" i="18" s="1"/>
  <c r="H2696" i="18"/>
  <c r="J1403" i="18"/>
  <c r="J1405" i="18" s="1"/>
  <c r="J1406" i="18" s="1"/>
  <c r="D2664" i="18"/>
  <c r="D2680" i="18"/>
  <c r="D2696" i="18"/>
  <c r="D2667" i="18"/>
  <c r="D2683" i="18"/>
  <c r="D2654" i="18"/>
  <c r="D2670" i="18"/>
  <c r="D2686" i="18"/>
  <c r="D2689" i="18"/>
  <c r="D2669" i="18"/>
  <c r="D2693" i="18"/>
  <c r="D2668" i="18"/>
  <c r="D2684" i="18"/>
  <c r="D2655" i="18"/>
  <c r="D2671" i="18"/>
  <c r="D2687" i="18"/>
  <c r="D2658" i="18"/>
  <c r="D2674" i="18"/>
  <c r="D2690" i="18"/>
  <c r="D2681" i="18"/>
  <c r="D2685" i="18"/>
  <c r="D2677" i="18"/>
  <c r="D2672" i="18"/>
  <c r="D2688" i="18"/>
  <c r="D2659" i="18"/>
  <c r="D2675" i="18"/>
  <c r="D2691" i="18"/>
  <c r="D2662" i="18"/>
  <c r="D2678" i="18"/>
  <c r="D2694" i="18"/>
  <c r="D2656" i="18"/>
  <c r="D2665" i="18"/>
  <c r="N2648" i="18"/>
  <c r="H2700" i="18"/>
  <c r="H2701" i="18" s="1"/>
  <c r="H2702" i="18" s="1"/>
  <c r="P2700" i="18"/>
  <c r="Q1013" i="18"/>
  <c r="H1008" i="18"/>
  <c r="K988" i="18"/>
  <c r="H332" i="18"/>
  <c r="K317" i="18" s="1"/>
  <c r="E32" i="74"/>
  <c r="M598" i="5"/>
  <c r="M722" i="5"/>
  <c r="M13" i="5"/>
  <c r="H10" i="68" s="1"/>
  <c r="I688" i="5"/>
  <c r="M68" i="5"/>
  <c r="L10" i="68" s="1"/>
  <c r="F760" i="5"/>
  <c r="F764" i="5" s="1"/>
  <c r="F830" i="5" s="1"/>
  <c r="E117" i="8"/>
  <c r="M45" i="5"/>
  <c r="K160" i="50" s="1"/>
  <c r="M55" i="5"/>
  <c r="K188" i="50" s="1"/>
  <c r="M89" i="5"/>
  <c r="L20" i="72" s="1"/>
  <c r="M272" i="5"/>
  <c r="L36" i="68"/>
  <c r="M190" i="5"/>
  <c r="F256" i="5"/>
  <c r="F318" i="5"/>
  <c r="I662" i="5"/>
  <c r="E12" i="70" s="1"/>
  <c r="I678" i="5"/>
  <c r="L246" i="5"/>
  <c r="M387" i="5"/>
  <c r="L651" i="5"/>
  <c r="M615" i="5"/>
  <c r="AB30" i="71" s="1"/>
  <c r="M370" i="5"/>
  <c r="M613" i="5"/>
  <c r="AB28" i="71" s="1"/>
  <c r="M11" i="5"/>
  <c r="D13" i="51" s="1"/>
  <c r="I13" i="51" s="1"/>
  <c r="J13" i="51" s="1"/>
  <c r="I693" i="5"/>
  <c r="I667" i="5"/>
  <c r="E17" i="70" s="1"/>
  <c r="I707" i="5"/>
  <c r="G334" i="50" s="1"/>
  <c r="O41" i="13"/>
  <c r="M364" i="5"/>
  <c r="U11" i="75" s="1"/>
  <c r="M733" i="5"/>
  <c r="M778" i="5"/>
  <c r="M772" i="5"/>
  <c r="I553" i="18"/>
  <c r="I555" i="18" s="1"/>
  <c r="I556" i="18" s="1"/>
  <c r="O5363" i="18"/>
  <c r="P5363" i="18" s="1"/>
  <c r="L186" i="18"/>
  <c r="L188" i="18" s="1"/>
  <c r="L189" i="18" s="1"/>
  <c r="N1031" i="18"/>
  <c r="L2221" i="18"/>
  <c r="J332" i="18"/>
  <c r="Q2696" i="18"/>
  <c r="I4576" i="18"/>
  <c r="I4578" i="18" s="1"/>
  <c r="I4579" i="18" s="1"/>
  <c r="L3731" i="18"/>
  <c r="K15" i="18"/>
  <c r="H186" i="18"/>
  <c r="H188" i="18" s="1"/>
  <c r="H189" i="18" s="1"/>
  <c r="N595" i="18"/>
  <c r="N597" i="18" s="1"/>
  <c r="N598" i="18" s="1"/>
  <c r="H1271" i="18"/>
  <c r="H1273" i="18" s="1"/>
  <c r="H1274" i="18" s="1"/>
  <c r="L2066" i="18"/>
  <c r="L4891" i="18"/>
  <c r="M4891" i="18" s="1"/>
  <c r="N1485" i="18"/>
  <c r="N1487" i="18" s="1"/>
  <c r="N1488" i="18" s="1"/>
  <c r="J734" i="18"/>
  <c r="J736" i="18" s="1"/>
  <c r="J737" i="18" s="1"/>
  <c r="K738" i="18" s="1"/>
  <c r="L738" i="18" s="1"/>
  <c r="H394" i="18"/>
  <c r="H396" i="18" s="1"/>
  <c r="H397" i="18" s="1"/>
  <c r="I3552" i="18"/>
  <c r="I3554" i="18" s="1"/>
  <c r="I3555" i="18" s="1"/>
  <c r="L350" i="18"/>
  <c r="L352" i="18" s="1"/>
  <c r="L353" i="18" s="1"/>
  <c r="O5379" i="18"/>
  <c r="P5379" i="18" s="1"/>
  <c r="N1032" i="18"/>
  <c r="H1037" i="18"/>
  <c r="H1039" i="18" s="1"/>
  <c r="H1040" i="18" s="1"/>
  <c r="N56" i="18"/>
  <c r="N1624" i="18"/>
  <c r="L4885" i="18"/>
  <c r="M4885" i="18" s="1"/>
  <c r="O1647" i="18"/>
  <c r="I208" i="18"/>
  <c r="I210" i="18" s="1"/>
  <c r="I211" i="18" s="1"/>
  <c r="L1030" i="18"/>
  <c r="I1183" i="18"/>
  <c r="I1185" i="18" s="1"/>
  <c r="I1186" i="18" s="1"/>
  <c r="M1312" i="18"/>
  <c r="I1422" i="18"/>
  <c r="I1424" i="18" s="1"/>
  <c r="I1425" i="18" s="1"/>
  <c r="M1893" i="18"/>
  <c r="O2216" i="18"/>
  <c r="I2309" i="18"/>
  <c r="I2311" i="18" s="1"/>
  <c r="I2312" i="18" s="1"/>
  <c r="K3675" i="18"/>
  <c r="Q3990" i="18"/>
  <c r="H4557" i="18"/>
  <c r="H4559" i="18" s="1"/>
  <c r="H4560" i="18" s="1"/>
  <c r="L4871" i="18"/>
  <c r="M4871" i="18" s="1"/>
  <c r="P854" i="18"/>
  <c r="L3764" i="18"/>
  <c r="N1856" i="18"/>
  <c r="O1643" i="18"/>
  <c r="L4867" i="18"/>
  <c r="M4867" i="18" s="1"/>
  <c r="O5359" i="18"/>
  <c r="P5359" i="18" s="1"/>
  <c r="N267" i="18"/>
  <c r="N269" i="18" s="1"/>
  <c r="N270" i="18" s="1"/>
  <c r="K3676" i="18"/>
  <c r="H553" i="18"/>
  <c r="H555" i="18" s="1"/>
  <c r="H556" i="18" s="1"/>
  <c r="I1037" i="18"/>
  <c r="I1039" i="18" s="1"/>
  <c r="I1040" i="18" s="1"/>
  <c r="J2287" i="18"/>
  <c r="J2289" i="18" s="1"/>
  <c r="J2290" i="18" s="1"/>
  <c r="H3465" i="18"/>
  <c r="H3467" i="18" s="1"/>
  <c r="H3468" i="18" s="1"/>
  <c r="I4131" i="18"/>
  <c r="L3738" i="18"/>
  <c r="L938" i="18"/>
  <c r="N1858" i="18"/>
  <c r="P1645" i="18"/>
  <c r="K2888" i="18"/>
  <c r="M1710" i="18"/>
  <c r="M1712" i="18" s="1"/>
  <c r="M1713" i="18" s="1"/>
  <c r="I3651" i="18"/>
  <c r="I3653" i="18" s="1"/>
  <c r="I3654" i="18" s="1"/>
  <c r="J4114" i="18"/>
  <c r="J4534" i="18"/>
  <c r="K4642" i="18"/>
  <c r="L442" i="18"/>
  <c r="L444" i="18" s="1"/>
  <c r="L445" i="18" s="1"/>
  <c r="K2642" i="18"/>
  <c r="O5376" i="18"/>
  <c r="P5376" i="18" s="1"/>
  <c r="N2223" i="18"/>
  <c r="K2825" i="18"/>
  <c r="H350" i="18"/>
  <c r="H352" i="18" s="1"/>
  <c r="H353" i="18" s="1"/>
  <c r="H442" i="18"/>
  <c r="H444" i="18" s="1"/>
  <c r="H445" i="18" s="1"/>
  <c r="L13" i="18"/>
  <c r="P1641" i="18"/>
  <c r="P1644" i="18"/>
  <c r="P1646" i="18"/>
  <c r="N1627" i="18"/>
  <c r="S2494" i="18"/>
  <c r="M3031" i="18"/>
  <c r="L4890" i="18"/>
  <c r="M4890" i="18" s="1"/>
  <c r="N5328" i="18"/>
  <c r="O5328" i="18" s="1"/>
  <c r="O5365" i="18"/>
  <c r="P5365" i="18" s="1"/>
  <c r="P1647" i="18"/>
  <c r="H267" i="18"/>
  <c r="H269" i="18" s="1"/>
  <c r="H270" i="18" s="1"/>
  <c r="M344" i="18"/>
  <c r="J442" i="18"/>
  <c r="J444" i="18" s="1"/>
  <c r="J445" i="18" s="1"/>
  <c r="M490" i="18"/>
  <c r="K939" i="18"/>
  <c r="L1031" i="18"/>
  <c r="M1051" i="18"/>
  <c r="H1161" i="18"/>
  <c r="H1163" i="18" s="1"/>
  <c r="H1164" i="18" s="1"/>
  <c r="M1227" i="18"/>
  <c r="J975" i="18"/>
  <c r="Q967" i="18" s="1"/>
  <c r="M1693" i="18"/>
  <c r="M1695" i="18" s="1"/>
  <c r="M1696" i="18" s="1"/>
  <c r="L1710" i="18"/>
  <c r="L1712" i="18" s="1"/>
  <c r="L1713" i="18" s="1"/>
  <c r="H1921" i="18"/>
  <c r="H1923" i="18" s="1"/>
  <c r="H1924" i="18" s="1"/>
  <c r="L1857" i="18"/>
  <c r="M2245" i="18"/>
  <c r="M2223" i="18"/>
  <c r="M2278" i="18"/>
  <c r="K2457" i="18"/>
  <c r="K2459" i="18" s="1"/>
  <c r="K2460" i="18" s="1"/>
  <c r="N2845" i="18"/>
  <c r="H3651" i="18"/>
  <c r="L3666" i="18"/>
  <c r="J3788" i="18"/>
  <c r="K4007" i="18"/>
  <c r="Q3997" i="18" s="1"/>
  <c r="L3931" i="18"/>
  <c r="J4125" i="18"/>
  <c r="H4534" i="18"/>
  <c r="J4535" i="18"/>
  <c r="I4557" i="18"/>
  <c r="I4559" i="18" s="1"/>
  <c r="I4560" i="18" s="1"/>
  <c r="L3737" i="18"/>
  <c r="K4638" i="18"/>
  <c r="H4792" i="18"/>
  <c r="L3732" i="18"/>
  <c r="J756" i="18"/>
  <c r="J758" i="18" s="1"/>
  <c r="J759" i="18" s="1"/>
  <c r="K760" i="18" s="1"/>
  <c r="L760" i="18" s="1"/>
  <c r="J827" i="18"/>
  <c r="J829" i="18" s="1"/>
  <c r="J830" i="18" s="1"/>
  <c r="K831" i="18" s="1"/>
  <c r="L831" i="18" s="1"/>
  <c r="L1793" i="18"/>
  <c r="I3465" i="18"/>
  <c r="I3467" i="18" s="1"/>
  <c r="I3468" i="18" s="1"/>
  <c r="L3765" i="18"/>
  <c r="L2643" i="18"/>
  <c r="I1007" i="18"/>
  <c r="L937" i="18"/>
  <c r="N5345" i="18"/>
  <c r="O5345" i="18" s="1"/>
  <c r="O5380" i="18"/>
  <c r="P5380" i="18" s="1"/>
  <c r="O5382" i="18"/>
  <c r="P5382" i="18" s="1"/>
  <c r="O5375" i="18"/>
  <c r="P5375" i="18" s="1"/>
  <c r="O5362" i="18"/>
  <c r="P5362" i="18" s="1"/>
  <c r="O5377" i="18"/>
  <c r="P5377" i="18" s="1"/>
  <c r="J2228" i="18"/>
  <c r="J2230" i="18" s="1"/>
  <c r="J2231" i="18" s="1"/>
  <c r="L2287" i="18"/>
  <c r="L2289" i="18" s="1"/>
  <c r="L2290" i="18" s="1"/>
  <c r="N2221" i="18"/>
  <c r="N1030" i="18"/>
  <c r="M2425" i="18"/>
  <c r="M2427" i="18" s="1"/>
  <c r="M2428" i="18" s="1"/>
  <c r="K3764" i="18"/>
  <c r="L2642" i="18"/>
  <c r="L14" i="18"/>
  <c r="O1642" i="18"/>
  <c r="O1644" i="18"/>
  <c r="N1623" i="18"/>
  <c r="L2587" i="18"/>
  <c r="M1787" i="18"/>
  <c r="L4889" i="18"/>
  <c r="M4889" i="18" s="1"/>
  <c r="N5330" i="18"/>
  <c r="O5330" i="18" s="1"/>
  <c r="N1628" i="18"/>
  <c r="H230" i="18"/>
  <c r="H232" i="18" s="1"/>
  <c r="H233" i="18" s="1"/>
  <c r="J330" i="18"/>
  <c r="I394" i="18"/>
  <c r="I396" i="18" s="1"/>
  <c r="I397" i="18" s="1"/>
  <c r="I462" i="18"/>
  <c r="I464" i="18" s="1"/>
  <c r="I465" i="18" s="1"/>
  <c r="J1002" i="18"/>
  <c r="M1143" i="18"/>
  <c r="L1032" i="18"/>
  <c r="I1095" i="18"/>
  <c r="I1097" i="18" s="1"/>
  <c r="I1098" i="18" s="1"/>
  <c r="I1161" i="18"/>
  <c r="I1163" i="18" s="1"/>
  <c r="I1164" i="18" s="1"/>
  <c r="I1271" i="18"/>
  <c r="I1273" i="18" s="1"/>
  <c r="I1274" i="18" s="1"/>
  <c r="H1342" i="18"/>
  <c r="H1344" i="18" s="1"/>
  <c r="H1345" i="18" s="1"/>
  <c r="H1381" i="18"/>
  <c r="H1383" i="18" s="1"/>
  <c r="H1384" i="18" s="1"/>
  <c r="M1372" i="18"/>
  <c r="L1693" i="18"/>
  <c r="L1695" i="18" s="1"/>
  <c r="L1696" i="18" s="1"/>
  <c r="N1836" i="18"/>
  <c r="M1880" i="18"/>
  <c r="M1858" i="18"/>
  <c r="M2271" i="18"/>
  <c r="H2287" i="18"/>
  <c r="H2289" i="18" s="1"/>
  <c r="H2290" i="18" s="1"/>
  <c r="H2343" i="18"/>
  <c r="H2345" i="18" s="1"/>
  <c r="H2346" i="18" s="1"/>
  <c r="H2457" i="18"/>
  <c r="H2459" i="18" s="1"/>
  <c r="H2460" i="18" s="1"/>
  <c r="H3299" i="18"/>
  <c r="H3301" i="18" s="1"/>
  <c r="H3302" i="18" s="1"/>
  <c r="J3675" i="18"/>
  <c r="J3816" i="18"/>
  <c r="K3930" i="18"/>
  <c r="L3932" i="18"/>
  <c r="I4130" i="18"/>
  <c r="M4280" i="18"/>
  <c r="M4282" i="18" s="1"/>
  <c r="M4283" i="18" s="1"/>
  <c r="J4502" i="18"/>
  <c r="J4576" i="18"/>
  <c r="J4578" i="18" s="1"/>
  <c r="J4579" i="18" s="1"/>
  <c r="L3739" i="18"/>
  <c r="K4641" i="18"/>
  <c r="L4869" i="18"/>
  <c r="M4869" i="18" s="1"/>
  <c r="K4961" i="18"/>
  <c r="K4964" i="18" s="1"/>
  <c r="L716" i="18"/>
  <c r="L790" i="18"/>
  <c r="L2116" i="18"/>
  <c r="K1793" i="18"/>
  <c r="R2046" i="18"/>
  <c r="L2090" i="18"/>
  <c r="R2045" i="18"/>
  <c r="L719" i="18"/>
  <c r="L711" i="18"/>
  <c r="K4919" i="18"/>
  <c r="H4791" i="18"/>
  <c r="O4277" i="18"/>
  <c r="K4637" i="18"/>
  <c r="L3734" i="18"/>
  <c r="K4557" i="18"/>
  <c r="K4559" i="18" s="1"/>
  <c r="K4560" i="18" s="1"/>
  <c r="K4535" i="18"/>
  <c r="H4535" i="18"/>
  <c r="H4280" i="18"/>
  <c r="H4282" i="18" s="1"/>
  <c r="H4283" i="18" s="1"/>
  <c r="K4284" i="18" s="1"/>
  <c r="L4284" i="18" s="1"/>
  <c r="J4110" i="18"/>
  <c r="J3971" i="18"/>
  <c r="L3930" i="18"/>
  <c r="H3850" i="18"/>
  <c r="H3852" i="18" s="1"/>
  <c r="H3853" i="18" s="1"/>
  <c r="J3837" i="18"/>
  <c r="H3676" i="18"/>
  <c r="L3622" i="18"/>
  <c r="J3539" i="18"/>
  <c r="I3299" i="18"/>
  <c r="I3301" i="18" s="1"/>
  <c r="I3302" i="18" s="1"/>
  <c r="M2457" i="18"/>
  <c r="M2459" i="18" s="1"/>
  <c r="M2460" i="18" s="1"/>
  <c r="N2422" i="18"/>
  <c r="H2309" i="18"/>
  <c r="H2311" i="18" s="1"/>
  <c r="H2312" i="18" s="1"/>
  <c r="L2223" i="18"/>
  <c r="M2221" i="18"/>
  <c r="I2228" i="18"/>
  <c r="I2230" i="18" s="1"/>
  <c r="I2231" i="18" s="1"/>
  <c r="L2068" i="18"/>
  <c r="M1857" i="18"/>
  <c r="M1906" i="18"/>
  <c r="I1863" i="18"/>
  <c r="I1865" i="18" s="1"/>
  <c r="I1866" i="18" s="1"/>
  <c r="K1693" i="18"/>
  <c r="K1695" i="18" s="1"/>
  <c r="K1696" i="18" s="1"/>
  <c r="H1422" i="18"/>
  <c r="H1424" i="18" s="1"/>
  <c r="H1425" i="18" s="1"/>
  <c r="L1381" i="18"/>
  <c r="L1383" i="18" s="1"/>
  <c r="L1384" i="18" s="1"/>
  <c r="J954" i="18"/>
  <c r="Q944" i="18" s="1"/>
  <c r="M1222" i="18"/>
  <c r="M1134" i="18"/>
  <c r="H1095" i="18"/>
  <c r="H1097" i="18" s="1"/>
  <c r="H1098" i="18" s="1"/>
  <c r="H1073" i="18"/>
  <c r="H1075" i="18" s="1"/>
  <c r="H1076" i="18" s="1"/>
  <c r="M1030" i="18"/>
  <c r="J1003" i="18"/>
  <c r="I529" i="18"/>
  <c r="I531" i="18" s="1"/>
  <c r="I532" i="18" s="1"/>
  <c r="H595" i="18"/>
  <c r="H597" i="18" s="1"/>
  <c r="H598" i="18" s="1"/>
  <c r="M339" i="18"/>
  <c r="I230" i="18"/>
  <c r="I232" i="18" s="1"/>
  <c r="I233" i="18" s="1"/>
  <c r="M180" i="18"/>
  <c r="H208" i="18"/>
  <c r="H210" i="18" s="1"/>
  <c r="H211" i="18" s="1"/>
  <c r="J186" i="18"/>
  <c r="J188" i="18" s="1"/>
  <c r="J189" i="18" s="1"/>
  <c r="N1629" i="18"/>
  <c r="N5332" i="18"/>
  <c r="O5332" i="18" s="1"/>
  <c r="L4893" i="18"/>
  <c r="M4893" i="18" s="1"/>
  <c r="L4887" i="18"/>
  <c r="M4887" i="18" s="1"/>
  <c r="N3210" i="18"/>
  <c r="Q2685" i="18"/>
  <c r="L4868" i="18"/>
  <c r="M4868" i="18" s="1"/>
  <c r="N1626" i="18"/>
  <c r="N1622" i="18"/>
  <c r="O1645" i="18"/>
  <c r="P1642" i="18"/>
  <c r="O1641" i="18"/>
  <c r="K14" i="18"/>
  <c r="N42" i="18"/>
  <c r="K2824" i="18"/>
  <c r="N2222" i="18"/>
  <c r="L2824" i="18"/>
  <c r="N1857" i="18"/>
  <c r="J1863" i="18"/>
  <c r="J1865" i="18" s="1"/>
  <c r="J1866" i="18" s="1"/>
  <c r="L2825" i="18"/>
  <c r="H1320" i="18"/>
  <c r="H1322" i="18" s="1"/>
  <c r="H1323" i="18" s="1"/>
  <c r="N5329" i="18"/>
  <c r="O5329" i="18" s="1"/>
  <c r="O5360" i="18"/>
  <c r="P5360" i="18" s="1"/>
  <c r="J2425" i="18"/>
  <c r="J2427" i="18" s="1"/>
  <c r="J2428" i="18" s="1"/>
  <c r="I3850" i="18"/>
  <c r="N5343" i="18"/>
  <c r="O5343" i="18" s="1"/>
  <c r="N5349" i="18"/>
  <c r="O5349" i="18" s="1"/>
  <c r="N5342" i="18"/>
  <c r="O5342" i="18" s="1"/>
  <c r="L939" i="18"/>
  <c r="N5347" i="18"/>
  <c r="O5347" i="18" s="1"/>
  <c r="N5344" i="18"/>
  <c r="O5344" i="18" s="1"/>
  <c r="J2070" i="18"/>
  <c r="O2215" i="18"/>
  <c r="L1794" i="18"/>
  <c r="N5348" i="18"/>
  <c r="O5348" i="18" s="1"/>
  <c r="L1403" i="18"/>
  <c r="L1405" i="18" s="1"/>
  <c r="L1406" i="18" s="1"/>
  <c r="O5381" i="18"/>
  <c r="P5381" i="18" s="1"/>
  <c r="L4888" i="18"/>
  <c r="M4888" i="18" s="1"/>
  <c r="L3763" i="18"/>
  <c r="O5361" i="18"/>
  <c r="P5361" i="18" s="1"/>
  <c r="J1037" i="18"/>
  <c r="J1039" i="18" s="1"/>
  <c r="J1040" i="18" s="1"/>
  <c r="N5326" i="18"/>
  <c r="O5326" i="18" s="1"/>
  <c r="K3763" i="18"/>
  <c r="K13" i="18"/>
  <c r="L15" i="18"/>
  <c r="P1643" i="18"/>
  <c r="O1646" i="18"/>
  <c r="N1625" i="18"/>
  <c r="L4872" i="18"/>
  <c r="M4872" i="18" s="1"/>
  <c r="P2966" i="18"/>
  <c r="L4886" i="18"/>
  <c r="M4886" i="18" s="1"/>
  <c r="N5325" i="18"/>
  <c r="O5325" i="18" s="1"/>
  <c r="O5366" i="18"/>
  <c r="P5366" i="18" s="1"/>
  <c r="N33" i="18"/>
  <c r="N128" i="18"/>
  <c r="J350" i="18"/>
  <c r="J352" i="18" s="1"/>
  <c r="J353" i="18" s="1"/>
  <c r="H462" i="18"/>
  <c r="H464" i="18" s="1"/>
  <c r="H465" i="18" s="1"/>
  <c r="M492" i="18"/>
  <c r="K937" i="18"/>
  <c r="J1320" i="18"/>
  <c r="J1322" i="18" s="1"/>
  <c r="J1323" i="18" s="1"/>
  <c r="M1231" i="18"/>
  <c r="M1046" i="18"/>
  <c r="H1249" i="18"/>
  <c r="H1251" i="18" s="1"/>
  <c r="H1252" i="18" s="1"/>
  <c r="J1025" i="18"/>
  <c r="H1443" i="18"/>
  <c r="H1445" i="18" s="1"/>
  <c r="H1446" i="18" s="1"/>
  <c r="H1863" i="18"/>
  <c r="H1865" i="18" s="1"/>
  <c r="H1866" i="18" s="1"/>
  <c r="M1856" i="18"/>
  <c r="L2067" i="18"/>
  <c r="H2228" i="18"/>
  <c r="H2230" i="18" s="1"/>
  <c r="H2231" i="18" s="1"/>
  <c r="L2222" i="18"/>
  <c r="N2343" i="18"/>
  <c r="N2345" i="18" s="1"/>
  <c r="N2346" i="18" s="1"/>
  <c r="K2643" i="18"/>
  <c r="H3552" i="18"/>
  <c r="H3554" i="18" s="1"/>
  <c r="H3555" i="18" s="1"/>
  <c r="H3675" i="18"/>
  <c r="J3676" i="18"/>
  <c r="K3932" i="18"/>
  <c r="H4131" i="18"/>
  <c r="K4534" i="18"/>
  <c r="J4557" i="18"/>
  <c r="J4559" i="18" s="1"/>
  <c r="J4560" i="18" s="1"/>
  <c r="L3735" i="18"/>
  <c r="K4639" i="18"/>
  <c r="K4781" i="18"/>
  <c r="L4870" i="18"/>
  <c r="M4870" i="18" s="1"/>
  <c r="J805" i="18"/>
  <c r="J807" i="18" s="1"/>
  <c r="J808" i="18" s="1"/>
  <c r="K809" i="18" s="1"/>
  <c r="L809" i="18" s="1"/>
  <c r="K1795" i="18"/>
  <c r="F114" i="21"/>
  <c r="G690" i="5"/>
  <c r="L530" i="5"/>
  <c r="F51" i="69"/>
  <c r="F38" i="73"/>
  <c r="I704" i="5"/>
  <c r="K356" i="5"/>
  <c r="M357" i="5"/>
  <c r="T33" i="75" s="1"/>
  <c r="M562" i="5"/>
  <c r="K651" i="5"/>
  <c r="K618" i="5"/>
  <c r="M781" i="5"/>
  <c r="J63" i="5"/>
  <c r="F108" i="5"/>
  <c r="F109" i="5" s="1"/>
  <c r="L106" i="5"/>
  <c r="M106" i="5" s="1"/>
  <c r="K151" i="5"/>
  <c r="M151" i="5" s="1"/>
  <c r="E81" i="70"/>
  <c r="K6163" i="18"/>
  <c r="L6164" i="18" s="1"/>
  <c r="E71" i="70"/>
  <c r="K6063" i="18"/>
  <c r="L6064" i="18" s="1"/>
  <c r="F27" i="74"/>
  <c r="M696" i="5"/>
  <c r="F44" i="70"/>
  <c r="K341" i="50"/>
  <c r="F21" i="74"/>
  <c r="F37" i="70"/>
  <c r="M690" i="5"/>
  <c r="K344" i="50"/>
  <c r="F50" i="70"/>
  <c r="M156" i="5"/>
  <c r="L14" i="5"/>
  <c r="K14" i="5"/>
  <c r="J35" i="5"/>
  <c r="K34" i="5"/>
  <c r="L34" i="5"/>
  <c r="K153" i="5"/>
  <c r="L153" i="5"/>
  <c r="M191" i="5"/>
  <c r="H703" i="5"/>
  <c r="H696" i="5"/>
  <c r="M342" i="5"/>
  <c r="T19" i="75" s="1"/>
  <c r="M546" i="5"/>
  <c r="K149" i="5"/>
  <c r="M149" i="5" s="1"/>
  <c r="K115" i="5"/>
  <c r="M115" i="5" s="1"/>
  <c r="M845" i="5" s="1"/>
  <c r="K12" i="5"/>
  <c r="M12" i="5" s="1"/>
  <c r="H9" i="68" s="1"/>
  <c r="H244" i="5"/>
  <c r="L573" i="5"/>
  <c r="K345" i="50"/>
  <c r="M708" i="5"/>
  <c r="J92" i="5"/>
  <c r="L85" i="5"/>
  <c r="K85" i="5"/>
  <c r="F107" i="51"/>
  <c r="F115" i="51" s="1"/>
  <c r="F132" i="5"/>
  <c r="L148" i="5"/>
  <c r="K148" i="5"/>
  <c r="K150" i="5"/>
  <c r="L150" i="5"/>
  <c r="K152" i="5"/>
  <c r="L152" i="5"/>
  <c r="F117" i="51"/>
  <c r="M300" i="5"/>
  <c r="S9" i="75" s="1"/>
  <c r="L335" i="5"/>
  <c r="M335" i="5" s="1"/>
  <c r="T12" i="71" s="1"/>
  <c r="K328" i="50"/>
  <c r="K327" i="50"/>
  <c r="K342" i="50"/>
  <c r="F25" i="74"/>
  <c r="E60" i="74"/>
  <c r="H5109" i="18" s="1"/>
  <c r="F53" i="70"/>
  <c r="I694" i="5"/>
  <c r="M610" i="5"/>
  <c r="K146" i="5"/>
  <c r="M146" i="5" s="1"/>
  <c r="M77" i="5"/>
  <c r="L17" i="68" s="1"/>
  <c r="M767" i="5"/>
  <c r="F10" i="74"/>
  <c r="I686" i="5"/>
  <c r="M379" i="5"/>
  <c r="U23" i="71" s="1"/>
  <c r="M774" i="5"/>
  <c r="M179" i="5"/>
  <c r="F124" i="5"/>
  <c r="F60" i="52" s="1"/>
  <c r="K569" i="5"/>
  <c r="K647" i="5"/>
  <c r="K423" i="5"/>
  <c r="K495" i="5"/>
  <c r="M495" i="5" s="1"/>
  <c r="K553" i="5"/>
  <c r="K518" i="5"/>
  <c r="K473" i="5"/>
  <c r="L513" i="5"/>
  <c r="K506" i="5"/>
  <c r="L316" i="5"/>
  <c r="M316" i="5" s="1"/>
  <c r="S23" i="75" s="1"/>
  <c r="L555" i="5"/>
  <c r="M555" i="5" s="1"/>
  <c r="Z36" i="71" s="1"/>
  <c r="K520" i="5"/>
  <c r="K519" i="5" s="1"/>
  <c r="L87" i="5"/>
  <c r="K403" i="5"/>
  <c r="M403" i="5" s="1"/>
  <c r="K175" i="5"/>
  <c r="L51" i="5"/>
  <c r="M51" i="5" s="1"/>
  <c r="K513" i="5"/>
  <c r="K508" i="5"/>
  <c r="M508" i="5" s="1"/>
  <c r="L425" i="5"/>
  <c r="K302" i="5"/>
  <c r="K323" i="5"/>
  <c r="K237" i="5"/>
  <c r="L265" i="5"/>
  <c r="L406" i="5"/>
  <c r="L405" i="5" s="1"/>
  <c r="K511" i="5"/>
  <c r="K504" i="5"/>
  <c r="M504" i="5" s="1"/>
  <c r="K586" i="5"/>
  <c r="K538" i="5"/>
  <c r="M538" i="5" s="1"/>
  <c r="Z19" i="71" s="1"/>
  <c r="L517" i="5"/>
  <c r="M517" i="5" s="1"/>
  <c r="Y30" i="75" s="1"/>
  <c r="K582" i="5"/>
  <c r="M582" i="5" s="1"/>
  <c r="AA30" i="71" s="1"/>
  <c r="K447" i="5"/>
  <c r="M447" i="5" s="1"/>
  <c r="W26" i="75" s="1"/>
  <c r="K448" i="5"/>
  <c r="L471" i="5"/>
  <c r="L493" i="5"/>
  <c r="L497" i="5" s="1"/>
  <c r="K609" i="5"/>
  <c r="K643" i="5"/>
  <c r="K639" i="5" s="1"/>
  <c r="L581" i="5"/>
  <c r="M581" i="5" s="1"/>
  <c r="AA29" i="71" s="1"/>
  <c r="L636" i="5"/>
  <c r="M636" i="5" s="1"/>
  <c r="L616" i="5"/>
  <c r="L635" i="5"/>
  <c r="L19" i="5"/>
  <c r="M19" i="5" s="1"/>
  <c r="K30" i="50" s="1"/>
  <c r="K188" i="5"/>
  <c r="M188" i="5" s="1"/>
  <c r="L48" i="5"/>
  <c r="K399" i="5"/>
  <c r="K49" i="5"/>
  <c r="M49" i="5" s="1"/>
  <c r="L72" i="5"/>
  <c r="M72" i="5" s="1"/>
  <c r="L309" i="5"/>
  <c r="M309" i="5" s="1"/>
  <c r="S17" i="71" s="1"/>
  <c r="L328" i="5"/>
  <c r="L175" i="5"/>
  <c r="K408" i="5"/>
  <c r="L516" i="5"/>
  <c r="M516" i="5" s="1"/>
  <c r="L430" i="5"/>
  <c r="L509" i="5"/>
  <c r="L507" i="5" s="1"/>
  <c r="K24" i="5"/>
  <c r="M24" i="5" s="1"/>
  <c r="H20" i="68" s="1"/>
  <c r="K25" i="5"/>
  <c r="L380" i="5"/>
  <c r="M380" i="5" s="1"/>
  <c r="U24" i="71" s="1"/>
  <c r="K638" i="5"/>
  <c r="L138" i="5"/>
  <c r="K184" i="5"/>
  <c r="L295" i="5"/>
  <c r="L729" i="5"/>
  <c r="M729" i="5" s="1"/>
  <c r="L390" i="5"/>
  <c r="L431" i="5"/>
  <c r="M431" i="5" s="1"/>
  <c r="L593" i="5"/>
  <c r="L724" i="5"/>
  <c r="L317" i="5"/>
  <c r="L304" i="5"/>
  <c r="L40" i="5"/>
  <c r="M40" i="5" s="1"/>
  <c r="L721" i="5"/>
  <c r="K577" i="5"/>
  <c r="M577" i="5" s="1"/>
  <c r="L327" i="5"/>
  <c r="L358" i="5"/>
  <c r="L25" i="5"/>
  <c r="K173" i="5"/>
  <c r="K113" i="5"/>
  <c r="K140" i="5"/>
  <c r="M140" i="5" s="1"/>
  <c r="F20" i="69" s="1"/>
  <c r="K505" i="5"/>
  <c r="M505" i="5" s="1"/>
  <c r="Y19" i="75" s="1"/>
  <c r="L147" i="5"/>
  <c r="M147" i="5" s="1"/>
  <c r="L79" i="5"/>
  <c r="K76" i="5"/>
  <c r="M76" i="5" s="1"/>
  <c r="K22" i="5"/>
  <c r="M22" i="5" s="1"/>
  <c r="H18" i="68" s="1"/>
  <c r="K291" i="5"/>
  <c r="M291" i="5" s="1"/>
  <c r="R29" i="75" s="1"/>
  <c r="K319" i="5"/>
  <c r="K351" i="5"/>
  <c r="K421" i="5"/>
  <c r="M421" i="5" s="1"/>
  <c r="V31" i="75" s="1"/>
  <c r="L159" i="5"/>
  <c r="M159" i="5" s="1"/>
  <c r="K258" i="5"/>
  <c r="L292" i="5"/>
  <c r="L320" i="5"/>
  <c r="L378" i="5"/>
  <c r="L416" i="5"/>
  <c r="L154" i="5"/>
  <c r="K514" i="5"/>
  <c r="K730" i="5"/>
  <c r="M730" i="5" s="1"/>
  <c r="K607" i="5"/>
  <c r="K527" i="5"/>
  <c r="M527" i="5" s="1"/>
  <c r="Z11" i="71" s="1"/>
  <c r="K496" i="5"/>
  <c r="M496" i="5" s="1"/>
  <c r="Y12" i="75" s="1"/>
  <c r="K603" i="5"/>
  <c r="M603" i="5" s="1"/>
  <c r="L477" i="5"/>
  <c r="L474" i="5" s="1"/>
  <c r="L726" i="5"/>
  <c r="M726" i="5" s="1"/>
  <c r="L184" i="5"/>
  <c r="K561" i="5"/>
  <c r="K460" i="5"/>
  <c r="L485" i="5"/>
  <c r="M485" i="5" s="1"/>
  <c r="X31" i="75" s="1"/>
  <c r="K539" i="5"/>
  <c r="L731" i="5"/>
  <c r="M731" i="5" s="1"/>
  <c r="L569" i="5"/>
  <c r="L647" i="5"/>
  <c r="L113" i="5"/>
  <c r="K120" i="5"/>
  <c r="K46" i="5"/>
  <c r="K395" i="5"/>
  <c r="K129" i="5"/>
  <c r="L28" i="5"/>
  <c r="M28" i="5" s="1"/>
  <c r="L50" i="5"/>
  <c r="M50" i="5" s="1"/>
  <c r="K186" i="5"/>
  <c r="K20" i="5"/>
  <c r="M20" i="5" s="1"/>
  <c r="K168" i="5"/>
  <c r="K194" i="5" s="1"/>
  <c r="L270" i="5"/>
  <c r="M270" i="5" s="1"/>
  <c r="L296" i="5"/>
  <c r="L294" i="5" s="1"/>
  <c r="L323" i="5"/>
  <c r="M323" i="5" s="1"/>
  <c r="S30" i="75" s="1"/>
  <c r="L355" i="5"/>
  <c r="L61" i="5"/>
  <c r="K243" i="5"/>
  <c r="K280" i="5"/>
  <c r="K301" i="5"/>
  <c r="K327" i="5"/>
  <c r="M327" i="5" s="1"/>
  <c r="S35" i="71" s="1"/>
  <c r="K385" i="5"/>
  <c r="L506" i="5"/>
  <c r="L502" i="5" s="1"/>
  <c r="L592" i="5"/>
  <c r="K724" i="5"/>
  <c r="K591" i="5"/>
  <c r="K541" i="5"/>
  <c r="L520" i="5"/>
  <c r="K480" i="5"/>
  <c r="K587" i="5"/>
  <c r="L489" i="5"/>
  <c r="M489" i="5" s="1"/>
  <c r="K449" i="5"/>
  <c r="M449" i="5" s="1"/>
  <c r="W28" i="75" s="1"/>
  <c r="L463" i="5"/>
  <c r="M463" i="5" s="1"/>
  <c r="K432" i="5"/>
  <c r="M432" i="5" s="1"/>
  <c r="W12" i="71" s="1"/>
  <c r="K532" i="5"/>
  <c r="L450" i="5"/>
  <c r="M450" i="5" s="1"/>
  <c r="W29" i="75" s="1"/>
  <c r="K476" i="5"/>
  <c r="K493" i="5"/>
  <c r="L609" i="5"/>
  <c r="K725" i="5"/>
  <c r="K650" i="5"/>
  <c r="L595" i="5"/>
  <c r="M595" i="5" s="1"/>
  <c r="AB12" i="71" s="1"/>
  <c r="L561" i="5"/>
  <c r="L563" i="5" s="1"/>
  <c r="L643" i="5"/>
  <c r="L614" i="5"/>
  <c r="K73" i="5"/>
  <c r="K392" i="5"/>
  <c r="L532" i="5"/>
  <c r="K593" i="5"/>
  <c r="K571" i="5"/>
  <c r="M571" i="5" s="1"/>
  <c r="AA19" i="75" s="1"/>
  <c r="K454" i="5"/>
  <c r="K525" i="5"/>
  <c r="K728" i="5"/>
  <c r="M728" i="5" s="1"/>
  <c r="K406" i="5"/>
  <c r="M406" i="5" s="1"/>
  <c r="V17" i="71" s="1"/>
  <c r="K310" i="5"/>
  <c r="L73" i="5"/>
  <c r="K293" i="5"/>
  <c r="M293" i="5" s="1"/>
  <c r="R31" i="75" s="1"/>
  <c r="L32" i="5"/>
  <c r="M32" i="5" s="1"/>
  <c r="K18" i="5"/>
  <c r="M18" i="5" s="1"/>
  <c r="L143" i="5"/>
  <c r="K60" i="5"/>
  <c r="L641" i="5"/>
  <c r="M641" i="5" s="1"/>
  <c r="L591" i="5"/>
  <c r="L725" i="5"/>
  <c r="K488" i="5"/>
  <c r="L443" i="5"/>
  <c r="M443" i="5" s="1"/>
  <c r="W23" i="71" s="1"/>
  <c r="L580" i="5"/>
  <c r="M580" i="5" s="1"/>
  <c r="AA28" i="71" s="1"/>
  <c r="K451" i="5"/>
  <c r="K592" i="5"/>
  <c r="L522" i="5"/>
  <c r="M522" i="5" s="1"/>
  <c r="Y36" i="71" s="1"/>
  <c r="K430" i="5"/>
  <c r="L385" i="5"/>
  <c r="L301" i="5"/>
  <c r="L15" i="5"/>
  <c r="L321" i="5"/>
  <c r="M321" i="5" s="1"/>
  <c r="S28" i="75" s="1"/>
  <c r="L279" i="5"/>
  <c r="L277" i="5" s="1"/>
  <c r="K157" i="5"/>
  <c r="M157" i="5" s="1"/>
  <c r="L145" i="5"/>
  <c r="L638" i="5"/>
  <c r="M638" i="5" s="1"/>
  <c r="K646" i="5"/>
  <c r="M646" i="5" s="1"/>
  <c r="K462" i="5"/>
  <c r="K484" i="5"/>
  <c r="K383" i="5"/>
  <c r="K320" i="5"/>
  <c r="K409" i="5"/>
  <c r="M409" i="5" s="1"/>
  <c r="K326" i="5"/>
  <c r="L168" i="5"/>
  <c r="L30" i="5"/>
  <c r="M30" i="5" s="1"/>
  <c r="L648" i="5"/>
  <c r="L607" i="5"/>
  <c r="K719" i="5"/>
  <c r="M719" i="5" s="1"/>
  <c r="L488" i="5"/>
  <c r="K542" i="5"/>
  <c r="M542" i="5" s="1"/>
  <c r="Z23" i="71" s="1"/>
  <c r="L459" i="5"/>
  <c r="L484" i="5"/>
  <c r="K475" i="5"/>
  <c r="K536" i="5"/>
  <c r="L514" i="5"/>
  <c r="L521" i="5"/>
  <c r="M521" i="5" s="1"/>
  <c r="K378" i="5"/>
  <c r="K303" i="5"/>
  <c r="K414" i="5"/>
  <c r="K353" i="5"/>
  <c r="M353" i="5" s="1"/>
  <c r="T29" i="75" s="1"/>
  <c r="K311" i="5"/>
  <c r="M311" i="5" s="1"/>
  <c r="S19" i="71" s="1"/>
  <c r="K425" i="5"/>
  <c r="M425" i="5" s="1"/>
  <c r="V35" i="75" s="1"/>
  <c r="L60" i="5"/>
  <c r="K114" i="5"/>
  <c r="M114" i="5" s="1"/>
  <c r="K139" i="5"/>
  <c r="M139" i="5" s="1"/>
  <c r="F19" i="69" s="1"/>
  <c r="K187" i="5"/>
  <c r="M187" i="5" s="1"/>
  <c r="K83" i="5"/>
  <c r="M83" i="5" s="1"/>
  <c r="K61" i="5"/>
  <c r="L338" i="5"/>
  <c r="L262" i="5"/>
  <c r="M262" i="5" s="1"/>
  <c r="K492" i="5"/>
  <c r="L374" i="5"/>
  <c r="K533" i="5"/>
  <c r="L326" i="5"/>
  <c r="K770" i="5"/>
  <c r="K82" i="5"/>
  <c r="K189" i="5"/>
  <c r="M189" i="5" s="1"/>
  <c r="L131" i="5"/>
  <c r="L437" i="5"/>
  <c r="M437" i="5" s="1"/>
  <c r="L359" i="5"/>
  <c r="L260" i="5"/>
  <c r="M260" i="5" s="1"/>
  <c r="L640" i="5"/>
  <c r="M640" i="5" s="1"/>
  <c r="L572" i="5"/>
  <c r="L285" i="5"/>
  <c r="L27" i="5"/>
  <c r="M27" i="5" s="1"/>
  <c r="L52" i="5"/>
  <c r="M52" i="5" s="1"/>
  <c r="L95" i="5"/>
  <c r="K145" i="5"/>
  <c r="L137" i="5"/>
  <c r="L81" i="5"/>
  <c r="M81" i="5" s="1"/>
  <c r="K143" i="5"/>
  <c r="K116" i="5"/>
  <c r="M116" i="5" s="1"/>
  <c r="M849" i="5" s="1"/>
  <c r="K261" i="5"/>
  <c r="K276" i="5"/>
  <c r="K314" i="5"/>
  <c r="K355" i="5"/>
  <c r="L718" i="5"/>
  <c r="K631" i="5"/>
  <c r="L650" i="5"/>
  <c r="L612" i="5"/>
  <c r="K248" i="5"/>
  <c r="M248" i="5" s="1"/>
  <c r="K718" i="5"/>
  <c r="L460" i="5"/>
  <c r="L384" i="5"/>
  <c r="L619" i="5"/>
  <c r="K614" i="5"/>
  <c r="L119" i="5"/>
  <c r="L438" i="5"/>
  <c r="M438" i="5" s="1"/>
  <c r="W18" i="71" s="1"/>
  <c r="L186" i="5"/>
  <c r="L419" i="5"/>
  <c r="M419" i="5" s="1"/>
  <c r="K136" i="5"/>
  <c r="L129" i="5"/>
  <c r="L46" i="5"/>
  <c r="K180" i="5"/>
  <c r="K67" i="5"/>
  <c r="M67" i="5" s="1"/>
  <c r="L9" i="68" s="1"/>
  <c r="K131" i="5"/>
  <c r="K48" i="5"/>
  <c r="L54" i="5"/>
  <c r="K23" i="5"/>
  <c r="M23" i="5" s="1"/>
  <c r="H19" i="68" s="1"/>
  <c r="K250" i="5"/>
  <c r="M250" i="5" s="1"/>
  <c r="Q20" i="75" s="1"/>
  <c r="K296" i="5"/>
  <c r="K334" i="5"/>
  <c r="M334" i="5" s="1"/>
  <c r="K376" i="5"/>
  <c r="K17" i="5"/>
  <c r="M17" i="5" s="1"/>
  <c r="L29" i="5"/>
  <c r="M29" i="5" s="1"/>
  <c r="H24" i="68" s="1"/>
  <c r="L253" i="5"/>
  <c r="L297" i="5"/>
  <c r="M297" i="5" s="1"/>
  <c r="R35" i="75" s="1"/>
  <c r="L366" i="5"/>
  <c r="M366" i="5" s="1"/>
  <c r="U12" i="75" s="1"/>
  <c r="L420" i="5"/>
  <c r="M420" i="5" s="1"/>
  <c r="L392" i="5"/>
  <c r="L769" i="5"/>
  <c r="K572" i="5"/>
  <c r="K649" i="5"/>
  <c r="M649" i="5" s="1"/>
  <c r="L627" i="5"/>
  <c r="M627" i="5" s="1"/>
  <c r="K467" i="5"/>
  <c r="L451" i="5"/>
  <c r="K605" i="5"/>
  <c r="M605" i="5" s="1"/>
  <c r="K466" i="5"/>
  <c r="K588" i="5"/>
  <c r="L727" i="5"/>
  <c r="M727" i="5" s="1"/>
  <c r="L602" i="5"/>
  <c r="L601" i="5" s="1"/>
  <c r="K625" i="5"/>
  <c r="L637" i="5"/>
  <c r="L120" i="5"/>
  <c r="L16" i="5"/>
  <c r="K183" i="5"/>
  <c r="M183" i="5" s="1"/>
  <c r="K503" i="5"/>
  <c r="L42" i="5"/>
  <c r="K138" i="5"/>
  <c r="M138" i="5" s="1"/>
  <c r="F18" i="69" s="1"/>
  <c r="K79" i="5"/>
  <c r="M79" i="5" s="1"/>
  <c r="L19" i="68" s="1"/>
  <c r="K87" i="5"/>
  <c r="L133" i="5"/>
  <c r="K112" i="5"/>
  <c r="M112" i="5" s="1"/>
  <c r="K128" i="5"/>
  <c r="K255" i="5"/>
  <c r="M255" i="5" s="1"/>
  <c r="Q25" i="71" s="1"/>
  <c r="L302" i="5"/>
  <c r="L341" i="5"/>
  <c r="M341" i="5" s="1"/>
  <c r="T18" i="75" s="1"/>
  <c r="L381" i="5"/>
  <c r="K15" i="5"/>
  <c r="M15" i="5" s="1"/>
  <c r="L237" i="5"/>
  <c r="K285" i="5"/>
  <c r="K282" i="5" s="1"/>
  <c r="K317" i="5"/>
  <c r="K350" i="5"/>
  <c r="K390" i="5"/>
  <c r="L518" i="5"/>
  <c r="K632" i="5"/>
  <c r="K560" i="5"/>
  <c r="L720" i="5"/>
  <c r="M720" i="5" s="1"/>
  <c r="K470" i="5"/>
  <c r="L543" i="5"/>
  <c r="K459" i="5"/>
  <c r="L454" i="5"/>
  <c r="L453" i="5" s="1"/>
  <c r="L600" i="5"/>
  <c r="L445" i="5"/>
  <c r="M445" i="5" s="1"/>
  <c r="W24" i="75" s="1"/>
  <c r="L588" i="5"/>
  <c r="K721" i="5"/>
  <c r="M721" i="5" s="1"/>
  <c r="K765" i="5"/>
  <c r="M765" i="5" s="1"/>
  <c r="L539" i="5"/>
  <c r="K579" i="5"/>
  <c r="L624" i="5"/>
  <c r="K105" i="5"/>
  <c r="M105" i="5" s="1"/>
  <c r="K769" i="5"/>
  <c r="L473" i="5"/>
  <c r="K635" i="5"/>
  <c r="K570" i="5"/>
  <c r="M570" i="5" s="1"/>
  <c r="L395" i="5"/>
  <c r="L136" i="5"/>
  <c r="K338" i="5"/>
  <c r="L177" i="5"/>
  <c r="M177" i="5" s="1"/>
  <c r="L44" i="5"/>
  <c r="M44" i="5" s="1"/>
  <c r="K133" i="5"/>
  <c r="L631" i="5"/>
  <c r="K617" i="5"/>
  <c r="M617" i="5" s="1"/>
  <c r="K648" i="5"/>
  <c r="M648" i="5" s="1"/>
  <c r="L583" i="5"/>
  <c r="M583" i="5" s="1"/>
  <c r="K576" i="5"/>
  <c r="M576" i="5" s="1"/>
  <c r="Z23" i="75" s="1"/>
  <c r="L467" i="5"/>
  <c r="L468" i="5" s="1"/>
  <c r="L548" i="5"/>
  <c r="M548" i="5" s="1"/>
  <c r="Z29" i="71" s="1"/>
  <c r="L776" i="5"/>
  <c r="M776" i="5" s="1"/>
  <c r="K624" i="5"/>
  <c r="L396" i="5"/>
  <c r="M396" i="5" s="1"/>
  <c r="L375" i="5"/>
  <c r="L322" i="5"/>
  <c r="M322" i="5" s="1"/>
  <c r="S30" i="71" s="1"/>
  <c r="L269" i="5"/>
  <c r="M269" i="5" s="1"/>
  <c r="R9" i="75" s="1"/>
  <c r="L144" i="5"/>
  <c r="L388" i="5"/>
  <c r="M388" i="5" s="1"/>
  <c r="L332" i="5"/>
  <c r="M332" i="5" s="1"/>
  <c r="T10" i="75" s="1"/>
  <c r="L266" i="5"/>
  <c r="K398" i="5"/>
  <c r="M398" i="5" s="1"/>
  <c r="K154" i="5"/>
  <c r="M154" i="5" s="1"/>
  <c r="K74" i="5"/>
  <c r="M74" i="5" s="1"/>
  <c r="K54" i="5"/>
  <c r="L185" i="5"/>
  <c r="M185" i="5" s="1"/>
  <c r="K57" i="5"/>
  <c r="K144" i="5"/>
  <c r="K440" i="5"/>
  <c r="K436" i="5" s="1"/>
  <c r="L553" i="5"/>
  <c r="L552" i="5" s="1"/>
  <c r="K626" i="5"/>
  <c r="M626" i="5" s="1"/>
  <c r="K362" i="5"/>
  <c r="K278" i="5"/>
  <c r="L37" i="5"/>
  <c r="K304" i="5"/>
  <c r="M304" i="5" s="1"/>
  <c r="S12" i="71" s="1"/>
  <c r="K397" i="5"/>
  <c r="M397" i="5" s="1"/>
  <c r="V11" i="71" s="1"/>
  <c r="K637" i="5"/>
  <c r="L632" i="5"/>
  <c r="L544" i="5"/>
  <c r="M544" i="5" s="1"/>
  <c r="Z25" i="71" s="1"/>
  <c r="K549" i="5"/>
  <c r="M549" i="5" s="1"/>
  <c r="Z30" i="71" s="1"/>
  <c r="K455" i="5"/>
  <c r="M455" i="5" s="1"/>
  <c r="W35" i="71" s="1"/>
  <c r="L439" i="5"/>
  <c r="M439" i="5" s="1"/>
  <c r="W19" i="75" s="1"/>
  <c r="L533" i="5"/>
  <c r="L515" i="5"/>
  <c r="M515" i="5" s="1"/>
  <c r="Y28" i="75" s="1"/>
  <c r="K616" i="5"/>
  <c r="L399" i="5"/>
  <c r="K411" i="5"/>
  <c r="M411" i="5" s="1"/>
  <c r="K292" i="5"/>
  <c r="M292" i="5" s="1"/>
  <c r="R31" i="71" s="1"/>
  <c r="L57" i="5"/>
  <c r="L21" i="5"/>
  <c r="M21" i="5" s="1"/>
  <c r="K343" i="5"/>
  <c r="K289" i="5"/>
  <c r="M289" i="5" s="1"/>
  <c r="L173" i="5"/>
  <c r="K130" i="5"/>
  <c r="K182" i="5"/>
  <c r="M182" i="5" s="1"/>
  <c r="L536" i="5"/>
  <c r="L625" i="5"/>
  <c r="K107" i="5"/>
  <c r="L101" i="5"/>
  <c r="M101" i="5" s="1"/>
  <c r="M328" i="5"/>
  <c r="S35" i="75" s="1"/>
  <c r="L331" i="5"/>
  <c r="K333" i="5"/>
  <c r="M333" i="5" s="1"/>
  <c r="T11" i="71" s="1"/>
  <c r="L340" i="5"/>
  <c r="L345" i="5"/>
  <c r="M345" i="5" s="1"/>
  <c r="T22" i="75" s="1"/>
  <c r="L347" i="5"/>
  <c r="K347" i="5"/>
  <c r="L350" i="5"/>
  <c r="L352" i="5"/>
  <c r="M352" i="5" s="1"/>
  <c r="T28" i="75" s="1"/>
  <c r="K354" i="5"/>
  <c r="M354" i="5" s="1"/>
  <c r="T31" i="71" s="1"/>
  <c r="K359" i="5"/>
  <c r="L365" i="5"/>
  <c r="K369" i="5"/>
  <c r="L371" i="5"/>
  <c r="L376" i="5"/>
  <c r="K381" i="5"/>
  <c r="K384" i="5"/>
  <c r="L386" i="5"/>
  <c r="M386" i="5" s="1"/>
  <c r="U30" i="71" s="1"/>
  <c r="L391" i="5"/>
  <c r="M391" i="5" s="1"/>
  <c r="U35" i="71" s="1"/>
  <c r="K331" i="5"/>
  <c r="K340" i="50"/>
  <c r="F20" i="74"/>
  <c r="K335" i="50"/>
  <c r="F8" i="74"/>
  <c r="F8" i="70"/>
  <c r="M671" i="5"/>
  <c r="K337" i="50"/>
  <c r="F29" i="70"/>
  <c r="F13" i="74"/>
  <c r="C109" i="21"/>
  <c r="C89" i="21"/>
  <c r="K42" i="5"/>
  <c r="K66" i="5"/>
  <c r="K78" i="5"/>
  <c r="M78" i="5" s="1"/>
  <c r="L18" i="68" s="1"/>
  <c r="L71" i="5"/>
  <c r="M71" i="5" s="1"/>
  <c r="L118" i="5"/>
  <c r="M118" i="5" s="1"/>
  <c r="M857" i="5" s="1"/>
  <c r="J132" i="5"/>
  <c r="J161" i="5"/>
  <c r="J163" i="5" s="1"/>
  <c r="K238" i="5"/>
  <c r="M238" i="5" s="1"/>
  <c r="L244" i="5"/>
  <c r="M244" i="5" s="1"/>
  <c r="K249" i="5"/>
  <c r="M249" i="5" s="1"/>
  <c r="L252" i="5"/>
  <c r="K252" i="5"/>
  <c r="L257" i="5"/>
  <c r="K257" i="5"/>
  <c r="L259" i="5"/>
  <c r="K259" i="5"/>
  <c r="L261" i="5"/>
  <c r="L264" i="5"/>
  <c r="K264" i="5"/>
  <c r="K266" i="5"/>
  <c r="F171" i="5"/>
  <c r="E82" i="70"/>
  <c r="E65" i="74"/>
  <c r="H5114" i="18" s="1"/>
  <c r="K6185" i="18"/>
  <c r="L6186" i="18" s="1"/>
  <c r="K339" i="50"/>
  <c r="F19" i="74"/>
  <c r="K338" i="50"/>
  <c r="F14" i="74"/>
  <c r="K16" i="5"/>
  <c r="K38" i="5"/>
  <c r="K53" i="5"/>
  <c r="L53" i="5"/>
  <c r="K56" i="5"/>
  <c r="K58" i="5"/>
  <c r="L58" i="5"/>
  <c r="L70" i="5"/>
  <c r="M70" i="5" s="1"/>
  <c r="L82" i="5"/>
  <c r="L86" i="5"/>
  <c r="M86" i="5" s="1"/>
  <c r="K90" i="5"/>
  <c r="M90" i="5" s="1"/>
  <c r="K103" i="5"/>
  <c r="L103" i="5"/>
  <c r="M134" i="5"/>
  <c r="F14" i="69" s="1"/>
  <c r="E821" i="5"/>
  <c r="E795" i="5"/>
  <c r="M739" i="5"/>
  <c r="F53" i="74" s="1"/>
  <c r="I5102" i="18" s="1"/>
  <c r="M741" i="5"/>
  <c r="F72" i="70" s="1"/>
  <c r="M743" i="5"/>
  <c r="F57" i="74" s="1"/>
  <c r="I5106" i="18" s="1"/>
  <c r="M745" i="5"/>
  <c r="F76" i="70" s="1"/>
  <c r="M747" i="5"/>
  <c r="F61" i="74" s="1"/>
  <c r="I5110" i="18" s="1"/>
  <c r="M749" i="5"/>
  <c r="F80" i="70" s="1"/>
  <c r="M751" i="5"/>
  <c r="F82" i="70" s="1"/>
  <c r="M753" i="5"/>
  <c r="F67" i="74" s="1"/>
  <c r="I5116" i="18" s="1"/>
  <c r="M763" i="5"/>
  <c r="F94" i="70" s="1"/>
  <c r="F118" i="70" s="1"/>
  <c r="K768" i="5"/>
  <c r="M768" i="5" s="1"/>
  <c r="L770" i="5"/>
  <c r="L773" i="5"/>
  <c r="M773" i="5" s="1"/>
  <c r="K775" i="5"/>
  <c r="L775" i="5"/>
  <c r="L777" i="5"/>
  <c r="M777" i="5" s="1"/>
  <c r="K779" i="5"/>
  <c r="M779" i="5" s="1"/>
  <c r="L780" i="5"/>
  <c r="M780" i="5" s="1"/>
  <c r="T36" i="13"/>
  <c r="T41" i="13" s="1"/>
  <c r="S36" i="13"/>
  <c r="S41" i="13" s="1"/>
  <c r="H677" i="5"/>
  <c r="G658" i="5"/>
  <c r="G664" i="5"/>
  <c r="I664" i="5" s="1"/>
  <c r="E14" i="70" s="1"/>
  <c r="G701" i="5"/>
  <c r="I701" i="5" s="1"/>
  <c r="G665" i="5"/>
  <c r="I665" i="5" s="1"/>
  <c r="E15" i="70" s="1"/>
  <c r="G705" i="5"/>
  <c r="I705" i="5" s="1"/>
  <c r="H676" i="5"/>
  <c r="I676" i="5" s="1"/>
  <c r="E26" i="70" s="1"/>
  <c r="G661" i="5"/>
  <c r="I661" i="5" s="1"/>
  <c r="E11" i="70" s="1"/>
  <c r="H679" i="5"/>
  <c r="G710" i="5"/>
  <c r="I710" i="5" s="1"/>
  <c r="G679" i="5"/>
  <c r="G666" i="5"/>
  <c r="I666" i="5" s="1"/>
  <c r="E16" i="70" s="1"/>
  <c r="H706" i="5"/>
  <c r="I706" i="5" s="1"/>
  <c r="H670" i="5"/>
  <c r="H671" i="5" s="1"/>
  <c r="H675" i="5"/>
  <c r="I675" i="5" s="1"/>
  <c r="E25" i="70" s="1"/>
  <c r="G691" i="5"/>
  <c r="G673" i="5"/>
  <c r="H673" i="5"/>
  <c r="G677" i="5"/>
  <c r="G680" i="5"/>
  <c r="I680" i="5" s="1"/>
  <c r="G669" i="5"/>
  <c r="I669" i="5" s="1"/>
  <c r="G670" i="5"/>
  <c r="I670" i="5" s="1"/>
  <c r="H687" i="5"/>
  <c r="H690" i="5" s="1"/>
  <c r="H697" i="5" s="1"/>
  <c r="R13" i="11"/>
  <c r="Q13" i="11"/>
  <c r="AE13" i="11" s="1"/>
  <c r="F14" i="12"/>
  <c r="H594" i="18"/>
  <c r="H349" i="18"/>
  <c r="H2342" i="18"/>
  <c r="H2227" i="18"/>
  <c r="M324" i="5"/>
  <c r="S31" i="75" s="1"/>
  <c r="K346" i="5"/>
  <c r="L348" i="5"/>
  <c r="M348" i="5" s="1"/>
  <c r="T24" i="75" s="1"/>
  <c r="L351" i="5"/>
  <c r="M351" i="5" s="1"/>
  <c r="T28" i="71" s="1"/>
  <c r="L373" i="5"/>
  <c r="M373" i="5" s="1"/>
  <c r="U17" i="71" s="1"/>
  <c r="K375" i="5"/>
  <c r="K402" i="5"/>
  <c r="K404" i="5" s="1"/>
  <c r="K407" i="5"/>
  <c r="M407" i="5" s="1"/>
  <c r="L412" i="5"/>
  <c r="K424" i="5"/>
  <c r="M575" i="5"/>
  <c r="AA23" i="71" s="1"/>
  <c r="M584" i="5"/>
  <c r="Z31" i="75" s="1"/>
  <c r="L620" i="5"/>
  <c r="M620" i="5" s="1"/>
  <c r="K628" i="5"/>
  <c r="M628" i="5" s="1"/>
  <c r="R19" i="6"/>
  <c r="Q19" i="6"/>
  <c r="AE19" i="6" s="1"/>
  <c r="T3" i="13"/>
  <c r="S3" i="13"/>
  <c r="R20" i="11"/>
  <c r="Q20" i="11"/>
  <c r="AE20" i="11" s="1"/>
  <c r="Q35" i="11"/>
  <c r="AE35" i="11" s="1"/>
  <c r="R35" i="11"/>
  <c r="Q22" i="12"/>
  <c r="AE22" i="12" s="1"/>
  <c r="R22" i="12"/>
  <c r="T15" i="2"/>
  <c r="T40" i="2" s="1"/>
  <c r="K330" i="50"/>
  <c r="K329" i="50"/>
  <c r="F17" i="5"/>
  <c r="F35" i="5" s="1"/>
  <c r="F44" i="52"/>
  <c r="F46" i="52" s="1"/>
  <c r="K95" i="5"/>
  <c r="L107" i="5"/>
  <c r="K119" i="5"/>
  <c r="L123" i="5"/>
  <c r="M123" i="5" s="1"/>
  <c r="M873" i="5" s="1"/>
  <c r="F127" i="5"/>
  <c r="F158" i="5"/>
  <c r="F64" i="52" s="1"/>
  <c r="F11" i="52" s="1"/>
  <c r="L130" i="5"/>
  <c r="L135" i="5"/>
  <c r="K135" i="5"/>
  <c r="K137" i="5"/>
  <c r="L141" i="5"/>
  <c r="M141" i="5" s="1"/>
  <c r="F122" i="51"/>
  <c r="F194" i="5"/>
  <c r="M240" i="5"/>
  <c r="Q12" i="75" s="1"/>
  <c r="M247" i="5"/>
  <c r="Q17" i="71" s="1"/>
  <c r="L273" i="5"/>
  <c r="K273" i="5"/>
  <c r="L288" i="5"/>
  <c r="K295" i="5"/>
  <c r="L310" i="5"/>
  <c r="K312" i="5"/>
  <c r="M312" i="5" s="1"/>
  <c r="S20" i="75" s="1"/>
  <c r="M408" i="5"/>
  <c r="V19" i="75" s="1"/>
  <c r="M413" i="5"/>
  <c r="V23" i="75" s="1"/>
  <c r="M418" i="5"/>
  <c r="K428" i="5"/>
  <c r="M499" i="5"/>
  <c r="K537" i="5"/>
  <c r="M537" i="5" s="1"/>
  <c r="Z18" i="71" s="1"/>
  <c r="L547" i="5"/>
  <c r="L551" i="5"/>
  <c r="M551" i="5" s="1"/>
  <c r="Z32" i="71" s="1"/>
  <c r="B11" i="6"/>
  <c r="H411" i="5" s="1"/>
  <c r="R11" i="6"/>
  <c r="Q19" i="11"/>
  <c r="AE19" i="11" s="1"/>
  <c r="R19" i="11"/>
  <c r="J4556" i="18"/>
  <c r="J4533" i="18"/>
  <c r="K26" i="5"/>
  <c r="M26" i="5" s="1"/>
  <c r="L31" i="5"/>
  <c r="M31" i="5" s="1"/>
  <c r="L41" i="5"/>
  <c r="M41" i="5" s="1"/>
  <c r="L47" i="5"/>
  <c r="M47" i="5" s="1"/>
  <c r="L56" i="5"/>
  <c r="K59" i="5"/>
  <c r="M59" i="5" s="1"/>
  <c r="K62" i="5"/>
  <c r="M62" i="5" s="1"/>
  <c r="K69" i="5"/>
  <c r="M69" i="5" s="1"/>
  <c r="L94" i="5"/>
  <c r="K80" i="5"/>
  <c r="M80" i="5" s="1"/>
  <c r="L20" i="68" s="1"/>
  <c r="K91" i="5"/>
  <c r="M91" i="5" s="1"/>
  <c r="K96" i="5"/>
  <c r="M96" i="5" s="1"/>
  <c r="L102" i="5"/>
  <c r="M102" i="5" s="1"/>
  <c r="K142" i="5"/>
  <c r="M142" i="5" s="1"/>
  <c r="K160" i="5"/>
  <c r="M160" i="5" s="1"/>
  <c r="K174" i="5"/>
  <c r="M174" i="5" s="1"/>
  <c r="L181" i="5"/>
  <c r="M181" i="5" s="1"/>
  <c r="L236" i="5"/>
  <c r="M236" i="5" s="1"/>
  <c r="Q9" i="75" s="1"/>
  <c r="M239" i="5"/>
  <c r="K281" i="5"/>
  <c r="M281" i="5" s="1"/>
  <c r="R20" i="75" s="1"/>
  <c r="L284" i="5"/>
  <c r="M284" i="5" s="1"/>
  <c r="R23" i="71" s="1"/>
  <c r="L286" i="5"/>
  <c r="M286" i="5" s="1"/>
  <c r="R25" i="71" s="1"/>
  <c r="M414" i="5"/>
  <c r="V25" i="71" s="1"/>
  <c r="M417" i="5"/>
  <c r="V28" i="71" s="1"/>
  <c r="K429" i="5"/>
  <c r="M429" i="5" s="1"/>
  <c r="W10" i="75" s="1"/>
  <c r="M442" i="5"/>
  <c r="W22" i="75" s="1"/>
  <c r="M456" i="5"/>
  <c r="W35" i="75" s="1"/>
  <c r="K461" i="5"/>
  <c r="L461" i="5"/>
  <c r="K472" i="5"/>
  <c r="M472" i="5" s="1"/>
  <c r="X19" i="71" s="1"/>
  <c r="K477" i="5"/>
  <c r="L482" i="5"/>
  <c r="M482" i="5" s="1"/>
  <c r="L487" i="5"/>
  <c r="M642" i="5"/>
  <c r="M654" i="5"/>
  <c r="L723" i="5"/>
  <c r="M723" i="5" s="1"/>
  <c r="R23" i="12"/>
  <c r="Q23" i="12"/>
  <c r="AE23" i="12" s="1"/>
  <c r="M448" i="5"/>
  <c r="W27" i="75" s="1"/>
  <c r="M452" i="5"/>
  <c r="W31" i="75" s="1"/>
  <c r="M494" i="5"/>
  <c r="Y11" i="75" s="1"/>
  <c r="M500" i="5"/>
  <c r="M510" i="5"/>
  <c r="Y23" i="75" s="1"/>
  <c r="M574" i="5"/>
  <c r="AA22" i="75" s="1"/>
  <c r="M653" i="5"/>
  <c r="M738" i="5"/>
  <c r="F69" i="70" s="1"/>
  <c r="M740" i="5"/>
  <c r="F54" i="74" s="1"/>
  <c r="I5103" i="18" s="1"/>
  <c r="M742" i="5"/>
  <c r="F56" i="74" s="1"/>
  <c r="I5105" i="18" s="1"/>
  <c r="M744" i="5"/>
  <c r="F75" i="70" s="1"/>
  <c r="M746" i="5"/>
  <c r="F77" i="70" s="1"/>
  <c r="M748" i="5"/>
  <c r="F79" i="70" s="1"/>
  <c r="M750" i="5"/>
  <c r="F64" i="74" s="1"/>
  <c r="I5113" i="18" s="1"/>
  <c r="M752" i="5"/>
  <c r="F66" i="74" s="1"/>
  <c r="I5115" i="18" s="1"/>
  <c r="M762" i="5"/>
  <c r="F93" i="70" s="1"/>
  <c r="R29" i="2"/>
  <c r="T24" i="2"/>
  <c r="V15" i="2"/>
  <c r="H11" i="80"/>
  <c r="D11" i="80"/>
  <c r="J11" i="80"/>
  <c r="F11" i="80"/>
  <c r="I11" i="80"/>
  <c r="E11" i="80"/>
  <c r="K11" i="80"/>
  <c r="M280" i="5"/>
  <c r="R19" i="75" s="1"/>
  <c r="M283" i="5"/>
  <c r="R22" i="75" s="1"/>
  <c r="M290" i="5"/>
  <c r="R28" i="75" s="1"/>
  <c r="E68" i="68"/>
  <c r="E70" i="68"/>
  <c r="G11" i="80"/>
  <c r="M757" i="5"/>
  <c r="F24" i="6"/>
  <c r="AD40" i="2"/>
  <c r="G35" i="7"/>
  <c r="G68" i="7" s="1"/>
  <c r="AA29" i="2"/>
  <c r="T29" i="2"/>
  <c r="R15" i="2"/>
  <c r="R40" i="2" s="1"/>
  <c r="U15" i="2"/>
  <c r="U40" i="2" s="1"/>
  <c r="V14" i="2"/>
  <c r="Y40" i="2"/>
  <c r="F25" i="6"/>
  <c r="C91" i="69"/>
  <c r="C83" i="69"/>
  <c r="L35" i="7"/>
  <c r="F40" i="21"/>
  <c r="F43" i="21" s="1"/>
  <c r="F48" i="8"/>
  <c r="F49" i="8" s="1"/>
  <c r="F23" i="8"/>
  <c r="Z29" i="2"/>
  <c r="Z15" i="2" s="1"/>
  <c r="S29" i="2"/>
  <c r="W24" i="2"/>
  <c r="AA19" i="2"/>
  <c r="AB14" i="2"/>
  <c r="C119" i="70"/>
  <c r="C100" i="70"/>
  <c r="C70" i="73"/>
  <c r="C78" i="73"/>
  <c r="H1182" i="18"/>
  <c r="H1160" i="18"/>
  <c r="L43" i="7"/>
  <c r="J100" i="5" s="1"/>
  <c r="F60" i="21"/>
  <c r="F53" i="21" s="1"/>
  <c r="F45" i="21"/>
  <c r="F14" i="21"/>
  <c r="F34" i="8"/>
  <c r="F35" i="8" s="1"/>
  <c r="AB29" i="2"/>
  <c r="U29" i="2"/>
  <c r="AD24" i="2"/>
  <c r="AD15" i="2"/>
  <c r="S19" i="2"/>
  <c r="Z14" i="2"/>
  <c r="H826" i="18"/>
  <c r="F89" i="70"/>
  <c r="H571" i="5"/>
  <c r="H312" i="5"/>
  <c r="H45" i="5"/>
  <c r="G417" i="5"/>
  <c r="G314" i="5"/>
  <c r="H489" i="5"/>
  <c r="G598" i="5"/>
  <c r="G587" i="5"/>
  <c r="G423" i="5"/>
  <c r="G638" i="5"/>
  <c r="H431" i="5"/>
  <c r="G77" i="5"/>
  <c r="G767" i="5"/>
  <c r="H29" i="5"/>
  <c r="G141" i="5"/>
  <c r="G88" i="5"/>
  <c r="E98" i="8"/>
  <c r="K6125" i="18"/>
  <c r="L6126" i="18" s="1"/>
  <c r="H392" i="5"/>
  <c r="H290" i="5"/>
  <c r="G19" i="5"/>
  <c r="G381" i="5"/>
  <c r="G291" i="5"/>
  <c r="G60" i="5"/>
  <c r="H82" i="5"/>
  <c r="G776" i="5"/>
  <c r="G504" i="5"/>
  <c r="G547" i="5"/>
  <c r="H509" i="5"/>
  <c r="H379" i="5"/>
  <c r="G70" i="5"/>
  <c r="H300" i="5"/>
  <c r="G628" i="5"/>
  <c r="H335" i="5"/>
  <c r="G240" i="5"/>
  <c r="H149" i="5"/>
  <c r="G334" i="5"/>
  <c r="H162" i="5"/>
  <c r="G500" i="5"/>
  <c r="G484" i="5"/>
  <c r="G636" i="5"/>
  <c r="H327" i="5"/>
  <c r="H604" i="5"/>
  <c r="G14" i="5"/>
  <c r="G627" i="5"/>
  <c r="G155" i="5"/>
  <c r="H600" i="5"/>
  <c r="G115" i="5"/>
  <c r="G727" i="5"/>
  <c r="M271" i="5"/>
  <c r="R11" i="75" s="1"/>
  <c r="H46" i="5"/>
  <c r="H570" i="5"/>
  <c r="G51" i="5"/>
  <c r="H480" i="5"/>
  <c r="H118" i="5"/>
  <c r="H493" i="5"/>
  <c r="H281" i="5"/>
  <c r="G765" i="5"/>
  <c r="G373" i="5"/>
  <c r="H255" i="5"/>
  <c r="G580" i="5"/>
  <c r="J12" i="80"/>
  <c r="J13" i="80" s="1"/>
  <c r="G12" i="80"/>
  <c r="G13" i="80" s="1"/>
  <c r="H773" i="5"/>
  <c r="G607" i="5"/>
  <c r="G471" i="5"/>
  <c r="H516" i="5"/>
  <c r="H354" i="5"/>
  <c r="H322" i="5"/>
  <c r="H301" i="5"/>
  <c r="H280" i="5"/>
  <c r="G258" i="5"/>
  <c r="H128" i="5"/>
  <c r="G12" i="5"/>
  <c r="G149" i="5"/>
  <c r="H20" i="5"/>
  <c r="H23" i="5"/>
  <c r="G407" i="5"/>
  <c r="G369" i="5"/>
  <c r="G346" i="5"/>
  <c r="G323" i="5"/>
  <c r="G302" i="5"/>
  <c r="G281" i="5"/>
  <c r="G254" i="5"/>
  <c r="G572" i="5"/>
  <c r="G112" i="5"/>
  <c r="H628" i="5"/>
  <c r="G779" i="5"/>
  <c r="H188" i="5"/>
  <c r="G54" i="5"/>
  <c r="G773" i="5"/>
  <c r="H558" i="5"/>
  <c r="H546" i="5"/>
  <c r="G183" i="5"/>
  <c r="H584" i="5"/>
  <c r="G635" i="5"/>
  <c r="H579" i="5"/>
  <c r="G594" i="5"/>
  <c r="H521" i="5"/>
  <c r="H357" i="5"/>
  <c r="H766" i="5"/>
  <c r="G576" i="5"/>
  <c r="H574" i="5"/>
  <c r="H450" i="5"/>
  <c r="H583" i="5"/>
  <c r="H398" i="5"/>
  <c r="G397" i="5"/>
  <c r="H75" i="5"/>
  <c r="G11" i="5"/>
  <c r="G37" i="5"/>
  <c r="H553" i="5"/>
  <c r="H151" i="5"/>
  <c r="G780" i="5"/>
  <c r="N15" i="2"/>
  <c r="G649" i="5"/>
  <c r="H648" i="5"/>
  <c r="G440" i="5"/>
  <c r="H418" i="5"/>
  <c r="H345" i="5"/>
  <c r="H317" i="5"/>
  <c r="H295" i="5"/>
  <c r="H273" i="5"/>
  <c r="G252" i="5"/>
  <c r="G85" i="5"/>
  <c r="H73" i="5"/>
  <c r="H102" i="5"/>
  <c r="H12" i="5"/>
  <c r="G421" i="5"/>
  <c r="G386" i="5"/>
  <c r="G363" i="5"/>
  <c r="G341" i="5"/>
  <c r="G319" i="5"/>
  <c r="G296" i="5"/>
  <c r="G276" i="5"/>
  <c r="G244" i="5"/>
  <c r="G527" i="5"/>
  <c r="G90" i="5"/>
  <c r="H522" i="5"/>
  <c r="G558" i="5"/>
  <c r="G129" i="5"/>
  <c r="H463" i="5"/>
  <c r="H505" i="5"/>
  <c r="H31" i="5"/>
  <c r="H496" i="5"/>
  <c r="H624" i="5"/>
  <c r="H499" i="5"/>
  <c r="G614" i="5"/>
  <c r="G723" i="5"/>
  <c r="G428" i="5"/>
  <c r="H420" i="5"/>
  <c r="H347" i="5"/>
  <c r="H725" i="5"/>
  <c r="G561" i="5"/>
  <c r="H549" i="5"/>
  <c r="G425" i="5"/>
  <c r="G488" i="5"/>
  <c r="H518" i="5"/>
  <c r="G424" i="5"/>
  <c r="G40" i="5"/>
  <c r="H177" i="5"/>
  <c r="H17" i="5"/>
  <c r="G451" i="5"/>
  <c r="G470" i="5"/>
  <c r="H603" i="5"/>
  <c r="H586" i="5"/>
  <c r="H428" i="5"/>
  <c r="H239" i="5"/>
  <c r="G53" i="5"/>
  <c r="G187" i="5"/>
  <c r="H419" i="5"/>
  <c r="G592" i="5"/>
  <c r="H445" i="5"/>
  <c r="G150" i="5"/>
  <c r="H484" i="5"/>
  <c r="H402" i="5"/>
  <c r="H375" i="5"/>
  <c r="G544" i="5"/>
  <c r="H776" i="5"/>
  <c r="I776" i="5" s="1"/>
  <c r="G511" i="5"/>
  <c r="H58" i="5"/>
  <c r="G559" i="5"/>
  <c r="H452" i="5"/>
  <c r="G473" i="5"/>
  <c r="H40" i="5"/>
  <c r="H495" i="5"/>
  <c r="G190" i="5"/>
  <c r="G620" i="5"/>
  <c r="H721" i="5"/>
  <c r="G725" i="5"/>
  <c r="H399" i="5"/>
  <c r="H646" i="5"/>
  <c r="G347" i="5"/>
  <c r="G295" i="5"/>
  <c r="I295" i="5" s="1"/>
  <c r="H341" i="5"/>
  <c r="H95" i="5"/>
  <c r="G642" i="5"/>
  <c r="G574" i="5"/>
  <c r="G429" i="5"/>
  <c r="G402" i="5"/>
  <c r="I402" i="5" s="1"/>
  <c r="G413" i="5"/>
  <c r="G621" i="5"/>
  <c r="G569" i="5"/>
  <c r="H551" i="5"/>
  <c r="G588" i="5"/>
  <c r="G605" i="5"/>
  <c r="G418" i="5"/>
  <c r="I418" i="5" s="1"/>
  <c r="G370" i="5"/>
  <c r="G301" i="5"/>
  <c r="G17" i="5"/>
  <c r="I17" i="5" s="1"/>
  <c r="H26" i="5"/>
  <c r="H351" i="5"/>
  <c r="H560" i="5"/>
  <c r="G492" i="5"/>
  <c r="G408" i="5"/>
  <c r="H554" i="5"/>
  <c r="H768" i="5"/>
  <c r="G455" i="5"/>
  <c r="G357" i="5"/>
  <c r="H443" i="5"/>
  <c r="G280" i="5"/>
  <c r="H582" i="5"/>
  <c r="H528" i="5"/>
  <c r="G495" i="5"/>
  <c r="G432" i="5"/>
  <c r="G162" i="5"/>
  <c r="H569" i="5"/>
  <c r="G315" i="5"/>
  <c r="H767" i="5"/>
  <c r="H650" i="5"/>
  <c r="G483" i="5"/>
  <c r="G364" i="5"/>
  <c r="H781" i="5"/>
  <c r="H373" i="5"/>
  <c r="G312" i="5"/>
  <c r="I312" i="5" s="1"/>
  <c r="H81" i="5"/>
  <c r="G522" i="5"/>
  <c r="H595" i="5"/>
  <c r="H631" i="5"/>
  <c r="G719" i="5"/>
  <c r="H391" i="5"/>
  <c r="G506" i="5"/>
  <c r="H775" i="5"/>
  <c r="G643" i="5"/>
  <c r="G532" i="5"/>
  <c r="G431" i="5"/>
  <c r="G466" i="5"/>
  <c r="H396" i="5"/>
  <c r="H390" i="5"/>
  <c r="H389" i="5" s="1"/>
  <c r="G335" i="5"/>
  <c r="G285" i="5"/>
  <c r="H106" i="5"/>
  <c r="G15" i="5"/>
  <c r="H264" i="5"/>
  <c r="H730" i="5"/>
  <c r="G146" i="5"/>
  <c r="H378" i="5"/>
  <c r="G324" i="5"/>
  <c r="H258" i="5"/>
  <c r="G26" i="5"/>
  <c r="H319" i="5"/>
  <c r="G442" i="5"/>
  <c r="G480" i="5"/>
  <c r="I480" i="5" s="1"/>
  <c r="H187" i="5"/>
  <c r="H525" i="5"/>
  <c r="H510" i="5"/>
  <c r="G652" i="5"/>
  <c r="H625" i="5"/>
  <c r="H641" i="5"/>
  <c r="H466" i="5"/>
  <c r="H425" i="5"/>
  <c r="G180" i="5"/>
  <c r="G516" i="5"/>
  <c r="G387" i="5"/>
  <c r="G378" i="5"/>
  <c r="G352" i="5"/>
  <c r="G310" i="5"/>
  <c r="G265" i="5"/>
  <c r="G91" i="5"/>
  <c r="G16" i="5"/>
  <c r="H140" i="5"/>
  <c r="H18" i="5"/>
  <c r="H39" i="5"/>
  <c r="H348" i="5"/>
  <c r="H304" i="5"/>
  <c r="H718" i="5"/>
  <c r="H459" i="5"/>
  <c r="G59" i="5"/>
  <c r="H119" i="5"/>
  <c r="G489" i="5"/>
  <c r="H432" i="5"/>
  <c r="H444" i="5"/>
  <c r="G94" i="5"/>
  <c r="H483" i="5"/>
  <c r="H454" i="5"/>
  <c r="G437" i="5"/>
  <c r="G322" i="5"/>
  <c r="G625" i="5"/>
  <c r="G526" i="5"/>
  <c r="H424" i="5"/>
  <c r="G583" i="5"/>
  <c r="H286" i="5"/>
  <c r="H385" i="5"/>
  <c r="G591" i="5"/>
  <c r="G138" i="5"/>
  <c r="G554" i="5"/>
  <c r="G303" i="5"/>
  <c r="H513" i="5"/>
  <c r="H620" i="5"/>
  <c r="G188" i="5"/>
  <c r="G637" i="5"/>
  <c r="G612" i="5"/>
  <c r="G445" i="5"/>
  <c r="H380" i="5"/>
  <c r="G269" i="5"/>
  <c r="H414" i="5"/>
  <c r="H185" i="5"/>
  <c r="G366" i="5"/>
  <c r="G290" i="5"/>
  <c r="H112" i="5"/>
  <c r="H276" i="5"/>
  <c r="G730" i="5"/>
  <c r="H135" i="5"/>
  <c r="G45" i="5"/>
  <c r="H780" i="5"/>
  <c r="G641" i="5"/>
  <c r="H561" i="5"/>
  <c r="G593" i="5"/>
  <c r="H395" i="5"/>
  <c r="G416" i="5"/>
  <c r="G383" i="5"/>
  <c r="H189" i="5"/>
  <c r="H636" i="5"/>
  <c r="G350" i="5"/>
  <c r="G602" i="5"/>
  <c r="G600" i="5"/>
  <c r="G653" i="5"/>
  <c r="H184" i="5"/>
  <c r="G493" i="5"/>
  <c r="G354" i="5"/>
  <c r="H21" i="5"/>
  <c r="H771" i="5"/>
  <c r="H455" i="5"/>
  <c r="G420" i="5"/>
  <c r="H615" i="5"/>
  <c r="G604" i="5"/>
  <c r="G398" i="5"/>
  <c r="G327" i="5"/>
  <c r="G66" i="5"/>
  <c r="G238" i="5"/>
  <c r="H123" i="5"/>
  <c r="G333" i="5"/>
  <c r="H243" i="5"/>
  <c r="H134" i="5"/>
  <c r="H642" i="5"/>
  <c r="H154" i="5"/>
  <c r="H580" i="5"/>
  <c r="G632" i="5"/>
  <c r="G539" i="5"/>
  <c r="G733" i="5"/>
  <c r="G462" i="5"/>
  <c r="G391" i="5"/>
  <c r="G390" i="5"/>
  <c r="G375" i="5"/>
  <c r="G331" i="5"/>
  <c r="G278" i="5"/>
  <c r="H71" i="5"/>
  <c r="G29" i="5"/>
  <c r="G69" i="5"/>
  <c r="H421" i="5"/>
  <c r="H326" i="5"/>
  <c r="H272" i="5"/>
  <c r="H148" i="5"/>
  <c r="H621" i="5"/>
  <c r="G577" i="5"/>
  <c r="G128" i="5"/>
  <c r="G82" i="5"/>
  <c r="H605" i="5"/>
  <c r="G472" i="5"/>
  <c r="H594" i="5"/>
  <c r="G236" i="5"/>
  <c r="G49" i="5"/>
  <c r="G176" i="5"/>
  <c r="H85" i="5"/>
  <c r="H240" i="5"/>
  <c r="H11" i="5"/>
  <c r="I11" i="5" s="1"/>
  <c r="G9" i="50" s="1"/>
  <c r="H355" i="5"/>
  <c r="H314" i="5"/>
  <c r="H270" i="5"/>
  <c r="G720" i="5"/>
  <c r="G461" i="5"/>
  <c r="G74" i="5"/>
  <c r="H451" i="5"/>
  <c r="G774" i="5"/>
  <c r="G139" i="5"/>
  <c r="G78" i="5"/>
  <c r="G724" i="5"/>
  <c r="H103" i="5"/>
  <c r="H635" i="5"/>
  <c r="G525" i="5"/>
  <c r="G46" i="5"/>
  <c r="H581" i="5"/>
  <c r="H173" i="5"/>
  <c r="H47" i="5"/>
  <c r="H30" i="5"/>
  <c r="G23" i="5"/>
  <c r="I23" i="5" s="1"/>
  <c r="G19" i="68" s="1"/>
  <c r="H407" i="5"/>
  <c r="H332" i="5"/>
  <c r="H289" i="5"/>
  <c r="G255" i="5"/>
  <c r="G555" i="5"/>
  <c r="G179" i="5"/>
  <c r="H54" i="5"/>
  <c r="H52" i="5"/>
  <c r="G510" i="5"/>
  <c r="H175" i="5"/>
  <c r="G553" i="5"/>
  <c r="G76" i="5"/>
  <c r="G100" i="5"/>
  <c r="H637" i="5"/>
  <c r="H456" i="5"/>
  <c r="H587" i="5"/>
  <c r="H430" i="5"/>
  <c r="G541" i="5"/>
  <c r="G131" i="5"/>
  <c r="G778" i="5"/>
  <c r="H515" i="5"/>
  <c r="G80" i="5"/>
  <c r="G111" i="5"/>
  <c r="G570" i="5"/>
  <c r="H473" i="5"/>
  <c r="H94" i="5"/>
  <c r="G75" i="5"/>
  <c r="H147" i="5"/>
  <c r="H159" i="5"/>
  <c r="G97" i="5"/>
  <c r="H607" i="5"/>
  <c r="H105" i="5"/>
  <c r="H527" i="5"/>
  <c r="H50" i="5"/>
  <c r="G95" i="5"/>
  <c r="G151" i="5"/>
  <c r="G513" i="5"/>
  <c r="H626" i="5"/>
  <c r="G174" i="5"/>
  <c r="H376" i="5"/>
  <c r="H386" i="5"/>
  <c r="H104" i="5"/>
  <c r="H53" i="5"/>
  <c r="H252" i="5"/>
  <c r="G47" i="5"/>
  <c r="G134" i="5"/>
  <c r="H176" i="5"/>
  <c r="G89" i="5"/>
  <c r="G30" i="5"/>
  <c r="G79" i="5"/>
  <c r="H168" i="5"/>
  <c r="G392" i="5"/>
  <c r="G647" i="5"/>
  <c r="H779" i="5"/>
  <c r="G459" i="5"/>
  <c r="H532" i="5"/>
  <c r="H296" i="5"/>
  <c r="G609" i="5"/>
  <c r="G549" i="5"/>
  <c r="G411" i="5"/>
  <c r="H66" i="5"/>
  <c r="H387" i="5"/>
  <c r="H174" i="5"/>
  <c r="G107" i="5"/>
  <c r="G543" i="5"/>
  <c r="H772" i="5"/>
  <c r="H542" i="5"/>
  <c r="G396" i="5"/>
  <c r="G380" i="5"/>
  <c r="G320" i="5"/>
  <c r="H249" i="5"/>
  <c r="H96" i="5"/>
  <c r="H236" i="5"/>
  <c r="H358" i="5"/>
  <c r="H284" i="5"/>
  <c r="H129" i="5"/>
  <c r="H74" i="5"/>
  <c r="G771" i="5"/>
  <c r="G777" i="5"/>
  <c r="H261" i="5"/>
  <c r="H150" i="5"/>
  <c r="H254" i="5"/>
  <c r="G18" i="5"/>
  <c r="G96" i="5"/>
  <c r="I96" i="5" s="1"/>
  <c r="G265" i="50" s="1"/>
  <c r="H114" i="5"/>
  <c r="H409" i="5"/>
  <c r="H323" i="5"/>
  <c r="G249" i="5"/>
  <c r="H541" i="5"/>
  <c r="H97" i="5"/>
  <c r="H107" i="5"/>
  <c r="G533" i="5"/>
  <c r="H160" i="5"/>
  <c r="G608" i="5"/>
  <c r="H191" i="5"/>
  <c r="G772" i="5"/>
  <c r="G562" i="5"/>
  <c r="G247" i="5"/>
  <c r="G24" i="5"/>
  <c r="H24" i="5"/>
  <c r="H19" i="5"/>
  <c r="H343" i="5"/>
  <c r="H279" i="5"/>
  <c r="G140" i="5"/>
  <c r="H439" i="5"/>
  <c r="H654" i="5"/>
  <c r="H616" i="5"/>
  <c r="G185" i="5"/>
  <c r="G515" i="5"/>
  <c r="I515" i="5" s="1"/>
  <c r="G81" i="5"/>
  <c r="G768" i="5"/>
  <c r="G133" i="5"/>
  <c r="H183" i="5"/>
  <c r="H190" i="5"/>
  <c r="G467" i="5"/>
  <c r="G101" i="5"/>
  <c r="H550" i="5"/>
  <c r="H156" i="5"/>
  <c r="H33" i="5"/>
  <c r="H632" i="5"/>
  <c r="G103" i="5"/>
  <c r="G575" i="5"/>
  <c r="G25" i="5"/>
  <c r="G722" i="5"/>
  <c r="H442" i="5"/>
  <c r="H728" i="5"/>
  <c r="G105" i="5"/>
  <c r="H475" i="5"/>
  <c r="H577" i="5"/>
  <c r="H250" i="5"/>
  <c r="H381" i="5"/>
  <c r="H37" i="5"/>
  <c r="H77" i="5"/>
  <c r="H28" i="5"/>
  <c r="H120" i="5"/>
  <c r="H727" i="5"/>
  <c r="I727" i="5" s="1"/>
  <c r="G443" i="5"/>
  <c r="G485" i="5"/>
  <c r="H25" i="5"/>
  <c r="H328" i="5"/>
  <c r="G340" i="5"/>
  <c r="G626" i="5"/>
  <c r="I626" i="5" s="1"/>
  <c r="H383" i="5"/>
  <c r="H423" i="5"/>
  <c r="G292" i="5"/>
  <c r="H592" i="5"/>
  <c r="I592" i="5" s="1"/>
  <c r="G317" i="5"/>
  <c r="H363" i="5"/>
  <c r="G529" i="5"/>
  <c r="G579" i="5"/>
  <c r="G476" i="5"/>
  <c r="G406" i="5"/>
  <c r="G362" i="5"/>
  <c r="G288" i="5"/>
  <c r="H59" i="5"/>
  <c r="G114" i="5"/>
  <c r="G41" i="5"/>
  <c r="H316" i="5"/>
  <c r="G536" i="5"/>
  <c r="H722" i="5"/>
  <c r="G135" i="5"/>
  <c r="I135" i="5" s="1"/>
  <c r="E15" i="69" s="1"/>
  <c r="H608" i="5"/>
  <c r="H619" i="5"/>
  <c r="H618" i="5" s="1"/>
  <c r="H101" i="5"/>
  <c r="I101" i="5" s="1"/>
  <c r="G269" i="50" s="1"/>
  <c r="H471" i="5"/>
  <c r="G262" i="5"/>
  <c r="G120" i="5"/>
  <c r="I120" i="5" s="1"/>
  <c r="F94" i="47" s="1"/>
  <c r="G160" i="5"/>
  <c r="H34" i="5"/>
  <c r="H88" i="5"/>
  <c r="H346" i="5"/>
  <c r="H291" i="5"/>
  <c r="G168" i="5"/>
  <c r="H133" i="5"/>
  <c r="H652" i="5"/>
  <c r="H60" i="5"/>
  <c r="G84" i="5"/>
  <c r="G538" i="5"/>
  <c r="H131" i="5"/>
  <c r="G613" i="5"/>
  <c r="H80" i="5"/>
  <c r="H476" i="5"/>
  <c r="G106" i="5"/>
  <c r="G152" i="5"/>
  <c r="H57" i="5"/>
  <c r="H365" i="5"/>
  <c r="H311" i="5"/>
  <c r="G259" i="5"/>
  <c r="G517" i="5"/>
  <c r="G98" i="5"/>
  <c r="H461" i="5"/>
  <c r="G449" i="5"/>
  <c r="G71" i="5"/>
  <c r="I71" i="5" s="1"/>
  <c r="H529" i="5"/>
  <c r="H492" i="5"/>
  <c r="G86" i="5"/>
  <c r="G487" i="5"/>
  <c r="H478" i="5"/>
  <c r="H186" i="5"/>
  <c r="H538" i="5"/>
  <c r="H562" i="5"/>
  <c r="G496" i="5"/>
  <c r="G494" i="5"/>
  <c r="G560" i="5"/>
  <c r="G770" i="5"/>
  <c r="H76" i="5"/>
  <c r="G475" i="5"/>
  <c r="H146" i="5"/>
  <c r="H56" i="5"/>
  <c r="H572" i="5"/>
  <c r="H62" i="5"/>
  <c r="H139" i="5"/>
  <c r="H533" i="5"/>
  <c r="G728" i="5"/>
  <c r="I728" i="5" s="1"/>
  <c r="H374" i="5"/>
  <c r="H388" i="5"/>
  <c r="G31" i="5"/>
  <c r="H157" i="5"/>
  <c r="G61" i="5"/>
  <c r="H61" i="5"/>
  <c r="G616" i="5"/>
  <c r="H41" i="5"/>
  <c r="H462" i="5"/>
  <c r="H309" i="5"/>
  <c r="H27" i="5"/>
  <c r="H136" i="5"/>
  <c r="G581" i="5"/>
  <c r="G385" i="5"/>
  <c r="G253" i="5"/>
  <c r="H91" i="5"/>
  <c r="H293" i="5"/>
  <c r="H517" i="5"/>
  <c r="H143" i="5"/>
  <c r="G775" i="5"/>
  <c r="G273" i="5"/>
  <c r="G104" i="5"/>
  <c r="G33" i="5"/>
  <c r="H302" i="5"/>
  <c r="G503" i="5"/>
  <c r="H87" i="5"/>
  <c r="G48" i="5"/>
  <c r="H67" i="5"/>
  <c r="H482" i="5"/>
  <c r="G13" i="5"/>
  <c r="H417" i="5"/>
  <c r="H266" i="5"/>
  <c r="G116" i="5"/>
  <c r="G546" i="5"/>
  <c r="H152" i="5"/>
  <c r="H591" i="5"/>
  <c r="H485" i="5"/>
  <c r="H612" i="5"/>
  <c r="G477" i="5"/>
  <c r="H83" i="5"/>
  <c r="H181" i="5"/>
  <c r="H138" i="5"/>
  <c r="H508" i="5"/>
  <c r="G113" i="5"/>
  <c r="H647" i="5"/>
  <c r="H384" i="5"/>
  <c r="G123" i="5"/>
  <c r="I123" i="5" s="1"/>
  <c r="G157" i="5"/>
  <c r="I157" i="5" s="1"/>
  <c r="E37" i="69" s="1"/>
  <c r="G27" i="5"/>
  <c r="G22" i="5"/>
  <c r="G102" i="5"/>
  <c r="H237" i="5"/>
  <c r="G399" i="5"/>
  <c r="H514" i="5"/>
  <c r="G610" i="5"/>
  <c r="G478" i="5"/>
  <c r="I478" i="5" s="1"/>
  <c r="K24" i="75" s="1"/>
  <c r="H588" i="5"/>
  <c r="H609" i="5"/>
  <c r="H460" i="5"/>
  <c r="H539" i="5"/>
  <c r="G528" i="5"/>
  <c r="G551" i="5"/>
  <c r="H613" i="5"/>
  <c r="G648" i="5"/>
  <c r="H770" i="5"/>
  <c r="H340" i="5"/>
  <c r="H362" i="5"/>
  <c r="H416" i="5"/>
  <c r="G142" i="5"/>
  <c r="G514" i="5"/>
  <c r="I514" i="5" s="1"/>
  <c r="G450" i="5"/>
  <c r="H448" i="5"/>
  <c r="H643" i="5"/>
  <c r="H723" i="5"/>
  <c r="G645" i="5"/>
  <c r="G72" i="5"/>
  <c r="G67" i="5"/>
  <c r="G505" i="5"/>
  <c r="G482" i="5"/>
  <c r="H477" i="5"/>
  <c r="H732" i="5"/>
  <c r="G718" i="5"/>
  <c r="I718" i="5" s="1"/>
  <c r="F72" i="48" s="1"/>
  <c r="H602" i="5"/>
  <c r="H155" i="5"/>
  <c r="G83" i="5"/>
  <c r="G143" i="5"/>
  <c r="G137" i="5"/>
  <c r="G781" i="5"/>
  <c r="H182" i="5"/>
  <c r="G520" i="5"/>
  <c r="H44" i="5"/>
  <c r="H503" i="5"/>
  <c r="H720" i="5"/>
  <c r="G87" i="5"/>
  <c r="I87" i="5" s="1"/>
  <c r="K26" i="68" s="1"/>
  <c r="G119" i="5"/>
  <c r="G508" i="5"/>
  <c r="H614" i="5"/>
  <c r="G239" i="5"/>
  <c r="G260" i="5"/>
  <c r="G272" i="5"/>
  <c r="G284" i="5"/>
  <c r="I284" i="5" s="1"/>
  <c r="G293" i="5"/>
  <c r="G304" i="5"/>
  <c r="G316" i="5"/>
  <c r="I316" i="5" s="1"/>
  <c r="G326" i="5"/>
  <c r="G338" i="5"/>
  <c r="G348" i="5"/>
  <c r="G358" i="5"/>
  <c r="G374" i="5"/>
  <c r="I374" i="5" s="1"/>
  <c r="G384" i="5"/>
  <c r="I384" i="5" s="1"/>
  <c r="G409" i="5"/>
  <c r="G419" i="5"/>
  <c r="H89" i="5"/>
  <c r="H247" i="5"/>
  <c r="H38" i="5"/>
  <c r="H79" i="5"/>
  <c r="G148" i="5"/>
  <c r="I148" i="5" s="1"/>
  <c r="G39" i="5"/>
  <c r="G20" i="5"/>
  <c r="H55" i="5"/>
  <c r="H238" i="5"/>
  <c r="G248" i="5"/>
  <c r="G261" i="5"/>
  <c r="H271" i="5"/>
  <c r="H283" i="5"/>
  <c r="H292" i="5"/>
  <c r="H303" i="5"/>
  <c r="H315" i="5"/>
  <c r="I315" i="5" s="1"/>
  <c r="F23" i="71" s="1"/>
  <c r="H324" i="5"/>
  <c r="H342" i="5"/>
  <c r="H359" i="5"/>
  <c r="H413" i="5"/>
  <c r="G186" i="5"/>
  <c r="I186" i="5" s="1"/>
  <c r="H403" i="5"/>
  <c r="H438" i="5"/>
  <c r="H638" i="5"/>
  <c r="G646" i="5"/>
  <c r="G640" i="5"/>
  <c r="G650" i="5"/>
  <c r="G307" i="5"/>
  <c r="H544" i="5"/>
  <c r="G521" i="5"/>
  <c r="G345" i="5"/>
  <c r="G359" i="5"/>
  <c r="H179" i="5"/>
  <c r="G452" i="5"/>
  <c r="G342" i="5"/>
  <c r="G32" i="5"/>
  <c r="H412" i="5"/>
  <c r="H500" i="5"/>
  <c r="G62" i="5"/>
  <c r="G582" i="5"/>
  <c r="H137" i="5"/>
  <c r="H49" i="5"/>
  <c r="H369" i="5"/>
  <c r="G173" i="5"/>
  <c r="G52" i="5"/>
  <c r="H447" i="5"/>
  <c r="G444" i="5"/>
  <c r="H487" i="5"/>
  <c r="G243" i="5"/>
  <c r="H130" i="5"/>
  <c r="H321" i="5"/>
  <c r="H640" i="5"/>
  <c r="H548" i="5"/>
  <c r="H142" i="5"/>
  <c r="H100" i="5"/>
  <c r="H543" i="5"/>
  <c r="G726" i="5"/>
  <c r="H472" i="5"/>
  <c r="G439" i="5"/>
  <c r="H48" i="5"/>
  <c r="H144" i="5"/>
  <c r="H15" i="5"/>
  <c r="G56" i="5"/>
  <c r="H494" i="5"/>
  <c r="H260" i="5"/>
  <c r="G21" i="5"/>
  <c r="H32" i="5"/>
  <c r="G175" i="5"/>
  <c r="H257" i="5"/>
  <c r="H78" i="5"/>
  <c r="H145" i="5"/>
  <c r="G395" i="5"/>
  <c r="H504" i="5"/>
  <c r="G184" i="5"/>
  <c r="G448" i="5"/>
  <c r="G499" i="5"/>
  <c r="H599" i="5"/>
  <c r="H440" i="5"/>
  <c r="G729" i="5"/>
  <c r="H559" i="5"/>
  <c r="G542" i="5"/>
  <c r="I542" i="5" s="1"/>
  <c r="M23" i="71" s="1"/>
  <c r="G571" i="5"/>
  <c r="H627" i="5"/>
  <c r="H733" i="5"/>
  <c r="H778" i="5"/>
  <c r="H352" i="5"/>
  <c r="H406" i="5"/>
  <c r="H511" i="5"/>
  <c r="G430" i="5"/>
  <c r="H397" i="5"/>
  <c r="G481" i="5"/>
  <c r="H537" i="5"/>
  <c r="G595" i="5"/>
  <c r="G624" i="5"/>
  <c r="H769" i="5"/>
  <c r="G147" i="5"/>
  <c r="H481" i="5"/>
  <c r="H488" i="5"/>
  <c r="G454" i="5"/>
  <c r="H520" i="5"/>
  <c r="H180" i="5"/>
  <c r="G456" i="5"/>
  <c r="G631" i="5"/>
  <c r="I631" i="5" s="1"/>
  <c r="H51" i="5"/>
  <c r="H84" i="5"/>
  <c r="H575" i="5"/>
  <c r="H437" i="5"/>
  <c r="G145" i="5"/>
  <c r="H467" i="5"/>
  <c r="I467" i="5" s="1"/>
  <c r="G603" i="5"/>
  <c r="H99" i="5"/>
  <c r="H555" i="5"/>
  <c r="G55" i="5"/>
  <c r="G99" i="5"/>
  <c r="H470" i="5"/>
  <c r="G548" i="5"/>
  <c r="H726" i="5"/>
  <c r="G250" i="5"/>
  <c r="G266" i="5"/>
  <c r="G279" i="5"/>
  <c r="G289" i="5"/>
  <c r="I289" i="5" s="1"/>
  <c r="E27" i="75" s="1"/>
  <c r="G300" i="5"/>
  <c r="G311" i="5"/>
  <c r="G321" i="5"/>
  <c r="G332" i="5"/>
  <c r="G343" i="5"/>
  <c r="G353" i="5"/>
  <c r="G365" i="5"/>
  <c r="G379" i="5"/>
  <c r="G388" i="5"/>
  <c r="G414" i="5"/>
  <c r="H13" i="5"/>
  <c r="G118" i="5"/>
  <c r="H16" i="5"/>
  <c r="G57" i="5"/>
  <c r="G130" i="5"/>
  <c r="G159" i="5"/>
  <c r="H141" i="5"/>
  <c r="G38" i="5"/>
  <c r="H98" i="5"/>
  <c r="G237" i="5"/>
  <c r="H253" i="5"/>
  <c r="H265" i="5"/>
  <c r="H278" i="5"/>
  <c r="H288" i="5"/>
  <c r="H297" i="5"/>
  <c r="H310" i="5"/>
  <c r="H320" i="5"/>
  <c r="H333" i="5"/>
  <c r="H350" i="5"/>
  <c r="H370" i="5"/>
  <c r="H371" i="5" s="1"/>
  <c r="H506" i="5"/>
  <c r="G518" i="5"/>
  <c r="G460" i="5"/>
  <c r="H547" i="5"/>
  <c r="G586" i="5"/>
  <c r="G619" i="5"/>
  <c r="H765" i="5"/>
  <c r="G257" i="5"/>
  <c r="G599" i="5"/>
  <c r="G271" i="5"/>
  <c r="H719" i="5"/>
  <c r="G136" i="5"/>
  <c r="G283" i="5"/>
  <c r="G617" i="5"/>
  <c r="H729" i="5"/>
  <c r="G182" i="5"/>
  <c r="G297" i="5"/>
  <c r="G156" i="5"/>
  <c r="H338" i="5"/>
  <c r="H111" i="5"/>
  <c r="H724" i="5"/>
  <c r="G153" i="5"/>
  <c r="G34" i="5"/>
  <c r="H14" i="5"/>
  <c r="H334" i="5"/>
  <c r="H598" i="5"/>
  <c r="H536" i="5"/>
  <c r="G68" i="5"/>
  <c r="G766" i="5"/>
  <c r="G550" i="5"/>
  <c r="H731" i="5"/>
  <c r="G731" i="5"/>
  <c r="G509" i="5"/>
  <c r="H364" i="5"/>
  <c r="H331" i="5"/>
  <c r="H307" i="5"/>
  <c r="H285" i="5"/>
  <c r="H262" i="5"/>
  <c r="H259" i="5"/>
  <c r="G28" i="5"/>
  <c r="G144" i="5"/>
  <c r="G43" i="5"/>
  <c r="H69" i="5"/>
  <c r="G412" i="5"/>
  <c r="G376" i="5"/>
  <c r="G351" i="5"/>
  <c r="G328" i="5"/>
  <c r="G309" i="5"/>
  <c r="G286" i="5"/>
  <c r="G264" i="5"/>
  <c r="H645" i="5"/>
  <c r="H449" i="5"/>
  <c r="G44" i="5"/>
  <c r="H90" i="5"/>
  <c r="G189" i="5"/>
  <c r="G191" i="5"/>
  <c r="H42" i="5"/>
  <c r="G615" i="5"/>
  <c r="I615" i="5" s="1"/>
  <c r="G50" i="5"/>
  <c r="H86" i="5"/>
  <c r="G447" i="5"/>
  <c r="G654" i="5"/>
  <c r="H653" i="5"/>
  <c r="H429" i="5"/>
  <c r="I429" i="5" s="1"/>
  <c r="G154" i="5"/>
  <c r="H366" i="5"/>
  <c r="H774" i="5"/>
  <c r="H617" i="5"/>
  <c r="G537" i="5"/>
  <c r="I537" i="5" s="1"/>
  <c r="G721" i="5"/>
  <c r="I721" i="5" s="1"/>
  <c r="F77" i="48" s="1"/>
  <c r="H593" i="5"/>
  <c r="G438" i="5"/>
  <c r="G403" i="5"/>
  <c r="G404" i="5" s="1"/>
  <c r="H116" i="5"/>
  <c r="I116" i="5" s="1"/>
  <c r="H43" i="5"/>
  <c r="H22" i="5"/>
  <c r="G177" i="5"/>
  <c r="H649" i="5"/>
  <c r="G463" i="5"/>
  <c r="G732" i="5"/>
  <c r="G58" i="5"/>
  <c r="G181" i="5"/>
  <c r="H68" i="5"/>
  <c r="H353" i="5"/>
  <c r="I353" i="5" s="1"/>
  <c r="H610" i="5"/>
  <c r="H115" i="5"/>
  <c r="H248" i="5"/>
  <c r="H70" i="5"/>
  <c r="H153" i="5"/>
  <c r="H576" i="5"/>
  <c r="F87" i="70"/>
  <c r="F70" i="74"/>
  <c r="I5123" i="18" s="1"/>
  <c r="G11" i="6"/>
  <c r="AE11" i="6"/>
  <c r="F805" i="5"/>
  <c r="E87" i="70"/>
  <c r="F294" i="5"/>
  <c r="F367" i="5"/>
  <c r="J256" i="5"/>
  <c r="F530" i="5"/>
  <c r="F540" i="5"/>
  <c r="F545" i="5"/>
  <c r="F552" i="5"/>
  <c r="J568" i="5"/>
  <c r="F601" i="5"/>
  <c r="F606" i="5"/>
  <c r="F618" i="5"/>
  <c r="F29" i="6"/>
  <c r="F37" i="6"/>
  <c r="E55" i="74"/>
  <c r="H5104" i="18" s="1"/>
  <c r="E72" i="70"/>
  <c r="E59" i="74"/>
  <c r="H5108" i="18" s="1"/>
  <c r="K6116" i="18"/>
  <c r="L6117" i="18" s="1"/>
  <c r="F14" i="6"/>
  <c r="F17" i="6"/>
  <c r="F22" i="6"/>
  <c r="F26" i="6"/>
  <c r="F30" i="6"/>
  <c r="AE40" i="6"/>
  <c r="P4" i="6" s="1"/>
  <c r="H194" i="5"/>
  <c r="J263" i="5"/>
  <c r="M264" i="5"/>
  <c r="F356" i="5"/>
  <c r="F206" i="5"/>
  <c r="F535" i="5"/>
  <c r="F611" i="5"/>
  <c r="E72" i="74"/>
  <c r="H5125" i="18" s="1"/>
  <c r="E89" i="70"/>
  <c r="E56" i="74"/>
  <c r="H5105" i="18" s="1"/>
  <c r="K6083" i="18"/>
  <c r="L6084" i="18" s="1"/>
  <c r="I768" i="5"/>
  <c r="E11" i="6"/>
  <c r="F12" i="6" s="1"/>
  <c r="J809" i="5"/>
  <c r="F809" i="5"/>
  <c r="J802" i="5"/>
  <c r="J869" i="5"/>
  <c r="J873" i="5"/>
  <c r="F802" i="5"/>
  <c r="J821" i="5"/>
  <c r="Q5157" i="18"/>
  <c r="E63" i="74"/>
  <c r="H5112" i="18" s="1"/>
  <c r="K6154" i="18"/>
  <c r="L6155" i="18" s="1"/>
  <c r="E80" i="70"/>
  <c r="J502" i="5"/>
  <c r="F62" i="52"/>
  <c r="F10" i="52" s="1"/>
  <c r="E79" i="70"/>
  <c r="E62" i="74"/>
  <c r="H5111" i="18" s="1"/>
  <c r="E52" i="74"/>
  <c r="H5101" i="18" s="1"/>
  <c r="E69" i="70"/>
  <c r="K6054" i="18"/>
  <c r="L6055" i="18" s="1"/>
  <c r="F28" i="51"/>
  <c r="J251" i="5"/>
  <c r="M254" i="5"/>
  <c r="J221" i="5"/>
  <c r="J405" i="5"/>
  <c r="F433" i="5"/>
  <c r="J446" i="5"/>
  <c r="J453" i="5"/>
  <c r="M587" i="5"/>
  <c r="J585" i="5"/>
  <c r="F596" i="5"/>
  <c r="J634" i="5"/>
  <c r="M635" i="5"/>
  <c r="J639" i="5"/>
  <c r="J644" i="5"/>
  <c r="M645" i="5"/>
  <c r="J651" i="5"/>
  <c r="M652" i="5"/>
  <c r="E71" i="74"/>
  <c r="H5124" i="18" s="1"/>
  <c r="E88" i="70"/>
  <c r="F15" i="6"/>
  <c r="F27" i="6"/>
  <c r="F84" i="51"/>
  <c r="F72" i="51"/>
  <c r="F274" i="5"/>
  <c r="F277" i="5"/>
  <c r="F282" i="5"/>
  <c r="F287" i="5"/>
  <c r="J205" i="5"/>
  <c r="F372" i="5"/>
  <c r="F377" i="5"/>
  <c r="F382" i="5"/>
  <c r="F226" i="5"/>
  <c r="F389" i="5"/>
  <c r="J400" i="5"/>
  <c r="J211" i="5"/>
  <c r="J410" i="5"/>
  <c r="J422" i="5"/>
  <c r="J415" i="5" s="1"/>
  <c r="J507" i="5"/>
  <c r="F251" i="5"/>
  <c r="F453" i="5"/>
  <c r="F519" i="5"/>
  <c r="J535" i="5"/>
  <c r="J552" i="5"/>
  <c r="J601" i="5"/>
  <c r="J629" i="5"/>
  <c r="F639" i="5"/>
  <c r="F19" i="6"/>
  <c r="F35" i="6"/>
  <c r="F98" i="8"/>
  <c r="F117" i="8"/>
  <c r="J308" i="5"/>
  <c r="F216" i="5"/>
  <c r="F464" i="5"/>
  <c r="F469" i="5"/>
  <c r="F474" i="5"/>
  <c r="F479" i="5"/>
  <c r="J497" i="5"/>
  <c r="M492" i="5"/>
  <c r="J512" i="5"/>
  <c r="J519" i="5"/>
  <c r="J573" i="5"/>
  <c r="F629" i="5"/>
  <c r="F486" i="5"/>
  <c r="J578" i="5"/>
  <c r="F231" i="5"/>
  <c r="F28" i="6"/>
  <c r="F96" i="51"/>
  <c r="F98" i="51" s="1"/>
  <c r="F54" i="51"/>
  <c r="J241" i="5"/>
  <c r="J246" i="5"/>
  <c r="J305" i="5"/>
  <c r="J325" i="5"/>
  <c r="F336" i="5"/>
  <c r="F339" i="5"/>
  <c r="F344" i="5"/>
  <c r="F349" i="5"/>
  <c r="J441" i="5"/>
  <c r="F16" i="6"/>
  <c r="F31" i="6"/>
  <c r="F32" i="6"/>
  <c r="F33" i="6"/>
  <c r="E92" i="70"/>
  <c r="F75" i="74"/>
  <c r="E121" i="8"/>
  <c r="F229" i="5"/>
  <c r="M511" i="5"/>
  <c r="F222" i="5"/>
  <c r="F13" i="6"/>
  <c r="F23" i="6"/>
  <c r="F78" i="69"/>
  <c r="M481" i="5"/>
  <c r="F205" i="5"/>
  <c r="F207" i="5"/>
  <c r="F211" i="5"/>
  <c r="F214" i="5"/>
  <c r="F219" i="5"/>
  <c r="F221" i="5"/>
  <c r="F224" i="5"/>
  <c r="F228" i="5"/>
  <c r="F263" i="5"/>
  <c r="F233" i="5"/>
  <c r="F305" i="5"/>
  <c r="F308" i="5"/>
  <c r="F313" i="5"/>
  <c r="F325" i="5"/>
  <c r="J372" i="5"/>
  <c r="J382" i="5"/>
  <c r="J389" i="5"/>
  <c r="F204" i="5"/>
  <c r="F215" i="5"/>
  <c r="F217" i="5"/>
  <c r="F410" i="5"/>
  <c r="F225" i="5"/>
  <c r="F227" i="5"/>
  <c r="F422" i="5"/>
  <c r="F415" i="5" s="1"/>
  <c r="F436" i="5"/>
  <c r="F441" i="5"/>
  <c r="F446" i="5"/>
  <c r="J464" i="5"/>
  <c r="J474" i="5"/>
  <c r="J486" i="5"/>
  <c r="F502" i="5"/>
  <c r="J530" i="5"/>
  <c r="J540" i="5"/>
  <c r="J313" i="5"/>
  <c r="M315" i="5"/>
  <c r="S23" i="71" s="1"/>
  <c r="J318" i="5"/>
  <c r="J436" i="5"/>
  <c r="F853" i="5"/>
  <c r="F841" i="5"/>
  <c r="F849" i="5"/>
  <c r="J817" i="5"/>
  <c r="F791" i="5"/>
  <c r="J857" i="5"/>
  <c r="J853" i="5"/>
  <c r="J841" i="5"/>
  <c r="J833" i="5"/>
  <c r="J795" i="5"/>
  <c r="J790" i="5"/>
  <c r="F817" i="5"/>
  <c r="M841" i="5"/>
  <c r="F869" i="5"/>
  <c r="F865" i="5"/>
  <c r="F861" i="5"/>
  <c r="F845" i="5"/>
  <c r="J837" i="5"/>
  <c r="M302" i="5"/>
  <c r="J233" i="5"/>
  <c r="J277" i="5"/>
  <c r="J282" i="5"/>
  <c r="J287" i="5"/>
  <c r="J294" i="5"/>
  <c r="M444" i="5"/>
  <c r="J274" i="5"/>
  <c r="J336" i="5"/>
  <c r="J339" i="5"/>
  <c r="J344" i="5"/>
  <c r="Q2" i="18"/>
  <c r="Q3" i="18"/>
  <c r="L2103" i="18"/>
  <c r="K1794" i="18"/>
  <c r="L1795" i="18"/>
  <c r="P853" i="18"/>
  <c r="L787" i="18"/>
  <c r="L782" i="18"/>
  <c r="I4938" i="18"/>
  <c r="H4938" i="18"/>
  <c r="H4793" i="18"/>
  <c r="K4780" i="18"/>
  <c r="K4640" i="18"/>
  <c r="K4636" i="18"/>
  <c r="L3736" i="18"/>
  <c r="K4576" i="18"/>
  <c r="K4578" i="18" s="1"/>
  <c r="K4579" i="18" s="1"/>
  <c r="H4576" i="18"/>
  <c r="H4578" i="18" s="1"/>
  <c r="H4579" i="18" s="1"/>
  <c r="J4511" i="18"/>
  <c r="I4535" i="18"/>
  <c r="I4534" i="18"/>
  <c r="M4264" i="18"/>
  <c r="H4130" i="18"/>
  <c r="L3990" i="18"/>
  <c r="K3931" i="18"/>
  <c r="J4058" i="18"/>
  <c r="K3765" i="18"/>
  <c r="I3676" i="18"/>
  <c r="I3675" i="18"/>
  <c r="L3621" i="18"/>
  <c r="J3452" i="18"/>
  <c r="J3280" i="18"/>
  <c r="J2808" i="18"/>
  <c r="M2222" i="18"/>
  <c r="M2258" i="18"/>
  <c r="L1858" i="18"/>
  <c r="L1856" i="18"/>
  <c r="N1921" i="18"/>
  <c r="N1923" i="18" s="1"/>
  <c r="N1924" i="18" s="1"/>
  <c r="I1710" i="18"/>
  <c r="I1712" i="18" s="1"/>
  <c r="I1713" i="18" s="1"/>
  <c r="H1676" i="18"/>
  <c r="H1678" i="18" s="1"/>
  <c r="H1679" i="18" s="1"/>
  <c r="K1680" i="18" s="1"/>
  <c r="L1680" i="18" s="1"/>
  <c r="H1007" i="18"/>
  <c r="H1009" i="18" s="1"/>
  <c r="H1010" i="18" s="1"/>
  <c r="J1443" i="18"/>
  <c r="J1445" i="18" s="1"/>
  <c r="J1446" i="18" s="1"/>
  <c r="M1370" i="18"/>
  <c r="H1403" i="18"/>
  <c r="H1405" i="18" s="1"/>
  <c r="H1406" i="18" s="1"/>
  <c r="J1381" i="18"/>
  <c r="J1383" i="18" s="1"/>
  <c r="J1384" i="18" s="1"/>
  <c r="I1342" i="18"/>
  <c r="I1344" i="18" s="1"/>
  <c r="I1345" i="18" s="1"/>
  <c r="I1249" i="18"/>
  <c r="I1251" i="18" s="1"/>
  <c r="I1252" i="18" s="1"/>
  <c r="H1183" i="18"/>
  <c r="H1185" i="18" s="1"/>
  <c r="H1186" i="18" s="1"/>
  <c r="M1139" i="18"/>
  <c r="I1073" i="18"/>
  <c r="I1075" i="18" s="1"/>
  <c r="I1076" i="18" s="1"/>
  <c r="M1032" i="18"/>
  <c r="M1031" i="18"/>
  <c r="M1055" i="18"/>
  <c r="H1485" i="18"/>
  <c r="H1487" i="18" s="1"/>
  <c r="H1488" i="18" s="1"/>
  <c r="J1004" i="18"/>
  <c r="K938" i="18"/>
  <c r="H529" i="18"/>
  <c r="H531" i="18" s="1"/>
  <c r="H532" i="18" s="1"/>
  <c r="M435" i="18"/>
  <c r="I372" i="18"/>
  <c r="I374" i="18" s="1"/>
  <c r="I375" i="18" s="1"/>
  <c r="H372" i="18"/>
  <c r="H374" i="18" s="1"/>
  <c r="H375" i="18" s="1"/>
  <c r="J331" i="18"/>
  <c r="M175" i="18"/>
  <c r="L4884" i="18"/>
  <c r="M4884" i="18" s="1"/>
  <c r="I2425" i="18"/>
  <c r="I2427" i="18" s="1"/>
  <c r="I2428" i="18" s="1"/>
  <c r="P1648" i="18"/>
  <c r="O1648" i="18"/>
  <c r="O5364" i="18"/>
  <c r="P5364" i="18" s="1"/>
  <c r="N5331" i="18"/>
  <c r="O5331" i="18" s="1"/>
  <c r="N5327" i="18"/>
  <c r="O5327" i="18" s="1"/>
  <c r="L4892" i="18"/>
  <c r="M4892" i="18" s="1"/>
  <c r="L4881" i="18"/>
  <c r="M4881" i="18" s="1"/>
  <c r="Q3089" i="18"/>
  <c r="N2917" i="18"/>
  <c r="N1653" i="18"/>
  <c r="L4866" i="18"/>
  <c r="M4866" i="18" s="1"/>
  <c r="J215" i="5"/>
  <c r="J229" i="5"/>
  <c r="J797" i="5"/>
  <c r="J818" i="5"/>
  <c r="J792" i="5"/>
  <c r="J861" i="5"/>
  <c r="M307" i="5"/>
  <c r="N2131" i="18"/>
  <c r="I2073" i="18"/>
  <c r="I2075" i="18" s="1"/>
  <c r="I2076" i="18" s="1"/>
  <c r="K2077" i="18" s="1"/>
  <c r="L2077" i="18" s="1"/>
  <c r="J206" i="5"/>
  <c r="J217" i="5"/>
  <c r="J222" i="5"/>
  <c r="J225" i="5"/>
  <c r="J227" i="5"/>
  <c r="J232" i="5"/>
  <c r="J203" i="5"/>
  <c r="J207" i="5"/>
  <c r="J216" i="5"/>
  <c r="J219" i="5"/>
  <c r="J226" i="5"/>
  <c r="J228" i="5"/>
  <c r="J433" i="5"/>
  <c r="F806" i="5"/>
  <c r="K31" i="50"/>
  <c r="K41" i="50"/>
  <c r="K40" i="50"/>
  <c r="K45" i="50"/>
  <c r="K44" i="50"/>
  <c r="K28" i="50"/>
  <c r="K32" i="50"/>
  <c r="K33" i="50"/>
  <c r="K36" i="50"/>
  <c r="J377" i="5"/>
  <c r="J231" i="5"/>
  <c r="F232" i="5"/>
  <c r="J349" i="5"/>
  <c r="J224" i="5"/>
  <c r="J220" i="5"/>
  <c r="J214" i="5"/>
  <c r="J204" i="5"/>
  <c r="F246" i="5"/>
  <c r="F400" i="5"/>
  <c r="F220" i="5"/>
  <c r="F405" i="5"/>
  <c r="J356" i="5"/>
  <c r="F797" i="5"/>
  <c r="J760" i="5"/>
  <c r="F833" i="5"/>
  <c r="F837" i="5"/>
  <c r="J845" i="5"/>
  <c r="J849" i="5"/>
  <c r="F857" i="5"/>
  <c r="J865" i="5"/>
  <c r="F873" i="5"/>
  <c r="F792" i="5"/>
  <c r="F796" i="5"/>
  <c r="F818" i="5"/>
  <c r="F709" i="5" l="1"/>
  <c r="M682" i="5"/>
  <c r="M683" i="5" s="1"/>
  <c r="Z19" i="75"/>
  <c r="F697" i="5"/>
  <c r="F711" i="5" s="1"/>
  <c r="F829" i="5" s="1"/>
  <c r="F831" i="5" s="1"/>
  <c r="F832" i="5" s="1"/>
  <c r="M252" i="5"/>
  <c r="Q22" i="71" s="1"/>
  <c r="D35" i="51"/>
  <c r="I35" i="51" s="1"/>
  <c r="J35" i="51" s="1"/>
  <c r="D87" i="47"/>
  <c r="K283" i="50"/>
  <c r="M501" i="5"/>
  <c r="Y15" i="75" s="1"/>
  <c r="N4307" i="18"/>
  <c r="O4317" i="18" s="1"/>
  <c r="AB19" i="75"/>
  <c r="AB19" i="71"/>
  <c r="K227" i="50"/>
  <c r="N3530" i="18"/>
  <c r="O3531" i="18" s="1"/>
  <c r="K230" i="50"/>
  <c r="L31" i="72"/>
  <c r="N4246" i="18"/>
  <c r="O4247" i="18" s="1"/>
  <c r="F22" i="73"/>
  <c r="D112" i="47"/>
  <c r="F35" i="69"/>
  <c r="D112" i="51"/>
  <c r="I112" i="51" s="1"/>
  <c r="J112" i="51" s="1"/>
  <c r="K319" i="50"/>
  <c r="E26" i="74"/>
  <c r="G343" i="50"/>
  <c r="I174" i="5"/>
  <c r="N4862" i="18"/>
  <c r="O4863" i="18" s="1"/>
  <c r="M310" i="5"/>
  <c r="S18" i="71" s="1"/>
  <c r="K126" i="50"/>
  <c r="G336" i="50"/>
  <c r="M440" i="5"/>
  <c r="W20" i="75" s="1"/>
  <c r="K125" i="50"/>
  <c r="H37" i="72"/>
  <c r="G292" i="50"/>
  <c r="I70" i="5"/>
  <c r="G214" i="50" s="1"/>
  <c r="I865" i="5"/>
  <c r="H651" i="5"/>
  <c r="I69" i="5"/>
  <c r="K11" i="68" s="1"/>
  <c r="I536" i="5"/>
  <c r="I488" i="5"/>
  <c r="K34" i="75" s="1"/>
  <c r="I21" i="5"/>
  <c r="G60" i="50" s="1"/>
  <c r="I15" i="5"/>
  <c r="G10" i="72" s="1"/>
  <c r="I560" i="5"/>
  <c r="I185" i="5"/>
  <c r="E46" i="73" s="1"/>
  <c r="I140" i="5"/>
  <c r="E20" i="69" s="1"/>
  <c r="G534" i="5"/>
  <c r="I129" i="5"/>
  <c r="E9" i="69" s="1"/>
  <c r="I532" i="5"/>
  <c r="I489" i="5"/>
  <c r="K36" i="71" s="1"/>
  <c r="M288" i="5"/>
  <c r="R27" i="71" s="1"/>
  <c r="I614" i="5"/>
  <c r="O28" i="75" s="1"/>
  <c r="M16" i="5"/>
  <c r="F42" i="69"/>
  <c r="K9" i="50"/>
  <c r="M33" i="5"/>
  <c r="M84" i="5"/>
  <c r="I607" i="5"/>
  <c r="O22" i="75" s="1"/>
  <c r="I462" i="5"/>
  <c r="M518" i="5"/>
  <c r="Y31" i="75" s="1"/>
  <c r="F40" i="70"/>
  <c r="J697" i="5"/>
  <c r="AA10" i="71"/>
  <c r="X25" i="71"/>
  <c r="E35" i="70"/>
  <c r="J683" i="5"/>
  <c r="J825" i="5" s="1"/>
  <c r="AA32" i="71"/>
  <c r="E34" i="74"/>
  <c r="F683" i="5"/>
  <c r="F825" i="5" s="1"/>
  <c r="F58" i="74"/>
  <c r="I5107" i="18" s="1"/>
  <c r="G262" i="50"/>
  <c r="I46" i="5"/>
  <c r="G161" i="50" s="1"/>
  <c r="F56" i="70"/>
  <c r="D119" i="51"/>
  <c r="I119" i="51" s="1"/>
  <c r="J119" i="51" s="1"/>
  <c r="H26" i="72"/>
  <c r="K4448" i="18"/>
  <c r="L4449" i="18" s="1"/>
  <c r="I509" i="5"/>
  <c r="L23" i="71" s="1"/>
  <c r="I548" i="5"/>
  <c r="M28" i="75" s="1"/>
  <c r="I395" i="5"/>
  <c r="I9" i="71" s="1"/>
  <c r="I608" i="5"/>
  <c r="O23" i="71" s="1"/>
  <c r="I97" i="5"/>
  <c r="K36" i="68" s="1"/>
  <c r="I94" i="5"/>
  <c r="K33" i="68" s="1"/>
  <c r="I314" i="5"/>
  <c r="F22" i="75" s="1"/>
  <c r="I375" i="5"/>
  <c r="H19" i="71" s="1"/>
  <c r="I591" i="5"/>
  <c r="O9" i="71" s="1"/>
  <c r="I620" i="5"/>
  <c r="O35" i="71" s="1"/>
  <c r="I347" i="5"/>
  <c r="G24" i="71" s="1"/>
  <c r="I291" i="5"/>
  <c r="E29" i="75" s="1"/>
  <c r="M355" i="5"/>
  <c r="T32" i="71" s="1"/>
  <c r="M454" i="5"/>
  <c r="W34" i="71" s="1"/>
  <c r="W33" i="71" s="1"/>
  <c r="M506" i="5"/>
  <c r="Y20" i="71" s="1"/>
  <c r="K5063" i="18"/>
  <c r="K124" i="50"/>
  <c r="E19" i="74"/>
  <c r="K5996" i="18"/>
  <c r="L5997" i="18" s="1"/>
  <c r="G339" i="50"/>
  <c r="K128" i="50"/>
  <c r="E22" i="70"/>
  <c r="E12" i="74"/>
  <c r="AA23" i="75"/>
  <c r="I732" i="5"/>
  <c r="I191" i="5"/>
  <c r="Q4396" i="18" s="1"/>
  <c r="I412" i="5"/>
  <c r="I23" i="71" s="1"/>
  <c r="I14" i="5"/>
  <c r="G9" i="72" s="1"/>
  <c r="I182" i="5"/>
  <c r="I311" i="5"/>
  <c r="F19" i="71" s="1"/>
  <c r="I62" i="5"/>
  <c r="I304" i="5"/>
  <c r="F12" i="75" s="1"/>
  <c r="I119" i="5"/>
  <c r="I861" i="5" s="1"/>
  <c r="I616" i="5"/>
  <c r="O31" i="71" s="1"/>
  <c r="I168" i="5"/>
  <c r="I471" i="5"/>
  <c r="K18" i="71" s="1"/>
  <c r="I30" i="5"/>
  <c r="G101" i="50" s="1"/>
  <c r="I527" i="5"/>
  <c r="M11" i="75" s="1"/>
  <c r="I390" i="5"/>
  <c r="I642" i="5"/>
  <c r="I383" i="5"/>
  <c r="H26" i="75" s="1"/>
  <c r="I432" i="5"/>
  <c r="J12" i="71" s="1"/>
  <c r="I484" i="5"/>
  <c r="K30" i="75" s="1"/>
  <c r="M588" i="5"/>
  <c r="AA35" i="75" s="1"/>
  <c r="E28" i="74"/>
  <c r="E45" i="70"/>
  <c r="D31" i="51"/>
  <c r="I31" i="51" s="1"/>
  <c r="J31" i="51" s="1"/>
  <c r="H709" i="5"/>
  <c r="E42" i="70"/>
  <c r="H35" i="68"/>
  <c r="E15" i="74"/>
  <c r="I470" i="5"/>
  <c r="K17" i="75" s="1"/>
  <c r="I444" i="5"/>
  <c r="J23" i="75" s="1"/>
  <c r="I345" i="5"/>
  <c r="G22" i="75" s="1"/>
  <c r="I20" i="5"/>
  <c r="G47" i="50" s="1"/>
  <c r="I409" i="5"/>
  <c r="I20" i="75" s="1"/>
  <c r="I487" i="5"/>
  <c r="I486" i="5" s="1"/>
  <c r="I541" i="5"/>
  <c r="M22" i="75" s="1"/>
  <c r="H172" i="5"/>
  <c r="I290" i="5"/>
  <c r="E29" i="71" s="1"/>
  <c r="I425" i="5"/>
  <c r="I35" i="75" s="1"/>
  <c r="H519" i="5"/>
  <c r="I593" i="5"/>
  <c r="O11" i="71" s="1"/>
  <c r="I649" i="5"/>
  <c r="I351" i="5"/>
  <c r="G28" i="71" s="1"/>
  <c r="I333" i="5"/>
  <c r="G11" i="75" s="1"/>
  <c r="I332" i="5"/>
  <c r="G10" i="71" s="1"/>
  <c r="H344" i="5"/>
  <c r="I95" i="5"/>
  <c r="G258" i="50" s="1"/>
  <c r="AB35" i="75"/>
  <c r="F120" i="70"/>
  <c r="F121" i="70" s="1"/>
  <c r="I307" i="5"/>
  <c r="F15" i="75" s="1"/>
  <c r="I348" i="5"/>
  <c r="G24" i="75" s="1"/>
  <c r="I508" i="5"/>
  <c r="L22" i="71" s="1"/>
  <c r="I473" i="5"/>
  <c r="K20" i="75" s="1"/>
  <c r="I635" i="5"/>
  <c r="I258" i="5"/>
  <c r="D27" i="75" s="1"/>
  <c r="I357" i="5"/>
  <c r="G34" i="71" s="1"/>
  <c r="U10" i="75"/>
  <c r="I300" i="5"/>
  <c r="F9" i="71" s="1"/>
  <c r="H404" i="5"/>
  <c r="I404" i="5" s="1"/>
  <c r="I239" i="5"/>
  <c r="I551" i="5"/>
  <c r="M31" i="75" s="1"/>
  <c r="I60" i="5"/>
  <c r="G199" i="50" s="1"/>
  <c r="I772" i="5"/>
  <c r="I411" i="5"/>
  <c r="I22" i="75" s="1"/>
  <c r="I252" i="5"/>
  <c r="D22" i="71" s="1"/>
  <c r="I604" i="5"/>
  <c r="O19" i="71" s="1"/>
  <c r="I554" i="5"/>
  <c r="M35" i="71" s="1"/>
  <c r="I324" i="5"/>
  <c r="F31" i="75" s="1"/>
  <c r="I594" i="5"/>
  <c r="I12" i="5"/>
  <c r="G9" i="68" s="1"/>
  <c r="F74" i="70"/>
  <c r="I392" i="5"/>
  <c r="H36" i="71" s="1"/>
  <c r="I632" i="5"/>
  <c r="I638" i="5"/>
  <c r="I460" i="5"/>
  <c r="K10" i="75" s="1"/>
  <c r="I99" i="5"/>
  <c r="I335" i="5"/>
  <c r="G12" i="71" s="1"/>
  <c r="I574" i="5"/>
  <c r="N22" i="75" s="1"/>
  <c r="F55" i="74"/>
  <c r="I5104" i="18" s="1"/>
  <c r="I67" i="5"/>
  <c r="K9" i="68" s="1"/>
  <c r="I381" i="5"/>
  <c r="H24" i="75" s="1"/>
  <c r="H639" i="5"/>
  <c r="H229" i="5"/>
  <c r="I86" i="5"/>
  <c r="G248" i="50" s="1"/>
  <c r="I449" i="5"/>
  <c r="J28" i="75" s="1"/>
  <c r="I406" i="5"/>
  <c r="I17" i="75" s="1"/>
  <c r="I417" i="5"/>
  <c r="I27" i="75" s="1"/>
  <c r="I77" i="5"/>
  <c r="K17" i="68" s="1"/>
  <c r="I296" i="5"/>
  <c r="E34" i="75" s="1"/>
  <c r="U29" i="75"/>
  <c r="AA10" i="75"/>
  <c r="M320" i="5"/>
  <c r="S27" i="75" s="1"/>
  <c r="D80" i="51"/>
  <c r="I80" i="51" s="1"/>
  <c r="J80" i="51" s="1"/>
  <c r="N3005" i="18"/>
  <c r="O3006" i="18" s="1"/>
  <c r="D63" i="47"/>
  <c r="D13" i="47"/>
  <c r="K226" i="50"/>
  <c r="D47" i="47"/>
  <c r="D80" i="47"/>
  <c r="K42" i="50"/>
  <c r="K9" i="72"/>
  <c r="F83" i="70"/>
  <c r="I518" i="5"/>
  <c r="L31" i="75" s="1"/>
  <c r="G241" i="5"/>
  <c r="I595" i="5"/>
  <c r="O12" i="71" s="1"/>
  <c r="H245" i="5"/>
  <c r="M266" i="5"/>
  <c r="Q36" i="71" s="1"/>
  <c r="M384" i="5"/>
  <c r="U27" i="75" s="1"/>
  <c r="M87" i="5"/>
  <c r="L26" i="68" s="1"/>
  <c r="K497" i="5"/>
  <c r="L606" i="5"/>
  <c r="K224" i="50"/>
  <c r="K228" i="50"/>
  <c r="H8" i="68"/>
  <c r="L40" i="68"/>
  <c r="L28" i="72"/>
  <c r="K34" i="50"/>
  <c r="K29" i="50"/>
  <c r="K46" i="50"/>
  <c r="Y11" i="71"/>
  <c r="I504" i="5"/>
  <c r="L18" i="71" s="1"/>
  <c r="I544" i="5"/>
  <c r="M24" i="75" s="1"/>
  <c r="K38" i="50"/>
  <c r="H15" i="68"/>
  <c r="K43" i="50"/>
  <c r="K39" i="50"/>
  <c r="I279" i="5"/>
  <c r="E18" i="75" s="1"/>
  <c r="I85" i="5"/>
  <c r="G242" i="50" s="1"/>
  <c r="I244" i="5"/>
  <c r="M509" i="5"/>
  <c r="Y23" i="71" s="1"/>
  <c r="L206" i="5"/>
  <c r="K410" i="5"/>
  <c r="M769" i="5"/>
  <c r="M593" i="5"/>
  <c r="M724" i="5"/>
  <c r="D63" i="51"/>
  <c r="I63" i="51" s="1"/>
  <c r="J63" i="51" s="1"/>
  <c r="K225" i="50"/>
  <c r="K5052" i="18"/>
  <c r="L5053" i="18" s="1"/>
  <c r="G58" i="50"/>
  <c r="G212" i="50"/>
  <c r="I653" i="5"/>
  <c r="F16" i="74"/>
  <c r="F73" i="70"/>
  <c r="F81" i="70"/>
  <c r="Y29" i="71"/>
  <c r="F65" i="74"/>
  <c r="I5114" i="18" s="1"/>
  <c r="F63" i="74"/>
  <c r="I5112" i="18" s="1"/>
  <c r="O29" i="71"/>
  <c r="V17" i="75"/>
  <c r="Y35" i="75"/>
  <c r="V11" i="75"/>
  <c r="U23" i="75"/>
  <c r="Q9" i="71"/>
  <c r="Y19" i="71"/>
  <c r="X32" i="71"/>
  <c r="AB12" i="75"/>
  <c r="AA22" i="71"/>
  <c r="AA19" i="71"/>
  <c r="Q24" i="75"/>
  <c r="F71" i="70"/>
  <c r="F62" i="74"/>
  <c r="I5111" i="18" s="1"/>
  <c r="F32" i="70"/>
  <c r="F21" i="70"/>
  <c r="E74" i="70"/>
  <c r="V24" i="75"/>
  <c r="E51" i="70"/>
  <c r="G331" i="50"/>
  <c r="F630" i="5"/>
  <c r="E57" i="74"/>
  <c r="H5106" i="18" s="1"/>
  <c r="K5074" i="18"/>
  <c r="L5075" i="18" s="1"/>
  <c r="E23" i="74"/>
  <c r="Y12" i="71"/>
  <c r="F46" i="70"/>
  <c r="F52" i="70"/>
  <c r="X19" i="75"/>
  <c r="E77" i="74"/>
  <c r="H5134" i="18" s="1"/>
  <c r="F78" i="70"/>
  <c r="F77" i="74"/>
  <c r="I5134" i="18" s="1"/>
  <c r="Z28" i="75"/>
  <c r="F118" i="51"/>
  <c r="F120" i="51" s="1"/>
  <c r="M709" i="5"/>
  <c r="K5923" i="18"/>
  <c r="L5924" i="18" s="1"/>
  <c r="F564" i="5"/>
  <c r="E126" i="8"/>
  <c r="F70" i="70"/>
  <c r="E53" i="74"/>
  <c r="H5102" i="18" s="1"/>
  <c r="F24" i="74"/>
  <c r="AA9" i="71"/>
  <c r="G330" i="50"/>
  <c r="J709" i="5"/>
  <c r="Q12" i="71"/>
  <c r="AA28" i="75"/>
  <c r="E31" i="70"/>
  <c r="G329" i="50"/>
  <c r="X29" i="75"/>
  <c r="M651" i="5"/>
  <c r="F29" i="74"/>
  <c r="M697" i="5"/>
  <c r="F84" i="70"/>
  <c r="J597" i="5"/>
  <c r="J622" i="5" s="1"/>
  <c r="Y24" i="71"/>
  <c r="U12" i="71"/>
  <c r="U11" i="71"/>
  <c r="V32" i="71"/>
  <c r="G305" i="5"/>
  <c r="G530" i="5"/>
  <c r="I730" i="5"/>
  <c r="I775" i="5"/>
  <c r="H633" i="5"/>
  <c r="I528" i="5"/>
  <c r="I341" i="5"/>
  <c r="G18" i="75" s="1"/>
  <c r="I451" i="5"/>
  <c r="J30" i="75" s="1"/>
  <c r="I549" i="5"/>
  <c r="M29" i="75" s="1"/>
  <c r="M261" i="5"/>
  <c r="Q30" i="75" s="1"/>
  <c r="M338" i="5"/>
  <c r="T15" i="71" s="1"/>
  <c r="M451" i="5"/>
  <c r="W30" i="75" s="1"/>
  <c r="W25" i="75" s="1"/>
  <c r="M301" i="5"/>
  <c r="S10" i="71" s="1"/>
  <c r="M237" i="5"/>
  <c r="Q10" i="71" s="1"/>
  <c r="M257" i="5"/>
  <c r="Q27" i="71" s="1"/>
  <c r="V31" i="71"/>
  <c r="V30" i="75"/>
  <c r="Q18" i="71"/>
  <c r="Q18" i="75"/>
  <c r="Y22" i="71"/>
  <c r="Y22" i="75"/>
  <c r="G49" i="50"/>
  <c r="H221" i="5"/>
  <c r="I760" i="5"/>
  <c r="I764" i="5" s="1"/>
  <c r="I830" i="5" s="1"/>
  <c r="F59" i="74"/>
  <c r="I5108" i="18" s="1"/>
  <c r="V27" i="75"/>
  <c r="F60" i="74"/>
  <c r="I5109" i="18" s="1"/>
  <c r="AA24" i="71"/>
  <c r="G372" i="5"/>
  <c r="I285" i="5"/>
  <c r="E23" i="75" s="1"/>
  <c r="I45" i="5"/>
  <c r="K2496" i="18" s="1"/>
  <c r="L2497" i="18" s="1"/>
  <c r="U34" i="75"/>
  <c r="M285" i="5"/>
  <c r="R23" i="75" s="1"/>
  <c r="M493" i="5"/>
  <c r="Y10" i="71" s="1"/>
  <c r="M317" i="5"/>
  <c r="S25" i="71" s="1"/>
  <c r="L639" i="5"/>
  <c r="M592" i="5"/>
  <c r="AB10" i="71" s="1"/>
  <c r="F29" i="73"/>
  <c r="N3915" i="18"/>
  <c r="O3916" i="18" s="1"/>
  <c r="G55" i="50"/>
  <c r="I141" i="5"/>
  <c r="K4632" i="18" s="1"/>
  <c r="L4633" i="18" s="1"/>
  <c r="I363" i="5"/>
  <c r="I151" i="5"/>
  <c r="I431" i="5"/>
  <c r="M137" i="5"/>
  <c r="F17" i="69" s="1"/>
  <c r="L172" i="5"/>
  <c r="K573" i="5"/>
  <c r="N4957" i="18"/>
  <c r="O4966" i="18" s="1"/>
  <c r="K325" i="50"/>
  <c r="AB29" i="75"/>
  <c r="E61" i="74"/>
  <c r="H5110" i="18" s="1"/>
  <c r="E78" i="70"/>
  <c r="K6136" i="18"/>
  <c r="L6137" i="18" s="1"/>
  <c r="G52" i="50"/>
  <c r="F40" i="74"/>
  <c r="I370" i="5"/>
  <c r="E84" i="70"/>
  <c r="G56" i="50"/>
  <c r="G16" i="68"/>
  <c r="G410" i="5"/>
  <c r="K6241" i="18"/>
  <c r="L6242" i="18" s="1"/>
  <c r="V19" i="71"/>
  <c r="Q20" i="71"/>
  <c r="I115" i="5"/>
  <c r="I845" i="5" s="1"/>
  <c r="I598" i="5"/>
  <c r="I271" i="5"/>
  <c r="E11" i="75" s="1"/>
  <c r="H287" i="5"/>
  <c r="I118" i="5"/>
  <c r="I857" i="5" s="1"/>
  <c r="I379" i="5"/>
  <c r="H23" i="71" s="1"/>
  <c r="I481" i="5"/>
  <c r="K27" i="75" s="1"/>
  <c r="AA31" i="75"/>
  <c r="M402" i="5"/>
  <c r="M144" i="5"/>
  <c r="N4724" i="18" s="1"/>
  <c r="M143" i="5"/>
  <c r="K310" i="50" s="1"/>
  <c r="M647" i="5"/>
  <c r="D119" i="47"/>
  <c r="L28" i="68"/>
  <c r="I359" i="5"/>
  <c r="G35" i="75" s="1"/>
  <c r="I729" i="5"/>
  <c r="I293" i="5"/>
  <c r="E31" i="75" s="1"/>
  <c r="I517" i="5"/>
  <c r="L31" i="71" s="1"/>
  <c r="I391" i="5"/>
  <c r="H34" i="75" s="1"/>
  <c r="I483" i="5"/>
  <c r="K29" i="75" s="1"/>
  <c r="I466" i="5"/>
  <c r="I495" i="5"/>
  <c r="I628" i="5"/>
  <c r="I149" i="5"/>
  <c r="F109" i="47" s="1"/>
  <c r="K127" i="50"/>
  <c r="N1946" i="18"/>
  <c r="O1947" i="18" s="1"/>
  <c r="D31" i="47"/>
  <c r="M14" i="5"/>
  <c r="D14" i="51" s="1"/>
  <c r="I482" i="5"/>
  <c r="K29" i="71" s="1"/>
  <c r="H563" i="5"/>
  <c r="I543" i="5"/>
  <c r="M23" i="75" s="1"/>
  <c r="I555" i="5"/>
  <c r="M36" i="71" s="1"/>
  <c r="I173" i="5"/>
  <c r="E48" i="69" s="1"/>
  <c r="I461" i="5"/>
  <c r="K11" i="75" s="1"/>
  <c r="I176" i="5"/>
  <c r="E38" i="73" s="1"/>
  <c r="I459" i="5"/>
  <c r="K9" i="71" s="1"/>
  <c r="I378" i="5"/>
  <c r="H22" i="71" s="1"/>
  <c r="I522" i="5"/>
  <c r="L35" i="75" s="1"/>
  <c r="I276" i="5"/>
  <c r="E15" i="75" s="1"/>
  <c r="I273" i="5"/>
  <c r="E12" i="75" s="1"/>
  <c r="M259" i="5"/>
  <c r="Q29" i="71" s="1"/>
  <c r="L225" i="5"/>
  <c r="M514" i="5"/>
  <c r="Y28" i="71" s="1"/>
  <c r="L16" i="68"/>
  <c r="L14" i="72"/>
  <c r="K229" i="50"/>
  <c r="I342" i="5"/>
  <c r="G19" i="71" s="1"/>
  <c r="I248" i="5"/>
  <c r="D18" i="75" s="1"/>
  <c r="H246" i="5"/>
  <c r="I338" i="5"/>
  <c r="G15" i="71" s="1"/>
  <c r="H339" i="5"/>
  <c r="H611" i="5"/>
  <c r="I388" i="5"/>
  <c r="H32" i="71" s="1"/>
  <c r="I475" i="5"/>
  <c r="K22" i="71" s="1"/>
  <c r="I376" i="5"/>
  <c r="H20" i="75" s="1"/>
  <c r="G251" i="5"/>
  <c r="H578" i="5"/>
  <c r="I720" i="5"/>
  <c r="I238" i="5"/>
  <c r="D11" i="75" s="1"/>
  <c r="G552" i="5"/>
  <c r="H282" i="5"/>
  <c r="H263" i="5"/>
  <c r="H372" i="5"/>
  <c r="I582" i="5"/>
  <c r="N30" i="71" s="1"/>
  <c r="I605" i="5"/>
  <c r="O20" i="75" s="1"/>
  <c r="I725" i="5"/>
  <c r="I559" i="5"/>
  <c r="N10" i="71" s="1"/>
  <c r="H585" i="5"/>
  <c r="I428" i="5"/>
  <c r="J9" i="75" s="1"/>
  <c r="I386" i="5"/>
  <c r="H29" i="75" s="1"/>
  <c r="I553" i="5"/>
  <c r="M34" i="71" s="1"/>
  <c r="G371" i="5"/>
  <c r="I371" i="5" s="1"/>
  <c r="H15" i="75" s="1"/>
  <c r="I280" i="5"/>
  <c r="E19" i="75" s="1"/>
  <c r="I600" i="5"/>
  <c r="O15" i="71" s="1"/>
  <c r="G211" i="5"/>
  <c r="I240" i="5"/>
  <c r="D12" i="71" s="1"/>
  <c r="M467" i="5"/>
  <c r="M572" i="5"/>
  <c r="M484" i="5"/>
  <c r="M73" i="5"/>
  <c r="D61" i="47" s="1"/>
  <c r="M385" i="5"/>
  <c r="U28" i="75" s="1"/>
  <c r="M186" i="5"/>
  <c r="F47" i="73" s="1"/>
  <c r="H178" i="5"/>
  <c r="H171" i="5" s="1"/>
  <c r="H170" i="5" s="1"/>
  <c r="I82" i="5"/>
  <c r="G236" i="50" s="1"/>
  <c r="M57" i="5"/>
  <c r="D48" i="47" s="1"/>
  <c r="L216" i="5"/>
  <c r="M632" i="5"/>
  <c r="M625" i="5"/>
  <c r="L305" i="5"/>
  <c r="M46" i="5"/>
  <c r="D38" i="47" s="1"/>
  <c r="M113" i="5"/>
  <c r="M837" i="5" s="1"/>
  <c r="M184" i="5"/>
  <c r="F44" i="73" s="1"/>
  <c r="M25" i="5"/>
  <c r="H21" i="68" s="1"/>
  <c r="M48" i="5"/>
  <c r="N2638" i="18" s="1"/>
  <c r="O2639" i="18" s="1"/>
  <c r="M609" i="5"/>
  <c r="AB23" i="75" s="1"/>
  <c r="K446" i="5"/>
  <c r="M175" i="5"/>
  <c r="F50" i="69" s="1"/>
  <c r="L178" i="5"/>
  <c r="I283" i="5"/>
  <c r="E22" i="71" s="1"/>
  <c r="G313" i="5"/>
  <c r="I503" i="5"/>
  <c r="L17" i="71" s="1"/>
  <c r="I525" i="5"/>
  <c r="M9" i="71" s="1"/>
  <c r="M461" i="5"/>
  <c r="X11" i="75" s="1"/>
  <c r="M56" i="5"/>
  <c r="L446" i="5"/>
  <c r="M85" i="5"/>
  <c r="L19" i="72" s="1"/>
  <c r="I1008" i="18"/>
  <c r="I1009" i="18" s="1"/>
  <c r="I1010" i="18" s="1"/>
  <c r="K1011" i="18" s="1"/>
  <c r="L1011" i="18" s="1"/>
  <c r="O5378" i="18"/>
  <c r="P5378" i="18" s="1"/>
  <c r="P5384" i="18" s="1"/>
  <c r="L1320" i="18"/>
  <c r="L1322" i="18" s="1"/>
  <c r="L1323" i="18" s="1"/>
  <c r="K1324" i="18" s="1"/>
  <c r="L1324" i="18" s="1"/>
  <c r="N988" i="18"/>
  <c r="D3027" i="18"/>
  <c r="D3019" i="18"/>
  <c r="D3025" i="18"/>
  <c r="D3028" i="18"/>
  <c r="D3018" i="18"/>
  <c r="D3012" i="18"/>
  <c r="D3011" i="18"/>
  <c r="D3009" i="18"/>
  <c r="D3022" i="18"/>
  <c r="D3031" i="18"/>
  <c r="D3033" i="18"/>
  <c r="D3038" i="18"/>
  <c r="D3020" i="18"/>
  <c r="Q3471" i="18"/>
  <c r="K3471" i="18"/>
  <c r="Q4118" i="18"/>
  <c r="K4118" i="18"/>
  <c r="K956" i="18"/>
  <c r="Q956" i="18"/>
  <c r="K3916" i="18"/>
  <c r="Q3916" i="18"/>
  <c r="D2575" i="18"/>
  <c r="D2565" i="18"/>
  <c r="D2581" i="18"/>
  <c r="D2586" i="18"/>
  <c r="D2579" i="18"/>
  <c r="D2560" i="18"/>
  <c r="D2584" i="18"/>
  <c r="D2569" i="18"/>
  <c r="D2561" i="18"/>
  <c r="D2577" i="18"/>
  <c r="D2570" i="18"/>
  <c r="D2571" i="18"/>
  <c r="D2591" i="18"/>
  <c r="D2594" i="18"/>
  <c r="D2580" i="18"/>
  <c r="D2563" i="18"/>
  <c r="D2566" i="18"/>
  <c r="D2562" i="18"/>
  <c r="D2567" i="18"/>
  <c r="D2574" i="18"/>
  <c r="D2590" i="18"/>
  <c r="D2589" i="18"/>
  <c r="D2564" i="18"/>
  <c r="D2587" i="18"/>
  <c r="D2576" i="18"/>
  <c r="N5333" i="18"/>
  <c r="O5333" i="18" s="1"/>
  <c r="O5335" i="18" s="1"/>
  <c r="I3851" i="18"/>
  <c r="K3979" i="18"/>
  <c r="Q3991" i="18"/>
  <c r="Q1764" i="18"/>
  <c r="K1764" i="18"/>
  <c r="K4799" i="18"/>
  <c r="Q4799" i="18"/>
  <c r="Q5064" i="18"/>
  <c r="K5064" i="18"/>
  <c r="L5064" i="18" s="1"/>
  <c r="K2877" i="18"/>
  <c r="H2892" i="18"/>
  <c r="H2893" i="18" s="1"/>
  <c r="H2894" i="18" s="1"/>
  <c r="K2895" i="18" s="1"/>
  <c r="L2895" i="18" s="1"/>
  <c r="N944" i="18"/>
  <c r="K944" i="18"/>
  <c r="K4051" i="18"/>
  <c r="Q4051" i="18"/>
  <c r="K1557" i="18"/>
  <c r="Q1557" i="18"/>
  <c r="K3801" i="18"/>
  <c r="Q3801" i="18"/>
  <c r="N5086" i="18"/>
  <c r="Q5086" i="18"/>
  <c r="N4966" i="18"/>
  <c r="I4939" i="18"/>
  <c r="I4940" i="18" s="1"/>
  <c r="I4941" i="18" s="1"/>
  <c r="N4927" i="18"/>
  <c r="N4877" i="18"/>
  <c r="Q4877" i="18"/>
  <c r="N4694" i="18"/>
  <c r="Q4694" i="18"/>
  <c r="N4633" i="18"/>
  <c r="Q4633" i="18"/>
  <c r="Q3432" i="18"/>
  <c r="N3432" i="18"/>
  <c r="D2355" i="18"/>
  <c r="D3010" i="18"/>
  <c r="D3037" i="18"/>
  <c r="D3034" i="18"/>
  <c r="D2596" i="18"/>
  <c r="D3029" i="18"/>
  <c r="Q3979" i="18"/>
  <c r="L3991" i="18"/>
  <c r="N3979" i="18"/>
  <c r="I3852" i="18"/>
  <c r="I3853" i="18" s="1"/>
  <c r="K3854" i="18" s="1"/>
  <c r="L3854" i="18" s="1"/>
  <c r="Q3992" i="18"/>
  <c r="Q3993" i="18" s="1"/>
  <c r="K3628" i="18"/>
  <c r="K4927" i="18"/>
  <c r="Q4927" i="18"/>
  <c r="H4939" i="18"/>
  <c r="H4940" i="18" s="1"/>
  <c r="H4941" i="18" s="1"/>
  <c r="K4942" i="18" s="1"/>
  <c r="L4942" i="18" s="1"/>
  <c r="Q3818" i="18"/>
  <c r="K3818" i="18"/>
  <c r="K4261" i="18"/>
  <c r="Q4261" i="18"/>
  <c r="K2118" i="18"/>
  <c r="N2132" i="18"/>
  <c r="D2362" i="18"/>
  <c r="D2360" i="18"/>
  <c r="D2361" i="18"/>
  <c r="D2364" i="18"/>
  <c r="D2359" i="18"/>
  <c r="D2358" i="18"/>
  <c r="D2357" i="18"/>
  <c r="D2354" i="18"/>
  <c r="D2356" i="18"/>
  <c r="D2363" i="18"/>
  <c r="D3013" i="18"/>
  <c r="D3016" i="18"/>
  <c r="L3992" i="18"/>
  <c r="L3993" i="18" s="1"/>
  <c r="N2133" i="18"/>
  <c r="N2134" i="18" s="1"/>
  <c r="K2135" i="18" s="1"/>
  <c r="L2135" i="18" s="1"/>
  <c r="P2701" i="18"/>
  <c r="P2702" i="18" s="1"/>
  <c r="Q3829" i="18"/>
  <c r="D2595" i="18"/>
  <c r="K3319" i="18"/>
  <c r="Q3319" i="18"/>
  <c r="K4351" i="18"/>
  <c r="Q4351" i="18"/>
  <c r="D3036" i="18"/>
  <c r="K90" i="18"/>
  <c r="Q90" i="18"/>
  <c r="N4958" i="18"/>
  <c r="Q4958" i="18"/>
  <c r="N4663" i="18"/>
  <c r="Q4663" i="18"/>
  <c r="N5053" i="18"/>
  <c r="Q5053" i="18"/>
  <c r="Q4147" i="18"/>
  <c r="N4147" i="18"/>
  <c r="D1940" i="18"/>
  <c r="D1942" i="18"/>
  <c r="D1941" i="18"/>
  <c r="D1934" i="18"/>
  <c r="D1937" i="18"/>
  <c r="D1932" i="18"/>
  <c r="D1938" i="18"/>
  <c r="D1936" i="18"/>
  <c r="D1935" i="18"/>
  <c r="M7" i="18" s="1"/>
  <c r="D1939" i="18"/>
  <c r="D3030" i="18"/>
  <c r="D1933" i="18"/>
  <c r="D2007" i="18"/>
  <c r="D2004" i="18"/>
  <c r="D2011" i="18"/>
  <c r="D2008" i="18"/>
  <c r="D2005" i="18"/>
  <c r="D2006" i="18"/>
  <c r="D2009" i="18"/>
  <c r="D2585" i="18"/>
  <c r="D3039" i="18"/>
  <c r="Q4269" i="18"/>
  <c r="N5346" i="18"/>
  <c r="O5346" i="18" s="1"/>
  <c r="O5352" i="18" s="1"/>
  <c r="Q3856" i="18"/>
  <c r="K3856" i="18"/>
  <c r="K871" i="18"/>
  <c r="Q871" i="18"/>
  <c r="K4945" i="18"/>
  <c r="Q4945" i="18"/>
  <c r="K4914" i="18"/>
  <c r="Q4914" i="18"/>
  <c r="K3409" i="18"/>
  <c r="Q3409" i="18"/>
  <c r="K10" i="18"/>
  <c r="Q10" i="18"/>
  <c r="Q3558" i="18"/>
  <c r="K3558" i="18"/>
  <c r="K1812" i="18"/>
  <c r="Q1812" i="18"/>
  <c r="D2593" i="18"/>
  <c r="D2573" i="18"/>
  <c r="K1790" i="18"/>
  <c r="Q1790" i="18"/>
  <c r="K3927" i="18"/>
  <c r="Q3927" i="18"/>
  <c r="K109" i="18"/>
  <c r="Q109" i="18"/>
  <c r="N5037" i="18"/>
  <c r="Q5037" i="18"/>
  <c r="N5075" i="18"/>
  <c r="Q5075" i="18"/>
  <c r="N5021" i="18"/>
  <c r="Q5021" i="18"/>
  <c r="O5064" i="18"/>
  <c r="D2144" i="18"/>
  <c r="D2142" i="18"/>
  <c r="D2147" i="18"/>
  <c r="D2149" i="18"/>
  <c r="D2154" i="18"/>
  <c r="D2148" i="18"/>
  <c r="D2146" i="18"/>
  <c r="D2151" i="18"/>
  <c r="D2152" i="18"/>
  <c r="D2150" i="18"/>
  <c r="D2145" i="18"/>
  <c r="D3024" i="18"/>
  <c r="D3021" i="18"/>
  <c r="D2612" i="18"/>
  <c r="D2614" i="18"/>
  <c r="D2611" i="18"/>
  <c r="D2605" i="18"/>
  <c r="D2613" i="18"/>
  <c r="D2608" i="18"/>
  <c r="D2606" i="18"/>
  <c r="D2607" i="18"/>
  <c r="D2609" i="18"/>
  <c r="D2604" i="18"/>
  <c r="D2602" i="18"/>
  <c r="D2603" i="18"/>
  <c r="D3015" i="18"/>
  <c r="L4516" i="18"/>
  <c r="Q4498" i="18"/>
  <c r="K466" i="18"/>
  <c r="L466" i="18" s="1"/>
  <c r="K212" i="18"/>
  <c r="L212" i="18" s="1"/>
  <c r="I4132" i="18"/>
  <c r="I4133" i="18" s="1"/>
  <c r="Q3657" i="18"/>
  <c r="J3626" i="18"/>
  <c r="K3621" i="18"/>
  <c r="H3652" i="18"/>
  <c r="H3653" i="18" s="1"/>
  <c r="H3654" i="18" s="1"/>
  <c r="Q3628" i="18"/>
  <c r="K2703" i="18"/>
  <c r="L2703" i="18" s="1"/>
  <c r="K557" i="18"/>
  <c r="L557" i="18" s="1"/>
  <c r="K1346" i="18"/>
  <c r="L1346" i="18" s="1"/>
  <c r="Z30" i="75"/>
  <c r="AA30" i="75"/>
  <c r="AA31" i="71"/>
  <c r="I617" i="5"/>
  <c r="O32" i="71" s="1"/>
  <c r="Y18" i="71"/>
  <c r="Y18" i="75"/>
  <c r="Q11" i="75"/>
  <c r="Q11" i="71"/>
  <c r="G263" i="50"/>
  <c r="G266" i="50"/>
  <c r="H479" i="5"/>
  <c r="H552" i="5"/>
  <c r="M246" i="5"/>
  <c r="F76" i="74"/>
  <c r="I5133" i="18" s="1"/>
  <c r="V24" i="71"/>
  <c r="F52" i="74"/>
  <c r="I5101" i="18" s="1"/>
  <c r="I369" i="5"/>
  <c r="M53" i="5"/>
  <c r="K185" i="50" s="1"/>
  <c r="M369" i="5"/>
  <c r="K371" i="5"/>
  <c r="M371" i="5" s="1"/>
  <c r="U15" i="71" s="1"/>
  <c r="K203" i="5"/>
  <c r="K578" i="5"/>
  <c r="M579" i="5"/>
  <c r="K502" i="5"/>
  <c r="M503" i="5"/>
  <c r="L35" i="5"/>
  <c r="K245" i="5"/>
  <c r="M243" i="5"/>
  <c r="E55" i="70"/>
  <c r="E38" i="74"/>
  <c r="K5085" i="18"/>
  <c r="L5086" i="18" s="1"/>
  <c r="U31" i="71"/>
  <c r="U30" i="75"/>
  <c r="D37" i="47"/>
  <c r="H40" i="68"/>
  <c r="N2496" i="18"/>
  <c r="O2497" i="18" s="1"/>
  <c r="H31" i="72"/>
  <c r="D37" i="51"/>
  <c r="I37" i="51" s="1"/>
  <c r="J37" i="51" s="1"/>
  <c r="K159" i="50"/>
  <c r="I621" i="5"/>
  <c r="G264" i="50"/>
  <c r="F77" i="47"/>
  <c r="I373" i="5"/>
  <c r="Q17" i="75"/>
  <c r="Y31" i="71"/>
  <c r="G178" i="5"/>
  <c r="I366" i="5"/>
  <c r="H12" i="75" s="1"/>
  <c r="G633" i="5"/>
  <c r="G453" i="5"/>
  <c r="I255" i="5"/>
  <c r="D24" i="75" s="1"/>
  <c r="H497" i="5"/>
  <c r="I547" i="5"/>
  <c r="M27" i="75" s="1"/>
  <c r="I587" i="5"/>
  <c r="N35" i="71" s="1"/>
  <c r="K294" i="5"/>
  <c r="M295" i="5"/>
  <c r="R33" i="75" s="1"/>
  <c r="K344" i="5"/>
  <c r="M346" i="5"/>
  <c r="T23" i="71" s="1"/>
  <c r="M775" i="5"/>
  <c r="L158" i="5"/>
  <c r="L161" i="5" s="1"/>
  <c r="L163" i="5" s="1"/>
  <c r="L565" i="5" s="1"/>
  <c r="L210" i="5" s="1"/>
  <c r="K214" i="5"/>
  <c r="L644" i="5"/>
  <c r="M60" i="5"/>
  <c r="H41" i="72" s="1"/>
  <c r="M460" i="5"/>
  <c r="X10" i="75" s="1"/>
  <c r="L308" i="5"/>
  <c r="M473" i="5"/>
  <c r="X20" i="75" s="1"/>
  <c r="M153" i="5"/>
  <c r="D110" i="51" s="1"/>
  <c r="I110" i="51" s="1"/>
  <c r="J110" i="51" s="1"/>
  <c r="AB27" i="75"/>
  <c r="G205" i="5"/>
  <c r="E28" i="71"/>
  <c r="I612" i="5"/>
  <c r="O26" i="75" s="1"/>
  <c r="I403" i="5"/>
  <c r="I286" i="5"/>
  <c r="I624" i="5"/>
  <c r="I184" i="5"/>
  <c r="E57" i="69" s="1"/>
  <c r="I261" i="5"/>
  <c r="D30" i="75" s="1"/>
  <c r="I38" i="5"/>
  <c r="G34" i="68" s="1"/>
  <c r="I260" i="5"/>
  <c r="D29" i="75" s="1"/>
  <c r="I44" i="5"/>
  <c r="G158" i="50" s="1"/>
  <c r="G446" i="5"/>
  <c r="H464" i="5"/>
  <c r="H507" i="5"/>
  <c r="I152" i="5"/>
  <c r="E32" i="69" s="1"/>
  <c r="G220" i="5"/>
  <c r="I292" i="5"/>
  <c r="E31" i="71" s="1"/>
  <c r="I340" i="5"/>
  <c r="G17" i="71" s="1"/>
  <c r="I442" i="5"/>
  <c r="I19" i="5"/>
  <c r="G29" i="50" s="1"/>
  <c r="I380" i="5"/>
  <c r="H23" i="75" s="1"/>
  <c r="H227" i="5"/>
  <c r="H512" i="5"/>
  <c r="H433" i="5"/>
  <c r="I510" i="5"/>
  <c r="G216" i="5"/>
  <c r="G389" i="5"/>
  <c r="G382" i="5"/>
  <c r="I561" i="5"/>
  <c r="I385" i="5"/>
  <c r="H28" i="75" s="1"/>
  <c r="I39" i="5"/>
  <c r="G26" i="72" s="1"/>
  <c r="V29" i="71"/>
  <c r="V28" i="75"/>
  <c r="M95" i="5"/>
  <c r="K258" i="50" s="1"/>
  <c r="Z27" i="75"/>
  <c r="AA27" i="75"/>
  <c r="K241" i="5"/>
  <c r="M150" i="5"/>
  <c r="F18" i="73" s="1"/>
  <c r="K601" i="5"/>
  <c r="M34" i="5"/>
  <c r="K10" i="50"/>
  <c r="H8" i="72"/>
  <c r="N9" i="18"/>
  <c r="H46" i="68"/>
  <c r="D47" i="51"/>
  <c r="I47" i="51" s="1"/>
  <c r="J47" i="51" s="1"/>
  <c r="E38" i="70"/>
  <c r="E22" i="74"/>
  <c r="F531" i="5"/>
  <c r="F556" i="5" s="1"/>
  <c r="F866" i="5" s="1"/>
  <c r="F867" i="5" s="1"/>
  <c r="F868" i="5" s="1"/>
  <c r="I463" i="5"/>
  <c r="K12" i="71" s="1"/>
  <c r="I774" i="5"/>
  <c r="I328" i="5"/>
  <c r="F35" i="75" s="1"/>
  <c r="I297" i="5"/>
  <c r="E35" i="75" s="1"/>
  <c r="H318" i="5"/>
  <c r="I278" i="5"/>
  <c r="E17" i="75" s="1"/>
  <c r="I130" i="5"/>
  <c r="E10" i="69" s="1"/>
  <c r="G501" i="5"/>
  <c r="I75" i="5"/>
  <c r="I40" i="5"/>
  <c r="G27" i="72" s="1"/>
  <c r="M119" i="5"/>
  <c r="M861" i="5" s="1"/>
  <c r="M58" i="5"/>
  <c r="M42" i="5"/>
  <c r="K155" i="50" s="1"/>
  <c r="M359" i="5"/>
  <c r="T35" i="75" s="1"/>
  <c r="M347" i="5"/>
  <c r="T24" i="71" s="1"/>
  <c r="M107" i="5"/>
  <c r="M296" i="5"/>
  <c r="R34" i="75" s="1"/>
  <c r="F11" i="74"/>
  <c r="M152" i="5"/>
  <c r="F32" i="69" s="1"/>
  <c r="I88" i="5"/>
  <c r="K27" i="68" s="1"/>
  <c r="I771" i="5"/>
  <c r="I354" i="5"/>
  <c r="G31" i="71" s="1"/>
  <c r="H377" i="5"/>
  <c r="M273" i="5"/>
  <c r="R12" i="75" s="1"/>
  <c r="M770" i="5"/>
  <c r="L578" i="5"/>
  <c r="L318" i="5"/>
  <c r="F64" i="69"/>
  <c r="F51" i="73"/>
  <c r="D69" i="51"/>
  <c r="I69" i="51" s="1"/>
  <c r="J69" i="51" s="1"/>
  <c r="K250" i="50"/>
  <c r="D69" i="47"/>
  <c r="K2645" i="18"/>
  <c r="K1489" i="18"/>
  <c r="L1489" i="18" s="1"/>
  <c r="K599" i="18"/>
  <c r="L599" i="18" s="1"/>
  <c r="T10" i="71"/>
  <c r="T19" i="71"/>
  <c r="R29" i="71"/>
  <c r="R24" i="75"/>
  <c r="R19" i="71"/>
  <c r="K533" i="18"/>
  <c r="L533" i="18" s="1"/>
  <c r="K1385" i="18"/>
  <c r="L1385" i="18" s="1"/>
  <c r="S34" i="75"/>
  <c r="K2291" i="18"/>
  <c r="L2291" i="18" s="1"/>
  <c r="L2645" i="18"/>
  <c r="K1407" i="18"/>
  <c r="L1407" i="18" s="1"/>
  <c r="R20" i="71"/>
  <c r="S12" i="75"/>
  <c r="W10" i="71"/>
  <c r="T27" i="75"/>
  <c r="W18" i="75"/>
  <c r="W25" i="71"/>
  <c r="K4536" i="18"/>
  <c r="K4537" i="18" s="1"/>
  <c r="H3677" i="18"/>
  <c r="H3678" i="18" s="1"/>
  <c r="K2313" i="18"/>
  <c r="L2313" i="18" s="1"/>
  <c r="T12" i="75"/>
  <c r="R32" i="71"/>
  <c r="W30" i="71"/>
  <c r="K3556" i="18"/>
  <c r="L3556" i="18" s="1"/>
  <c r="K2827" i="18"/>
  <c r="L3935" i="18"/>
  <c r="K1099" i="18"/>
  <c r="L1099" i="18" s="1"/>
  <c r="K3469" i="18"/>
  <c r="L3469" i="18" s="1"/>
  <c r="K3677" i="18"/>
  <c r="K3678" i="18" s="1"/>
  <c r="K17" i="18"/>
  <c r="L1034" i="18"/>
  <c r="N1860" i="18"/>
  <c r="K398" i="18"/>
  <c r="L398" i="18" s="1"/>
  <c r="N1034" i="18"/>
  <c r="J811" i="5"/>
  <c r="J812" i="5" s="1"/>
  <c r="K1275" i="18"/>
  <c r="L1275" i="18" s="1"/>
  <c r="K1187" i="18"/>
  <c r="L1187" i="18" s="1"/>
  <c r="K3935" i="18"/>
  <c r="K1797" i="18"/>
  <c r="W28" i="71"/>
  <c r="K1867" i="18"/>
  <c r="L1867" i="18" s="1"/>
  <c r="K190" i="18"/>
  <c r="L190" i="18" s="1"/>
  <c r="L2070" i="18"/>
  <c r="K1165" i="18"/>
  <c r="L1165" i="18" s="1"/>
  <c r="K271" i="18"/>
  <c r="L271" i="18" s="1"/>
  <c r="K446" i="18"/>
  <c r="L446" i="18" s="1"/>
  <c r="K1077" i="18"/>
  <c r="L1077" i="18" s="1"/>
  <c r="K1447" i="18"/>
  <c r="L1447" i="18" s="1"/>
  <c r="M2225" i="18"/>
  <c r="P856" i="18"/>
  <c r="T11" i="75"/>
  <c r="J4536" i="18"/>
  <c r="J4537" i="18" s="1"/>
  <c r="K354" i="18"/>
  <c r="L354" i="18" s="1"/>
  <c r="K1041" i="18"/>
  <c r="L1041" i="18" s="1"/>
  <c r="K1714" i="18"/>
  <c r="L1714" i="18" s="1"/>
  <c r="K2429" i="18"/>
  <c r="L2429" i="18" s="1"/>
  <c r="K941" i="18"/>
  <c r="H4132" i="18"/>
  <c r="H4133" i="18" s="1"/>
  <c r="W34" i="75"/>
  <c r="K4561" i="18"/>
  <c r="L4561" i="18" s="1"/>
  <c r="J3677" i="18"/>
  <c r="J3678" i="18" s="1"/>
  <c r="K2347" i="18"/>
  <c r="L2347" i="18" s="1"/>
  <c r="K1426" i="18"/>
  <c r="L1426" i="18" s="1"/>
  <c r="L2225" i="18"/>
  <c r="K3303" i="18"/>
  <c r="L3303" i="18" s="1"/>
  <c r="H4536" i="18"/>
  <c r="H4537" i="18" s="1"/>
  <c r="L17" i="18"/>
  <c r="M4874" i="18"/>
  <c r="P5368" i="18"/>
  <c r="K1253" i="18"/>
  <c r="L1253" i="18" s="1"/>
  <c r="H4794" i="18"/>
  <c r="H4795" i="18" s="1"/>
  <c r="K4796" i="18" s="1"/>
  <c r="L4796" i="18" s="1"/>
  <c r="R36" i="71"/>
  <c r="S32" i="71"/>
  <c r="T25" i="71"/>
  <c r="S29" i="71"/>
  <c r="L2827" i="18"/>
  <c r="N2225" i="18"/>
  <c r="K1697" i="18"/>
  <c r="L1697" i="18" s="1"/>
  <c r="K2461" i="18"/>
  <c r="L2461" i="18" s="1"/>
  <c r="M1860" i="18"/>
  <c r="K234" i="18"/>
  <c r="L234" i="18" s="1"/>
  <c r="K2232" i="18"/>
  <c r="L2232" i="18" s="1"/>
  <c r="L941" i="18"/>
  <c r="L3767" i="18"/>
  <c r="K3767" i="18"/>
  <c r="W29" i="71"/>
  <c r="R9" i="71"/>
  <c r="R30" i="71"/>
  <c r="S24" i="71"/>
  <c r="T34" i="71"/>
  <c r="P1653" i="18"/>
  <c r="L1797" i="18"/>
  <c r="S29" i="75"/>
  <c r="S19" i="75"/>
  <c r="W22" i="71"/>
  <c r="S31" i="71"/>
  <c r="O1653" i="18"/>
  <c r="K1925" i="18"/>
  <c r="L1925" i="18" s="1"/>
  <c r="T30" i="75"/>
  <c r="F807" i="5"/>
  <c r="F808" i="5" s="1"/>
  <c r="T30" i="71"/>
  <c r="S9" i="71"/>
  <c r="T18" i="71"/>
  <c r="W12" i="75"/>
  <c r="S20" i="71"/>
  <c r="T22" i="71"/>
  <c r="S36" i="71"/>
  <c r="T29" i="71"/>
  <c r="W32" i="71"/>
  <c r="W36" i="71"/>
  <c r="R28" i="71"/>
  <c r="W19" i="71"/>
  <c r="R22" i="71"/>
  <c r="W20" i="71"/>
  <c r="R27" i="75"/>
  <c r="R30" i="75"/>
  <c r="Z24" i="75"/>
  <c r="AA25" i="71"/>
  <c r="AA24" i="75"/>
  <c r="M573" i="5"/>
  <c r="L410" i="5"/>
  <c r="M412" i="5"/>
  <c r="V23" i="71" s="1"/>
  <c r="U17" i="75"/>
  <c r="K92" i="5"/>
  <c r="M66" i="5"/>
  <c r="K208" i="50" s="1"/>
  <c r="K339" i="5"/>
  <c r="M343" i="5"/>
  <c r="U32" i="71"/>
  <c r="U31" i="75"/>
  <c r="L400" i="5"/>
  <c r="M395" i="5"/>
  <c r="M543" i="5"/>
  <c r="Z24" i="71" s="1"/>
  <c r="L540" i="5"/>
  <c r="L222" i="5"/>
  <c r="L220" i="5"/>
  <c r="M253" i="5"/>
  <c r="Q23" i="71" s="1"/>
  <c r="M614" i="5"/>
  <c r="AB28" i="75" s="1"/>
  <c r="K611" i="5"/>
  <c r="K633" i="5"/>
  <c r="M276" i="5"/>
  <c r="L325" i="5"/>
  <c r="M326" i="5"/>
  <c r="L229" i="5"/>
  <c r="M303" i="5"/>
  <c r="K305" i="5"/>
  <c r="V20" i="71"/>
  <c r="V20" i="75"/>
  <c r="M462" i="5"/>
  <c r="K206" i="5"/>
  <c r="M650" i="5"/>
  <c r="K229" i="5"/>
  <c r="M476" i="5"/>
  <c r="X23" i="71" s="1"/>
  <c r="K220" i="5"/>
  <c r="X12" i="75"/>
  <c r="X12" i="71"/>
  <c r="R10" i="75"/>
  <c r="R10" i="71"/>
  <c r="L568" i="5"/>
  <c r="M569" i="5"/>
  <c r="L415" i="5"/>
  <c r="M416" i="5"/>
  <c r="K225" i="5"/>
  <c r="M258" i="5"/>
  <c r="K318" i="5"/>
  <c r="M319" i="5"/>
  <c r="L92" i="5"/>
  <c r="K585" i="5"/>
  <c r="M586" i="5"/>
  <c r="M585" i="5" s="1"/>
  <c r="L232" i="5"/>
  <c r="M265" i="5"/>
  <c r="M263" i="5" s="1"/>
  <c r="K422" i="5"/>
  <c r="K415" i="5" s="1"/>
  <c r="M423" i="5"/>
  <c r="H469" i="5"/>
  <c r="V36" i="71"/>
  <c r="F59" i="47"/>
  <c r="K10" i="72"/>
  <c r="G29" i="75"/>
  <c r="G30" i="71"/>
  <c r="I303" i="5"/>
  <c r="H206" i="5"/>
  <c r="G51" i="50"/>
  <c r="G50" i="50"/>
  <c r="H601" i="5"/>
  <c r="I602" i="5"/>
  <c r="O17" i="71" s="1"/>
  <c r="F97" i="47"/>
  <c r="I873" i="5"/>
  <c r="I533" i="5"/>
  <c r="H211" i="5"/>
  <c r="H158" i="5"/>
  <c r="H161" i="5" s="1"/>
  <c r="H163" i="5" s="1"/>
  <c r="H121" i="5" s="1"/>
  <c r="G14" i="72"/>
  <c r="G263" i="5"/>
  <c r="I264" i="5"/>
  <c r="D34" i="71" s="1"/>
  <c r="G231" i="5"/>
  <c r="H325" i="5"/>
  <c r="I550" i="5"/>
  <c r="M30" i="75" s="1"/>
  <c r="I84" i="5"/>
  <c r="F67" i="47" s="1"/>
  <c r="I430" i="5"/>
  <c r="J11" i="75" s="1"/>
  <c r="I599" i="5"/>
  <c r="H545" i="5"/>
  <c r="I326" i="5"/>
  <c r="F33" i="75" s="1"/>
  <c r="D12" i="80"/>
  <c r="D13" i="80" s="1"/>
  <c r="E12" i="80"/>
  <c r="E13" i="80" s="1"/>
  <c r="F12" i="80"/>
  <c r="F13" i="80" s="1"/>
  <c r="K12" i="80"/>
  <c r="K13" i="80" s="1"/>
  <c r="H12" i="80"/>
  <c r="H13" i="80" s="1"/>
  <c r="I12" i="80"/>
  <c r="I13" i="80" s="1"/>
  <c r="I61" i="5"/>
  <c r="F52" i="47" s="1"/>
  <c r="I24" i="5"/>
  <c r="G20" i="68" s="1"/>
  <c r="I249" i="5"/>
  <c r="D19" i="71" s="1"/>
  <c r="M100" i="5"/>
  <c r="K267" i="50" s="1"/>
  <c r="J108" i="5"/>
  <c r="J109" i="5" s="1"/>
  <c r="J125" i="5" s="1"/>
  <c r="J787" i="5" s="1"/>
  <c r="AA15" i="2"/>
  <c r="AA40" i="2" s="1"/>
  <c r="L51" i="7"/>
  <c r="K274" i="5"/>
  <c r="H215" i="5"/>
  <c r="H63" i="5"/>
  <c r="H256" i="5"/>
  <c r="H486" i="5"/>
  <c r="H400" i="5"/>
  <c r="I447" i="5"/>
  <c r="J27" i="71" s="1"/>
  <c r="H501" i="5"/>
  <c r="I452" i="5"/>
  <c r="H410" i="5"/>
  <c r="G507" i="5"/>
  <c r="I155" i="5"/>
  <c r="K4862" i="18" s="1"/>
  <c r="L4863" i="18" s="1"/>
  <c r="I477" i="5"/>
  <c r="I539" i="5"/>
  <c r="M20" i="71" s="1"/>
  <c r="I91" i="5"/>
  <c r="K22" i="72" s="1"/>
  <c r="I98" i="5"/>
  <c r="K37" i="68" s="1"/>
  <c r="H606" i="5"/>
  <c r="I485" i="5"/>
  <c r="K32" i="71" s="1"/>
  <c r="I28" i="5"/>
  <c r="G80" i="50" s="1"/>
  <c r="H108" i="5"/>
  <c r="I609" i="5"/>
  <c r="I134" i="5"/>
  <c r="E14" i="69" s="1"/>
  <c r="I104" i="5"/>
  <c r="K4246" i="18" s="1"/>
  <c r="L4247" i="18" s="1"/>
  <c r="H629" i="5"/>
  <c r="I80" i="5"/>
  <c r="K20" i="68" s="1"/>
  <c r="I637" i="5"/>
  <c r="I175" i="5"/>
  <c r="E50" i="69" s="1"/>
  <c r="G127" i="5"/>
  <c r="I29" i="5"/>
  <c r="G24" i="68" s="1"/>
  <c r="I733" i="5"/>
  <c r="I327" i="5"/>
  <c r="I420" i="5"/>
  <c r="I31" i="71" s="1"/>
  <c r="G436" i="5"/>
  <c r="I625" i="5"/>
  <c r="I187" i="5"/>
  <c r="E61" i="69" s="1"/>
  <c r="I106" i="5"/>
  <c r="K33" i="72" s="1"/>
  <c r="I396" i="5"/>
  <c r="I10" i="71" s="1"/>
  <c r="I643" i="5"/>
  <c r="I646" i="5"/>
  <c r="I511" i="5"/>
  <c r="I281" i="5"/>
  <c r="M477" i="5"/>
  <c r="X23" i="75" s="1"/>
  <c r="K221" i="5"/>
  <c r="L108" i="5"/>
  <c r="M94" i="5"/>
  <c r="L33" i="68" s="1"/>
  <c r="K232" i="5"/>
  <c r="L433" i="5"/>
  <c r="I37" i="5"/>
  <c r="G33" i="68" s="1"/>
  <c r="I301" i="5"/>
  <c r="F10" i="75" s="1"/>
  <c r="I627" i="5"/>
  <c r="I636" i="5"/>
  <c r="I334" i="5"/>
  <c r="L52" i="7"/>
  <c r="L68" i="7" s="1"/>
  <c r="G96" i="7"/>
  <c r="K63" i="5"/>
  <c r="M38" i="5"/>
  <c r="K117" i="50" s="1"/>
  <c r="L226" i="5"/>
  <c r="K644" i="5"/>
  <c r="H308" i="5"/>
  <c r="Z40" i="2"/>
  <c r="AE24" i="2"/>
  <c r="W15" i="2"/>
  <c r="L11" i="80"/>
  <c r="AE29" i="2"/>
  <c r="M424" i="5"/>
  <c r="M103" i="5"/>
  <c r="K274" i="50" s="1"/>
  <c r="K216" i="5"/>
  <c r="L336" i="5"/>
  <c r="M130" i="5"/>
  <c r="F10" i="69" s="1"/>
  <c r="K215" i="5"/>
  <c r="L734" i="5"/>
  <c r="K228" i="5"/>
  <c r="L227" i="5"/>
  <c r="M533" i="5"/>
  <c r="L534" i="5"/>
  <c r="M725" i="5"/>
  <c r="L519" i="5"/>
  <c r="M120" i="5"/>
  <c r="M865" i="5" s="1"/>
  <c r="M561" i="5"/>
  <c r="L377" i="5"/>
  <c r="L389" i="5"/>
  <c r="K204" i="5"/>
  <c r="K507" i="5"/>
  <c r="L313" i="5"/>
  <c r="M148" i="5"/>
  <c r="K315" i="50" s="1"/>
  <c r="G73" i="5"/>
  <c r="I73" i="5" s="1"/>
  <c r="K3431" i="18" s="1"/>
  <c r="L3432" i="18" s="1"/>
  <c r="H408" i="5"/>
  <c r="I408" i="5" s="1"/>
  <c r="I19" i="71" s="1"/>
  <c r="K108" i="5"/>
  <c r="M602" i="5"/>
  <c r="L367" i="5"/>
  <c r="L207" i="5"/>
  <c r="G708" i="5"/>
  <c r="I687" i="5"/>
  <c r="I690" i="5" s="1"/>
  <c r="L282" i="5"/>
  <c r="I677" i="5"/>
  <c r="E27" i="70" s="1"/>
  <c r="I679" i="5"/>
  <c r="G337" i="50" s="1"/>
  <c r="L228" i="5"/>
  <c r="L211" i="5"/>
  <c r="M381" i="5"/>
  <c r="L344" i="5"/>
  <c r="M616" i="5"/>
  <c r="M54" i="5"/>
  <c r="K187" i="50" s="1"/>
  <c r="L233" i="5"/>
  <c r="L274" i="5"/>
  <c r="K634" i="5"/>
  <c r="L629" i="5"/>
  <c r="L204" i="5"/>
  <c r="L132" i="5"/>
  <c r="K217" i="5"/>
  <c r="M131" i="5"/>
  <c r="F11" i="69" s="1"/>
  <c r="L127" i="5"/>
  <c r="L382" i="5"/>
  <c r="L611" i="5"/>
  <c r="M145" i="5"/>
  <c r="F25" i="69" s="1"/>
  <c r="M82" i="5"/>
  <c r="L16" i="72" s="1"/>
  <c r="L215" i="5"/>
  <c r="M61" i="5"/>
  <c r="H51" i="68" s="1"/>
  <c r="L596" i="5"/>
  <c r="K308" i="5"/>
  <c r="K453" i="5"/>
  <c r="M392" i="5"/>
  <c r="M129" i="5"/>
  <c r="F9" i="69" s="1"/>
  <c r="M539" i="5"/>
  <c r="Z20" i="71" s="1"/>
  <c r="L469" i="5"/>
  <c r="K512" i="5"/>
  <c r="K568" i="5"/>
  <c r="M471" i="5"/>
  <c r="K35" i="5"/>
  <c r="G703" i="5"/>
  <c r="M279" i="5"/>
  <c r="F161" i="5"/>
  <c r="F163" i="5" s="1"/>
  <c r="H777" i="5"/>
  <c r="I777" i="5" s="1"/>
  <c r="G270" i="5"/>
  <c r="I270" i="5" s="1"/>
  <c r="E10" i="71" s="1"/>
  <c r="K227" i="5"/>
  <c r="J64" i="5"/>
  <c r="J786" i="5" s="1"/>
  <c r="L245" i="5"/>
  <c r="M612" i="5"/>
  <c r="M365" i="5"/>
  <c r="K287" i="5"/>
  <c r="M135" i="5"/>
  <c r="F15" i="69" s="1"/>
  <c r="H682" i="5"/>
  <c r="H683" i="5" s="1"/>
  <c r="K233" i="5"/>
  <c r="K226" i="5"/>
  <c r="K205" i="5"/>
  <c r="L217" i="5"/>
  <c r="L349" i="5"/>
  <c r="L535" i="5"/>
  <c r="K222" i="5"/>
  <c r="M376" i="5"/>
  <c r="U20" i="75" s="1"/>
  <c r="M136" i="5"/>
  <c r="F16" i="69" s="1"/>
  <c r="K313" i="5"/>
  <c r="L436" i="5"/>
  <c r="L464" i="5"/>
  <c r="K325" i="5"/>
  <c r="L441" i="5"/>
  <c r="K405" i="5"/>
  <c r="K400" i="5"/>
  <c r="L221" i="5"/>
  <c r="K207" i="5"/>
  <c r="L634" i="5"/>
  <c r="L512" i="5"/>
  <c r="K211" i="5"/>
  <c r="M314" i="5"/>
  <c r="H113" i="5"/>
  <c r="I113" i="5" s="1"/>
  <c r="K545" i="5"/>
  <c r="K246" i="5"/>
  <c r="M374" i="5"/>
  <c r="U18" i="71" s="1"/>
  <c r="L479" i="5"/>
  <c r="F115" i="21"/>
  <c r="F116" i="21" s="1"/>
  <c r="E13" i="84"/>
  <c r="F12" i="84"/>
  <c r="L9" i="2"/>
  <c r="Z48" i="2"/>
  <c r="Z54" i="2"/>
  <c r="Z56" i="2" s="1"/>
  <c r="Z57" i="2" s="1"/>
  <c r="S15" i="2"/>
  <c r="S40" i="2" s="1"/>
  <c r="S54" i="2" s="1"/>
  <c r="S56" i="2" s="1"/>
  <c r="S57" i="2" s="1"/>
  <c r="AE19" i="2"/>
  <c r="F63" i="8"/>
  <c r="F114" i="8"/>
  <c r="F47" i="21"/>
  <c r="F50" i="21"/>
  <c r="F88" i="21"/>
  <c r="F109" i="8"/>
  <c r="F92" i="21"/>
  <c r="Y54" i="2"/>
  <c r="Y56" i="2" s="1"/>
  <c r="Y57" i="2" s="1"/>
  <c r="Y48" i="2"/>
  <c r="Y49" i="2" s="1"/>
  <c r="Y50" i="2" s="1"/>
  <c r="V40" i="2"/>
  <c r="AE14" i="2"/>
  <c r="U54" i="2"/>
  <c r="U56" i="2" s="1"/>
  <c r="U57" i="2" s="1"/>
  <c r="U48" i="2"/>
  <c r="U49" i="2" s="1"/>
  <c r="U50" i="2" s="1"/>
  <c r="T48" i="2"/>
  <c r="T49" i="2" s="1"/>
  <c r="T50" i="2" s="1"/>
  <c r="T54" i="2"/>
  <c r="T56" i="2" s="1"/>
  <c r="T57" i="2" s="1"/>
  <c r="AA48" i="2"/>
  <c r="AA49" i="2" s="1"/>
  <c r="AA50" i="2" s="1"/>
  <c r="AA54" i="2"/>
  <c r="AA56" i="2" s="1"/>
  <c r="AA57" i="2" s="1"/>
  <c r="AD54" i="2"/>
  <c r="AD56" i="2" s="1"/>
  <c r="AD57" i="2" s="1"/>
  <c r="AD48" i="2"/>
  <c r="AD49" i="2" s="1"/>
  <c r="AD50" i="2" s="1"/>
  <c r="D9" i="2"/>
  <c r="R54" i="2"/>
  <c r="R56" i="2" s="1"/>
  <c r="R57" i="2" s="1"/>
  <c r="R48" i="2"/>
  <c r="F71" i="74"/>
  <c r="I5124" i="18" s="1"/>
  <c r="F88" i="70"/>
  <c r="F52" i="21"/>
  <c r="F74" i="21" s="1"/>
  <c r="F113" i="21"/>
  <c r="M487" i="5"/>
  <c r="L486" i="5"/>
  <c r="X28" i="75"/>
  <c r="X29" i="71"/>
  <c r="Q29" i="75"/>
  <c r="Q30" i="71"/>
  <c r="L241" i="5"/>
  <c r="L203" i="5"/>
  <c r="F45" i="73"/>
  <c r="F58" i="69"/>
  <c r="K324" i="50"/>
  <c r="F40" i="69"/>
  <c r="N4944" i="18"/>
  <c r="O4945" i="18" s="1"/>
  <c r="D117" i="51"/>
  <c r="I117" i="51" s="1"/>
  <c r="J117" i="51" s="1"/>
  <c r="D117" i="47"/>
  <c r="F27" i="73"/>
  <c r="K307" i="50"/>
  <c r="F22" i="69"/>
  <c r="F10" i="73"/>
  <c r="D68" i="52"/>
  <c r="K308" i="50"/>
  <c r="N4662" i="18"/>
  <c r="O4663" i="18" s="1"/>
  <c r="D104" i="47"/>
  <c r="D107" i="48"/>
  <c r="D104" i="51"/>
  <c r="I104" i="51" s="1"/>
  <c r="J104" i="51" s="1"/>
  <c r="L26" i="72"/>
  <c r="K265" i="50"/>
  <c r="N4050" i="18"/>
  <c r="K266" i="50"/>
  <c r="K264" i="50"/>
  <c r="L35" i="68"/>
  <c r="K263" i="50"/>
  <c r="K262" i="50"/>
  <c r="D75" i="51"/>
  <c r="I75" i="51" s="1"/>
  <c r="J75" i="51" s="1"/>
  <c r="D75" i="47"/>
  <c r="D71" i="51"/>
  <c r="I71" i="51" s="1"/>
  <c r="J71" i="51" s="1"/>
  <c r="K255" i="50"/>
  <c r="D71" i="47"/>
  <c r="N3967" i="18"/>
  <c r="O3968" i="18" s="1"/>
  <c r="L22" i="72"/>
  <c r="K256" i="50"/>
  <c r="L30" i="68"/>
  <c r="H52" i="68"/>
  <c r="D53" i="51"/>
  <c r="I53" i="51" s="1"/>
  <c r="J53" i="51" s="1"/>
  <c r="N3305" i="18"/>
  <c r="O3306" i="18" s="1"/>
  <c r="K205" i="50"/>
  <c r="D53" i="47"/>
  <c r="H43" i="72"/>
  <c r="K65" i="50"/>
  <c r="H22" i="68"/>
  <c r="D22" i="47"/>
  <c r="D22" i="51"/>
  <c r="I22" i="51" s="1"/>
  <c r="J22" i="51" s="1"/>
  <c r="H17" i="72"/>
  <c r="K64" i="50"/>
  <c r="N943" i="18"/>
  <c r="O944" i="18" s="1"/>
  <c r="G584" i="5"/>
  <c r="G42" i="5"/>
  <c r="I42" i="5" s="1"/>
  <c r="G769" i="5"/>
  <c r="I769" i="5" s="1"/>
  <c r="G355" i="5"/>
  <c r="I355" i="5" s="1"/>
  <c r="G32" i="71" s="1"/>
  <c r="H72" i="5"/>
  <c r="I72" i="5" s="1"/>
  <c r="H269" i="5"/>
  <c r="I269" i="5" s="1"/>
  <c r="H526" i="5"/>
  <c r="H530" i="5" s="1"/>
  <c r="M547" i="5"/>
  <c r="Z28" i="71" s="1"/>
  <c r="L545" i="5"/>
  <c r="Y35" i="71"/>
  <c r="Y34" i="75"/>
  <c r="M428" i="5"/>
  <c r="K433" i="5"/>
  <c r="Q19" i="75"/>
  <c r="Q19" i="71"/>
  <c r="D93" i="47"/>
  <c r="L46" i="72"/>
  <c r="L34" i="68"/>
  <c r="Z29" i="75"/>
  <c r="AA29" i="75"/>
  <c r="M404" i="5"/>
  <c r="M375" i="5"/>
  <c r="K372" i="5"/>
  <c r="L372" i="5"/>
  <c r="L214" i="5"/>
  <c r="G327" i="50"/>
  <c r="K5879" i="18"/>
  <c r="L5880" i="18" s="1"/>
  <c r="E20" i="70"/>
  <c r="K5020" i="18"/>
  <c r="L5021" i="18" s="1"/>
  <c r="G328" i="50"/>
  <c r="E10" i="74"/>
  <c r="E19" i="70"/>
  <c r="E9" i="74"/>
  <c r="E14" i="74"/>
  <c r="G338" i="50"/>
  <c r="E30" i="70"/>
  <c r="K5912" i="18"/>
  <c r="L5913" i="18" s="1"/>
  <c r="I673" i="5"/>
  <c r="G682" i="5"/>
  <c r="I691" i="5"/>
  <c r="G696" i="5"/>
  <c r="G697" i="5" s="1"/>
  <c r="E41" i="74"/>
  <c r="E58" i="70"/>
  <c r="E37" i="74"/>
  <c r="G346" i="50"/>
  <c r="K6031" i="18"/>
  <c r="L6032" i="18" s="1"/>
  <c r="G344" i="50"/>
  <c r="E33" i="74"/>
  <c r="E35" i="74" s="1"/>
  <c r="E50" i="70"/>
  <c r="K6007" i="18"/>
  <c r="L6008" i="18" s="1"/>
  <c r="I703" i="5"/>
  <c r="G671" i="5"/>
  <c r="I658" i="5"/>
  <c r="K288" i="50"/>
  <c r="L52" i="68"/>
  <c r="V52" i="71" s="1"/>
  <c r="D90" i="47"/>
  <c r="N4359" i="18"/>
  <c r="O4360" i="18" s="1"/>
  <c r="L43" i="72"/>
  <c r="D90" i="51"/>
  <c r="I90" i="51" s="1"/>
  <c r="J90" i="51" s="1"/>
  <c r="L29" i="68"/>
  <c r="K253" i="50"/>
  <c r="K251" i="50"/>
  <c r="L21" i="72"/>
  <c r="K254" i="50"/>
  <c r="K252" i="50"/>
  <c r="D70" i="51"/>
  <c r="I70" i="51" s="1"/>
  <c r="J70" i="51" s="1"/>
  <c r="D70" i="47"/>
  <c r="N3926" i="18"/>
  <c r="L12" i="72"/>
  <c r="K195" i="50"/>
  <c r="N3174" i="18"/>
  <c r="O3175" i="18" s="1"/>
  <c r="D49" i="51"/>
  <c r="I49" i="51" s="1"/>
  <c r="J49" i="51" s="1"/>
  <c r="H39" i="72"/>
  <c r="H48" i="68"/>
  <c r="D49" i="47"/>
  <c r="K14" i="50"/>
  <c r="D16" i="51"/>
  <c r="I16" i="51" s="1"/>
  <c r="J16" i="51" s="1"/>
  <c r="H11" i="72"/>
  <c r="D16" i="47"/>
  <c r="H13" i="68"/>
  <c r="N108" i="18"/>
  <c r="O109" i="18" s="1"/>
  <c r="F193" i="5"/>
  <c r="F801" i="5" s="1"/>
  <c r="J18" i="2"/>
  <c r="Q18" i="2" s="1"/>
  <c r="E122" i="21" s="1"/>
  <c r="E123" i="21" s="1"/>
  <c r="F170" i="5"/>
  <c r="F123" i="51" s="1"/>
  <c r="K231" i="5"/>
  <c r="K263" i="5"/>
  <c r="L231" i="5"/>
  <c r="L263" i="5"/>
  <c r="K224" i="5"/>
  <c r="K256" i="5"/>
  <c r="L256" i="5"/>
  <c r="L224" i="5"/>
  <c r="K219" i="5"/>
  <c r="K251" i="5"/>
  <c r="L251" i="5"/>
  <c r="L219" i="5"/>
  <c r="F71" i="8"/>
  <c r="J192" i="5"/>
  <c r="D103" i="47"/>
  <c r="D103" i="51"/>
  <c r="I103" i="51" s="1"/>
  <c r="J103" i="51" s="1"/>
  <c r="F21" i="69"/>
  <c r="K306" i="50"/>
  <c r="N4632" i="18"/>
  <c r="O4633" i="18" s="1"/>
  <c r="K305" i="50"/>
  <c r="F9" i="73"/>
  <c r="K287" i="50"/>
  <c r="N4350" i="18"/>
  <c r="O4351" i="18" s="1"/>
  <c r="D89" i="47"/>
  <c r="L42" i="72"/>
  <c r="D89" i="51"/>
  <c r="I89" i="51" s="1"/>
  <c r="J89" i="51" s="1"/>
  <c r="L51" i="68"/>
  <c r="U52" i="71" s="1"/>
  <c r="L17" i="72"/>
  <c r="L23" i="68"/>
  <c r="N3759" i="18"/>
  <c r="K238" i="50"/>
  <c r="D66" i="51"/>
  <c r="I66" i="51" s="1"/>
  <c r="J66" i="51" s="1"/>
  <c r="D66" i="47"/>
  <c r="H40" i="72"/>
  <c r="N3187" i="18"/>
  <c r="O3188" i="18" s="1"/>
  <c r="D50" i="47"/>
  <c r="K196" i="50"/>
  <c r="K197" i="50"/>
  <c r="H49" i="68"/>
  <c r="D50" i="51"/>
  <c r="I50" i="51" s="1"/>
  <c r="J50" i="51" s="1"/>
  <c r="H30" i="72"/>
  <c r="D36" i="47"/>
  <c r="D36" i="51"/>
  <c r="I36" i="51" s="1"/>
  <c r="J36" i="51" s="1"/>
  <c r="K157" i="50"/>
  <c r="H39" i="68"/>
  <c r="K156" i="50"/>
  <c r="N2411" i="18"/>
  <c r="H38" i="68"/>
  <c r="K145" i="50"/>
  <c r="H16" i="68"/>
  <c r="K50" i="50"/>
  <c r="K52" i="50"/>
  <c r="D19" i="51"/>
  <c r="I19" i="51" s="1"/>
  <c r="J19" i="51" s="1"/>
  <c r="K55" i="50"/>
  <c r="K48" i="50"/>
  <c r="H14" i="72"/>
  <c r="K47" i="50"/>
  <c r="K53" i="50"/>
  <c r="K56" i="50"/>
  <c r="K54" i="50"/>
  <c r="K49" i="50"/>
  <c r="D19" i="47"/>
  <c r="N697" i="18"/>
  <c r="O698" i="18" s="1"/>
  <c r="K51" i="50"/>
  <c r="H34" i="72"/>
  <c r="M331" i="5"/>
  <c r="K336" i="5"/>
  <c r="L339" i="5"/>
  <c r="M340" i="5"/>
  <c r="K268" i="50"/>
  <c r="N4117" i="18"/>
  <c r="O4118" i="18" s="1"/>
  <c r="D77" i="51"/>
  <c r="I77" i="51" s="1"/>
  <c r="J77" i="51" s="1"/>
  <c r="K269" i="50"/>
  <c r="D77" i="47"/>
  <c r="K58" i="50"/>
  <c r="K60" i="50"/>
  <c r="K59" i="50"/>
  <c r="D48" i="52"/>
  <c r="H15" i="72"/>
  <c r="H17" i="68"/>
  <c r="N858" i="18"/>
  <c r="O859" i="18" s="1"/>
  <c r="K57" i="50"/>
  <c r="D75" i="48"/>
  <c r="K62" i="50"/>
  <c r="D20" i="47"/>
  <c r="K61" i="50"/>
  <c r="D20" i="51"/>
  <c r="I20" i="51" s="1"/>
  <c r="J20" i="51" s="1"/>
  <c r="L63" i="5"/>
  <c r="M37" i="5"/>
  <c r="K277" i="5"/>
  <c r="M278" i="5"/>
  <c r="K367" i="5"/>
  <c r="M362" i="5"/>
  <c r="K189" i="50"/>
  <c r="D48" i="51"/>
  <c r="I48" i="51" s="1"/>
  <c r="J48" i="51" s="1"/>
  <c r="K191" i="50"/>
  <c r="H36" i="72"/>
  <c r="K219" i="50"/>
  <c r="K220" i="50"/>
  <c r="N3442" i="18"/>
  <c r="K218" i="50"/>
  <c r="L13" i="72"/>
  <c r="D62" i="47"/>
  <c r="L15" i="68"/>
  <c r="K217" i="50"/>
  <c r="K223" i="50"/>
  <c r="K222" i="50"/>
  <c r="K221" i="50"/>
  <c r="D62" i="51"/>
  <c r="I62" i="51" s="1"/>
  <c r="J62" i="51" s="1"/>
  <c r="M624" i="5"/>
  <c r="K629" i="5"/>
  <c r="AB31" i="75"/>
  <c r="AB32" i="71"/>
  <c r="M631" i="5"/>
  <c r="L633" i="5"/>
  <c r="M133" i="5"/>
  <c r="K132" i="5"/>
  <c r="F39" i="73"/>
  <c r="F52" i="69"/>
  <c r="N4260" i="18"/>
  <c r="O4261" i="18" s="1"/>
  <c r="L32" i="72"/>
  <c r="D81" i="47"/>
  <c r="L41" i="68"/>
  <c r="K279" i="50"/>
  <c r="K280" i="50"/>
  <c r="D81" i="51"/>
  <c r="I81" i="51" s="1"/>
  <c r="J81" i="51" s="1"/>
  <c r="D50" i="52"/>
  <c r="D77" i="48"/>
  <c r="M600" i="5"/>
  <c r="M459" i="5"/>
  <c r="K464" i="5"/>
  <c r="M470" i="5"/>
  <c r="K469" i="5"/>
  <c r="M560" i="5"/>
  <c r="K563" i="5"/>
  <c r="K389" i="5"/>
  <c r="M390" i="5"/>
  <c r="M350" i="5"/>
  <c r="K349" i="5"/>
  <c r="H12" i="68"/>
  <c r="D15" i="51"/>
  <c r="I15" i="51" s="1"/>
  <c r="J15" i="51" s="1"/>
  <c r="K13" i="50"/>
  <c r="D15" i="47"/>
  <c r="N89" i="18"/>
  <c r="O90" i="18" s="1"/>
  <c r="H10" i="72"/>
  <c r="K158" i="5"/>
  <c r="K161" i="5" s="1"/>
  <c r="K163" i="5" s="1"/>
  <c r="M128" i="5"/>
  <c r="K127" i="5"/>
  <c r="K286" i="50"/>
  <c r="D88" i="51"/>
  <c r="I88" i="51" s="1"/>
  <c r="J88" i="51" s="1"/>
  <c r="L48" i="68"/>
  <c r="D88" i="47"/>
  <c r="K285" i="50"/>
  <c r="N4329" i="18"/>
  <c r="O4340" i="18" s="1"/>
  <c r="L39" i="72"/>
  <c r="K468" i="5"/>
  <c r="M468" i="5" s="1"/>
  <c r="M466" i="5"/>
  <c r="AB20" i="71"/>
  <c r="AB20" i="75"/>
  <c r="M180" i="5"/>
  <c r="K178" i="5"/>
  <c r="L618" i="5"/>
  <c r="M619" i="5"/>
  <c r="M718" i="5"/>
  <c r="K734" i="5"/>
  <c r="F11" i="73"/>
  <c r="N4693" i="18"/>
  <c r="D69" i="52"/>
  <c r="K309" i="50"/>
  <c r="K231" i="50"/>
  <c r="K233" i="50"/>
  <c r="K234" i="50"/>
  <c r="D64" i="51"/>
  <c r="I64" i="51" s="1"/>
  <c r="J64" i="51" s="1"/>
  <c r="L15" i="72"/>
  <c r="L21" i="68"/>
  <c r="K235" i="50"/>
  <c r="D64" i="47"/>
  <c r="K232" i="50"/>
  <c r="N3617" i="18"/>
  <c r="O3618" i="18" s="1"/>
  <c r="K314" i="50"/>
  <c r="N4749" i="18"/>
  <c r="O4750" i="18" s="1"/>
  <c r="K67" i="50"/>
  <c r="K66" i="50"/>
  <c r="D23" i="51"/>
  <c r="I23" i="51" s="1"/>
  <c r="J23" i="51" s="1"/>
  <c r="H18" i="72"/>
  <c r="H23" i="68"/>
  <c r="D23" i="47"/>
  <c r="N966" i="18"/>
  <c r="O967" i="18" s="1"/>
  <c r="F61" i="69"/>
  <c r="F48" i="73"/>
  <c r="L41" i="72"/>
  <c r="S51" i="75" s="1"/>
  <c r="L50" i="68"/>
  <c r="S52" i="71" s="1"/>
  <c r="K377" i="5"/>
  <c r="M378" i="5"/>
  <c r="K535" i="5"/>
  <c r="M536" i="5"/>
  <c r="K474" i="5"/>
  <c r="M475" i="5"/>
  <c r="K102" i="50"/>
  <c r="K105" i="50"/>
  <c r="H19" i="72"/>
  <c r="N1616" i="18"/>
  <c r="O1617" i="18" s="1"/>
  <c r="K106" i="50"/>
  <c r="K108" i="50"/>
  <c r="D49" i="52"/>
  <c r="D24" i="51"/>
  <c r="I24" i="51" s="1"/>
  <c r="J24" i="51" s="1"/>
  <c r="K103" i="50"/>
  <c r="K109" i="50"/>
  <c r="K107" i="50"/>
  <c r="K104" i="50"/>
  <c r="K110" i="50"/>
  <c r="H25" i="68"/>
  <c r="K101" i="50"/>
  <c r="D76" i="48"/>
  <c r="D24" i="47"/>
  <c r="M168" i="5"/>
  <c r="M792" i="5" s="1"/>
  <c r="L194" i="5"/>
  <c r="M383" i="5"/>
  <c r="K382" i="5"/>
  <c r="K321" i="50"/>
  <c r="N4898" i="18"/>
  <c r="O4899" i="18" s="1"/>
  <c r="D114" i="47"/>
  <c r="F37" i="69"/>
  <c r="D114" i="51"/>
  <c r="I114" i="51" s="1"/>
  <c r="J114" i="51" s="1"/>
  <c r="F24" i="73"/>
  <c r="K486" i="5"/>
  <c r="M488" i="5"/>
  <c r="K19" i="50"/>
  <c r="K22" i="50"/>
  <c r="K25" i="50"/>
  <c r="H12" i="72"/>
  <c r="D17" i="51"/>
  <c r="I17" i="51" s="1"/>
  <c r="J17" i="51" s="1"/>
  <c r="D17" i="47"/>
  <c r="K23" i="50"/>
  <c r="K17" i="50"/>
  <c r="K24" i="50"/>
  <c r="H14" i="68"/>
  <c r="K18" i="50"/>
  <c r="K20" i="50"/>
  <c r="K27" i="50"/>
  <c r="N119" i="18"/>
  <c r="K21" i="50"/>
  <c r="K15" i="50"/>
  <c r="K16" i="50"/>
  <c r="K26" i="50"/>
  <c r="K530" i="5"/>
  <c r="M525" i="5"/>
  <c r="K534" i="5"/>
  <c r="M532" i="5"/>
  <c r="X35" i="75"/>
  <c r="X36" i="71"/>
  <c r="M480" i="5"/>
  <c r="K479" i="5"/>
  <c r="M541" i="5"/>
  <c r="K540" i="5"/>
  <c r="M591" i="5"/>
  <c r="K596" i="5"/>
  <c r="K79" i="50"/>
  <c r="K95" i="50"/>
  <c r="K78" i="50"/>
  <c r="K94" i="50"/>
  <c r="K77" i="50"/>
  <c r="K93" i="50"/>
  <c r="K84" i="50"/>
  <c r="K80" i="50"/>
  <c r="N987" i="18"/>
  <c r="K87" i="50"/>
  <c r="K74" i="50"/>
  <c r="K98" i="50"/>
  <c r="K85" i="50"/>
  <c r="K76" i="50"/>
  <c r="K88" i="50"/>
  <c r="K83" i="50"/>
  <c r="K82" i="50"/>
  <c r="K73" i="50"/>
  <c r="K68" i="50"/>
  <c r="K96" i="50"/>
  <c r="K91" i="50"/>
  <c r="K86" i="50"/>
  <c r="K81" i="50"/>
  <c r="K92" i="50"/>
  <c r="K71" i="50"/>
  <c r="K99" i="50"/>
  <c r="K90" i="50"/>
  <c r="K89" i="50"/>
  <c r="K100" i="50"/>
  <c r="K75" i="50"/>
  <c r="K70" i="50"/>
  <c r="K69" i="50"/>
  <c r="K97" i="50"/>
  <c r="K72" i="50"/>
  <c r="K161" i="50"/>
  <c r="K162" i="50"/>
  <c r="D94" i="47"/>
  <c r="I94" i="47" s="1"/>
  <c r="J94" i="47" s="1"/>
  <c r="AB18" i="71"/>
  <c r="AB18" i="75"/>
  <c r="K606" i="5"/>
  <c r="M607" i="5"/>
  <c r="F27" i="69"/>
  <c r="M173" i="5"/>
  <c r="K172" i="5"/>
  <c r="H16" i="72"/>
  <c r="N933" i="18"/>
  <c r="D41" i="47"/>
  <c r="K176" i="50"/>
  <c r="K175" i="50"/>
  <c r="K172" i="50"/>
  <c r="D41" i="51"/>
  <c r="I41" i="51" s="1"/>
  <c r="J41" i="51" s="1"/>
  <c r="K174" i="50"/>
  <c r="K169" i="50"/>
  <c r="N2647" i="18"/>
  <c r="K171" i="50"/>
  <c r="K170" i="50"/>
  <c r="K173" i="50"/>
  <c r="H44" i="68"/>
  <c r="N2820" i="18"/>
  <c r="D43" i="47"/>
  <c r="H35" i="72"/>
  <c r="D43" i="51"/>
  <c r="I43" i="51" s="1"/>
  <c r="J43" i="51" s="1"/>
  <c r="K179" i="50"/>
  <c r="K552" i="5"/>
  <c r="M553" i="5"/>
  <c r="F41" i="73"/>
  <c r="F54" i="69"/>
  <c r="K182" i="50"/>
  <c r="D44" i="51"/>
  <c r="I44" i="51" s="1"/>
  <c r="J44" i="51" s="1"/>
  <c r="K181" i="50"/>
  <c r="K180" i="50"/>
  <c r="K183" i="50"/>
  <c r="D44" i="47"/>
  <c r="K184" i="50"/>
  <c r="N2829" i="18"/>
  <c r="K35" i="50"/>
  <c r="K37" i="50"/>
  <c r="D18" i="51"/>
  <c r="I18" i="51" s="1"/>
  <c r="J18" i="51" s="1"/>
  <c r="N316" i="18"/>
  <c r="H13" i="72"/>
  <c r="C6" i="85" s="1"/>
  <c r="D18" i="47"/>
  <c r="D71" i="48"/>
  <c r="D44" i="52"/>
  <c r="F26" i="73"/>
  <c r="K323" i="50"/>
  <c r="D116" i="47"/>
  <c r="N4913" i="18"/>
  <c r="O4914" i="18" s="1"/>
  <c r="F39" i="69"/>
  <c r="K322" i="50"/>
  <c r="D116" i="51"/>
  <c r="I116" i="51" s="1"/>
  <c r="J116" i="51" s="1"/>
  <c r="K167" i="50"/>
  <c r="K166" i="50"/>
  <c r="H42" i="68"/>
  <c r="D39" i="47"/>
  <c r="K165" i="50"/>
  <c r="K164" i="50"/>
  <c r="H33" i="72"/>
  <c r="N2556" i="18"/>
  <c r="D39" i="51"/>
  <c r="I39" i="51" s="1"/>
  <c r="J39" i="51" s="1"/>
  <c r="F50" i="73"/>
  <c r="F63" i="69"/>
  <c r="G340" i="50"/>
  <c r="E20" i="74"/>
  <c r="E36" i="70"/>
  <c r="K5945" i="18"/>
  <c r="L5946" i="18" s="1"/>
  <c r="F14" i="73"/>
  <c r="F26" i="69"/>
  <c r="AB24" i="75"/>
  <c r="AB25" i="71"/>
  <c r="E44" i="70"/>
  <c r="E27" i="74"/>
  <c r="F62" i="69"/>
  <c r="F49" i="73"/>
  <c r="F192" i="5"/>
  <c r="E71" i="8"/>
  <c r="F65" i="52"/>
  <c r="F13" i="52" s="1"/>
  <c r="D111" i="47"/>
  <c r="D111" i="51"/>
  <c r="I111" i="51" s="1"/>
  <c r="J111" i="51" s="1"/>
  <c r="F21" i="73"/>
  <c r="F34" i="69"/>
  <c r="K318" i="50"/>
  <c r="N4835" i="18"/>
  <c r="O4836" i="18" s="1"/>
  <c r="N4775" i="18"/>
  <c r="O4776" i="18" s="1"/>
  <c r="F28" i="69"/>
  <c r="F16" i="73"/>
  <c r="K282" i="50"/>
  <c r="L43" i="68"/>
  <c r="D83" i="51"/>
  <c r="I83" i="51" s="1"/>
  <c r="J83" i="51" s="1"/>
  <c r="K281" i="50"/>
  <c r="D83" i="47"/>
  <c r="N4286" i="18"/>
  <c r="O4287" i="18" s="1"/>
  <c r="L34" i="72"/>
  <c r="N3800" i="18"/>
  <c r="O3801" i="18" s="1"/>
  <c r="D68" i="47"/>
  <c r="D68" i="51"/>
  <c r="I68" i="51" s="1"/>
  <c r="J68" i="51" s="1"/>
  <c r="D58" i="47"/>
  <c r="K212" i="50"/>
  <c r="L9" i="72"/>
  <c r="K213" i="50"/>
  <c r="L11" i="68"/>
  <c r="N3380" i="18"/>
  <c r="D58" i="51"/>
  <c r="I58" i="51" s="1"/>
  <c r="J58" i="51" s="1"/>
  <c r="L567" i="5"/>
  <c r="K214" i="50"/>
  <c r="L10" i="72"/>
  <c r="D59" i="47"/>
  <c r="N3408" i="18"/>
  <c r="O3409" i="18" s="1"/>
  <c r="L12" i="68"/>
  <c r="D59" i="51"/>
  <c r="I59" i="51" s="1"/>
  <c r="J59" i="51" s="1"/>
  <c r="K316" i="50"/>
  <c r="F17" i="73"/>
  <c r="D109" i="51"/>
  <c r="I109" i="51" s="1"/>
  <c r="J109" i="51" s="1"/>
  <c r="F29" i="69"/>
  <c r="D109" i="47"/>
  <c r="D63" i="52"/>
  <c r="D12" i="48"/>
  <c r="N4798" i="18"/>
  <c r="O4799" i="18" s="1"/>
  <c r="Z27" i="71"/>
  <c r="D110" i="47"/>
  <c r="F46" i="73"/>
  <c r="F59" i="69"/>
  <c r="F42" i="73"/>
  <c r="F55" i="69"/>
  <c r="F49" i="69"/>
  <c r="F36" i="73"/>
  <c r="D97" i="47"/>
  <c r="D97" i="51"/>
  <c r="I97" i="51" s="1"/>
  <c r="J97" i="51" s="1"/>
  <c r="K247" i="50"/>
  <c r="K245" i="50"/>
  <c r="K244" i="50"/>
  <c r="K248" i="50"/>
  <c r="N3828" i="18"/>
  <c r="K249" i="50"/>
  <c r="K243" i="50"/>
  <c r="K246" i="50"/>
  <c r="N2796" i="18"/>
  <c r="K177" i="50"/>
  <c r="K178" i="50"/>
  <c r="D42" i="51"/>
  <c r="I42" i="51" s="1"/>
  <c r="J42" i="51" s="1"/>
  <c r="D42" i="47"/>
  <c r="K118" i="50"/>
  <c r="D30" i="47"/>
  <c r="K123" i="50"/>
  <c r="H34" i="68"/>
  <c r="H28" i="68"/>
  <c r="H22" i="72"/>
  <c r="D27" i="51"/>
  <c r="I27" i="51" s="1"/>
  <c r="J27" i="51" s="1"/>
  <c r="K115" i="50"/>
  <c r="N1811" i="18"/>
  <c r="O1812" i="18" s="1"/>
  <c r="D27" i="47"/>
  <c r="F53" i="52"/>
  <c r="F64" i="5"/>
  <c r="N4876" i="18"/>
  <c r="O4877" i="18" s="1"/>
  <c r="F23" i="73"/>
  <c r="D113" i="51"/>
  <c r="I113" i="51" s="1"/>
  <c r="J113" i="51" s="1"/>
  <c r="D113" i="47"/>
  <c r="F36" i="69"/>
  <c r="K320" i="50"/>
  <c r="O3541" i="18"/>
  <c r="O3578" i="18"/>
  <c r="F31" i="69"/>
  <c r="F19" i="73"/>
  <c r="N3239" i="18"/>
  <c r="O3256" i="18" s="1"/>
  <c r="D82" i="51"/>
  <c r="I82" i="51" s="1"/>
  <c r="J82" i="51" s="1"/>
  <c r="L42" i="68"/>
  <c r="K201" i="50"/>
  <c r="D82" i="47"/>
  <c r="L33" i="72"/>
  <c r="D60" i="47"/>
  <c r="L13" i="68"/>
  <c r="K215" i="50"/>
  <c r="L11" i="72"/>
  <c r="N3420" i="18"/>
  <c r="O3421" i="18" s="1"/>
  <c r="D60" i="51"/>
  <c r="I60" i="51" s="1"/>
  <c r="J60" i="51" s="1"/>
  <c r="F125" i="5"/>
  <c r="F787" i="5" s="1"/>
  <c r="F59" i="52"/>
  <c r="N4146" i="18"/>
  <c r="O4147" i="18" s="1"/>
  <c r="K270" i="50"/>
  <c r="D78" i="51"/>
  <c r="I78" i="51" s="1"/>
  <c r="J78" i="51" s="1"/>
  <c r="D78" i="47"/>
  <c r="K271" i="50"/>
  <c r="K112" i="50"/>
  <c r="D25" i="47"/>
  <c r="H26" i="68"/>
  <c r="K111" i="50"/>
  <c r="H20" i="72"/>
  <c r="D25" i="51"/>
  <c r="I25" i="51" s="1"/>
  <c r="J25" i="51" s="1"/>
  <c r="N1763" i="18"/>
  <c r="AB35" i="71"/>
  <c r="AB34" i="75"/>
  <c r="Z12" i="75"/>
  <c r="AA12" i="71"/>
  <c r="AA12" i="75"/>
  <c r="E53" i="70"/>
  <c r="I708" i="5"/>
  <c r="K6019" i="18"/>
  <c r="L6020" i="18" s="1"/>
  <c r="G345" i="50"/>
  <c r="E36" i="74"/>
  <c r="H37" i="68"/>
  <c r="K140" i="50"/>
  <c r="N2156" i="18"/>
  <c r="K139" i="50"/>
  <c r="D33" i="47"/>
  <c r="D33" i="51"/>
  <c r="I33" i="51" s="1"/>
  <c r="J33" i="51" s="1"/>
  <c r="K141" i="50"/>
  <c r="H28" i="72"/>
  <c r="K138" i="50"/>
  <c r="D92" i="47"/>
  <c r="L54" i="68"/>
  <c r="X52" i="71" s="1"/>
  <c r="N4412" i="18"/>
  <c r="O4413" i="18" s="1"/>
  <c r="L45" i="72"/>
  <c r="K290" i="50"/>
  <c r="D92" i="51"/>
  <c r="I92" i="51" s="1"/>
  <c r="J92" i="51" s="1"/>
  <c r="K130" i="50"/>
  <c r="K132" i="50"/>
  <c r="K135" i="50"/>
  <c r="K136" i="50"/>
  <c r="N2031" i="18"/>
  <c r="O2032" i="18" s="1"/>
  <c r="H36" i="68"/>
  <c r="K131" i="50"/>
  <c r="D32" i="51"/>
  <c r="I32" i="51" s="1"/>
  <c r="J32" i="51" s="1"/>
  <c r="H27" i="72"/>
  <c r="K133" i="50"/>
  <c r="D32" i="47"/>
  <c r="K137" i="50"/>
  <c r="K134" i="50"/>
  <c r="G287" i="50"/>
  <c r="G288" i="50"/>
  <c r="K43" i="72"/>
  <c r="I51" i="75" s="1"/>
  <c r="I849" i="5"/>
  <c r="G233" i="5"/>
  <c r="I43" i="5"/>
  <c r="F35" i="47" s="1"/>
  <c r="I35" i="47" s="1"/>
  <c r="J35" i="47" s="1"/>
  <c r="G618" i="5"/>
  <c r="I619" i="5"/>
  <c r="O33" i="75" s="1"/>
  <c r="G204" i="5"/>
  <c r="H224" i="5"/>
  <c r="G228" i="5"/>
  <c r="G123" i="50"/>
  <c r="G41" i="68"/>
  <c r="K26" i="75"/>
  <c r="K27" i="71"/>
  <c r="I645" i="5"/>
  <c r="H644" i="5"/>
  <c r="I259" i="5"/>
  <c r="D29" i="71" s="1"/>
  <c r="H226" i="5"/>
  <c r="H336" i="5"/>
  <c r="I331" i="5"/>
  <c r="G9" i="71" s="1"/>
  <c r="G464" i="5"/>
  <c r="I350" i="5"/>
  <c r="G26" i="75" s="1"/>
  <c r="H349" i="5"/>
  <c r="F9" i="75"/>
  <c r="G217" i="5"/>
  <c r="I603" i="5"/>
  <c r="G215" i="5"/>
  <c r="I571" i="5"/>
  <c r="N19" i="75" s="1"/>
  <c r="G568" i="5"/>
  <c r="H205" i="5"/>
  <c r="I55" i="5"/>
  <c r="K3005" i="18" s="1"/>
  <c r="L3006" i="18" s="1"/>
  <c r="H446" i="5"/>
  <c r="H222" i="5"/>
  <c r="H207" i="5"/>
  <c r="H367" i="5"/>
  <c r="I288" i="5"/>
  <c r="E26" i="75" s="1"/>
  <c r="G89" i="50"/>
  <c r="H734" i="5"/>
  <c r="I343" i="5"/>
  <c r="G20" i="75" s="1"/>
  <c r="H251" i="5"/>
  <c r="H232" i="5"/>
  <c r="I387" i="5"/>
  <c r="H31" i="71" s="1"/>
  <c r="H228" i="5"/>
  <c r="I50" i="5"/>
  <c r="G177" i="50" s="1"/>
  <c r="G540" i="5"/>
  <c r="I179" i="5"/>
  <c r="E41" i="73" s="1"/>
  <c r="I78" i="5"/>
  <c r="K18" i="68" s="1"/>
  <c r="I74" i="5"/>
  <c r="G218" i="50" s="1"/>
  <c r="K25" i="68"/>
  <c r="G596" i="5"/>
  <c r="I352" i="5"/>
  <c r="G28" i="75" s="1"/>
  <c r="I180" i="5"/>
  <c r="E56" i="69" s="1"/>
  <c r="I719" i="5"/>
  <c r="I364" i="5"/>
  <c r="I443" i="5"/>
  <c r="J23" i="71" s="1"/>
  <c r="I362" i="5"/>
  <c r="G34" i="50"/>
  <c r="I562" i="5"/>
  <c r="G512" i="5"/>
  <c r="I472" i="5"/>
  <c r="H453" i="5"/>
  <c r="I454" i="5"/>
  <c r="J34" i="71" s="1"/>
  <c r="G226" i="5"/>
  <c r="I569" i="5"/>
  <c r="I500" i="5"/>
  <c r="E125" i="8"/>
  <c r="I423" i="5"/>
  <c r="I33" i="75" s="1"/>
  <c r="G422" i="5"/>
  <c r="G415" i="5" s="1"/>
  <c r="G54" i="50"/>
  <c r="G53" i="50"/>
  <c r="H540" i="5"/>
  <c r="I365" i="5"/>
  <c r="G405" i="5"/>
  <c r="H219" i="5"/>
  <c r="G57" i="50"/>
  <c r="I150" i="5"/>
  <c r="E18" i="73" s="1"/>
  <c r="H231" i="5"/>
  <c r="G433" i="5"/>
  <c r="I90" i="5"/>
  <c r="H294" i="5"/>
  <c r="I440" i="5"/>
  <c r="J20" i="75" s="1"/>
  <c r="I398" i="5"/>
  <c r="I576" i="5"/>
  <c r="N23" i="75" s="1"/>
  <c r="I183" i="5"/>
  <c r="F55" i="51"/>
  <c r="G25" i="51" s="1"/>
  <c r="G48" i="50"/>
  <c r="G13" i="50"/>
  <c r="H441" i="5"/>
  <c r="G203" i="5"/>
  <c r="G287" i="5"/>
  <c r="H35" i="5"/>
  <c r="I513" i="5"/>
  <c r="L26" i="75" s="1"/>
  <c r="G12" i="68"/>
  <c r="G35" i="5"/>
  <c r="H127" i="5"/>
  <c r="F597" i="5"/>
  <c r="F622" i="5" s="1"/>
  <c r="K12" i="68"/>
  <c r="I610" i="5"/>
  <c r="I177" i="5"/>
  <c r="I144" i="5"/>
  <c r="F106" i="47" s="1"/>
  <c r="I321" i="5"/>
  <c r="F28" i="75" s="1"/>
  <c r="I145" i="5"/>
  <c r="K4749" i="18" s="1"/>
  <c r="L4750" i="18" s="1"/>
  <c r="G400" i="5"/>
  <c r="I32" i="5"/>
  <c r="F25" i="47" s="1"/>
  <c r="I143" i="5"/>
  <c r="G309" i="50" s="1"/>
  <c r="I160" i="5"/>
  <c r="F117" i="47" s="1"/>
  <c r="I114" i="5"/>
  <c r="I841" i="5" s="1"/>
  <c r="I570" i="5"/>
  <c r="I162" i="5"/>
  <c r="I438" i="5"/>
  <c r="G194" i="5"/>
  <c r="I57" i="5"/>
  <c r="G192" i="50" s="1"/>
  <c r="I56" i="5"/>
  <c r="I439" i="5"/>
  <c r="J19" i="71" s="1"/>
  <c r="I27" i="5"/>
  <c r="G66" i="50" s="1"/>
  <c r="I652" i="5"/>
  <c r="I53" i="5"/>
  <c r="I780" i="5"/>
  <c r="I445" i="5"/>
  <c r="J25" i="71" s="1"/>
  <c r="I319" i="5"/>
  <c r="I767" i="5"/>
  <c r="F819" i="5"/>
  <c r="F820" i="5" s="1"/>
  <c r="S17" i="75"/>
  <c r="W27" i="71"/>
  <c r="R11" i="71"/>
  <c r="J242" i="5"/>
  <c r="J267" i="5" s="1"/>
  <c r="J834" i="5" s="1"/>
  <c r="J835" i="5" s="1"/>
  <c r="J836" i="5" s="1"/>
  <c r="I413" i="5"/>
  <c r="I24" i="71" s="1"/>
  <c r="G219" i="5"/>
  <c r="H225" i="5"/>
  <c r="G92" i="5"/>
  <c r="J531" i="5"/>
  <c r="J556" i="5" s="1"/>
  <c r="J866" i="5" s="1"/>
  <c r="J867" i="5" s="1"/>
  <c r="J868" i="5" s="1"/>
  <c r="G121" i="50"/>
  <c r="K22" i="75"/>
  <c r="I419" i="5"/>
  <c r="G356" i="5"/>
  <c r="I358" i="5"/>
  <c r="I272" i="5"/>
  <c r="G319" i="50"/>
  <c r="I237" i="5"/>
  <c r="H241" i="5"/>
  <c r="E24" i="73"/>
  <c r="K4898" i="18"/>
  <c r="L4899" i="18" s="1"/>
  <c r="G321" i="50"/>
  <c r="I266" i="5"/>
  <c r="H233" i="5"/>
  <c r="K28" i="72"/>
  <c r="I476" i="5"/>
  <c r="K23" i="71" s="1"/>
  <c r="H220" i="5"/>
  <c r="I538" i="5"/>
  <c r="G535" i="5"/>
  <c r="H132" i="5"/>
  <c r="I579" i="5"/>
  <c r="N26" i="75" s="1"/>
  <c r="G224" i="5"/>
  <c r="O10" i="75"/>
  <c r="O10" i="71"/>
  <c r="G68" i="50"/>
  <c r="H217" i="5"/>
  <c r="I575" i="5"/>
  <c r="N23" i="71" s="1"/>
  <c r="G573" i="5"/>
  <c r="G214" i="5"/>
  <c r="G246" i="5"/>
  <c r="I320" i="5"/>
  <c r="G225" i="5"/>
  <c r="G158" i="5"/>
  <c r="G161" i="5" s="1"/>
  <c r="G163" i="5" s="1"/>
  <c r="G567" i="5" s="1"/>
  <c r="J230" i="5"/>
  <c r="F368" i="5"/>
  <c r="F393" i="5" s="1"/>
  <c r="F846" i="5" s="1"/>
  <c r="F847" i="5" s="1"/>
  <c r="F848" i="5" s="1"/>
  <c r="F275" i="5"/>
  <c r="F298" i="5" s="1"/>
  <c r="F838" i="5" s="1"/>
  <c r="F839" i="5" s="1"/>
  <c r="F840" i="5" s="1"/>
  <c r="F85" i="51"/>
  <c r="G62" i="51" s="1"/>
  <c r="J630" i="5"/>
  <c r="J655" i="5" s="1"/>
  <c r="J874" i="5" s="1"/>
  <c r="J875" i="5" s="1"/>
  <c r="J876" i="5" s="1"/>
  <c r="H214" i="5"/>
  <c r="G227" i="5"/>
  <c r="H634" i="5"/>
  <c r="G232" i="5"/>
  <c r="G734" i="5"/>
  <c r="H502" i="5"/>
  <c r="F114" i="47"/>
  <c r="H313" i="5"/>
  <c r="K25" i="71"/>
  <c r="H596" i="5"/>
  <c r="G132" i="5"/>
  <c r="G198" i="50"/>
  <c r="O19" i="75"/>
  <c r="G207" i="5"/>
  <c r="H468" i="5"/>
  <c r="G221" i="5"/>
  <c r="H382" i="5"/>
  <c r="G12" i="50"/>
  <c r="G11" i="68"/>
  <c r="F89" i="47"/>
  <c r="I79" i="5"/>
  <c r="K19" i="68" s="1"/>
  <c r="G159" i="50"/>
  <c r="I81" i="5"/>
  <c r="G206" i="5"/>
  <c r="I112" i="5"/>
  <c r="I302" i="5"/>
  <c r="H305" i="5"/>
  <c r="F20" i="75"/>
  <c r="F20" i="71"/>
  <c r="H18" i="71"/>
  <c r="H18" i="75"/>
  <c r="I154" i="5"/>
  <c r="I153" i="5"/>
  <c r="I156" i="5"/>
  <c r="K4412" i="18"/>
  <c r="L4413" i="18" s="1"/>
  <c r="G290" i="50"/>
  <c r="I726" i="5"/>
  <c r="I243" i="5"/>
  <c r="G245" i="5"/>
  <c r="H568" i="5"/>
  <c r="G308" i="5"/>
  <c r="I309" i="5"/>
  <c r="G585" i="5"/>
  <c r="I586" i="5"/>
  <c r="I51" i="5"/>
  <c r="H436" i="5"/>
  <c r="I137" i="5"/>
  <c r="E17" i="69" s="1"/>
  <c r="I48" i="5"/>
  <c r="I253" i="5"/>
  <c r="I770" i="5"/>
  <c r="K13" i="68"/>
  <c r="G215" i="50"/>
  <c r="K3420" i="18"/>
  <c r="L3421" i="18" s="1"/>
  <c r="F60" i="47"/>
  <c r="K11" i="72"/>
  <c r="I34" i="5"/>
  <c r="I41" i="5"/>
  <c r="G367" i="5"/>
  <c r="I529" i="5"/>
  <c r="G339" i="5"/>
  <c r="K316" i="18"/>
  <c r="I647" i="5"/>
  <c r="I47" i="5"/>
  <c r="I159" i="5"/>
  <c r="I100" i="5"/>
  <c r="I407" i="5"/>
  <c r="I139" i="5"/>
  <c r="E19" i="69" s="1"/>
  <c r="I577" i="5"/>
  <c r="G377" i="5"/>
  <c r="G651" i="5"/>
  <c r="G479" i="5"/>
  <c r="G468" i="5"/>
  <c r="I26" i="5"/>
  <c r="I399" i="5"/>
  <c r="I190" i="5"/>
  <c r="G486" i="5"/>
  <c r="I723" i="5"/>
  <c r="I496" i="5"/>
  <c r="G318" i="5"/>
  <c r="I421" i="5"/>
  <c r="I317" i="5"/>
  <c r="I648" i="5"/>
  <c r="I583" i="5"/>
  <c r="I766" i="5"/>
  <c r="I546" i="5"/>
  <c r="I188" i="5"/>
  <c r="I572" i="5"/>
  <c r="I323" i="5"/>
  <c r="I128" i="5"/>
  <c r="I322" i="5"/>
  <c r="G606" i="5"/>
  <c r="I493" i="5"/>
  <c r="I189" i="5"/>
  <c r="G213" i="50"/>
  <c r="F58" i="47"/>
  <c r="K3380" i="18"/>
  <c r="I731" i="5"/>
  <c r="I68" i="5"/>
  <c r="K10" i="68" s="1"/>
  <c r="I136" i="5"/>
  <c r="E16" i="69" s="1"/>
  <c r="I257" i="5"/>
  <c r="G256" i="5"/>
  <c r="I414" i="5"/>
  <c r="I437" i="5"/>
  <c r="I448" i="5"/>
  <c r="I640" i="5"/>
  <c r="I247" i="5"/>
  <c r="G519" i="5"/>
  <c r="I520" i="5"/>
  <c r="I22" i="5"/>
  <c r="G18" i="68" s="1"/>
  <c r="G545" i="5"/>
  <c r="I13" i="5"/>
  <c r="G10" i="68" s="1"/>
  <c r="I146" i="5"/>
  <c r="I613" i="5"/>
  <c r="G268" i="50"/>
  <c r="K4117" i="18"/>
  <c r="L4118" i="18" s="1"/>
  <c r="H422" i="5"/>
  <c r="H415" i="5" s="1"/>
  <c r="H474" i="5"/>
  <c r="I722" i="5"/>
  <c r="I133" i="5"/>
  <c r="K26" i="72"/>
  <c r="K35" i="68"/>
  <c r="F75" i="47"/>
  <c r="K4050" i="18"/>
  <c r="I107" i="5"/>
  <c r="H534" i="5"/>
  <c r="I89" i="5"/>
  <c r="I105" i="5"/>
  <c r="I147" i="5"/>
  <c r="I778" i="5"/>
  <c r="I76" i="5"/>
  <c r="I52" i="5"/>
  <c r="G222" i="5"/>
  <c r="I581" i="5"/>
  <c r="I103" i="5"/>
  <c r="I49" i="5"/>
  <c r="G277" i="5"/>
  <c r="I416" i="5"/>
  <c r="I265" i="5"/>
  <c r="G441" i="5"/>
  <c r="I506" i="5"/>
  <c r="I650" i="5"/>
  <c r="I455" i="5"/>
  <c r="G497" i="5"/>
  <c r="G601" i="5"/>
  <c r="G294" i="5"/>
  <c r="G469" i="5"/>
  <c r="G611" i="5"/>
  <c r="I31" i="5"/>
  <c r="G563" i="5"/>
  <c r="I450" i="5"/>
  <c r="H356" i="5"/>
  <c r="G634" i="5"/>
  <c r="I779" i="5"/>
  <c r="I254" i="5"/>
  <c r="I346" i="5"/>
  <c r="G23" i="71" s="1"/>
  <c r="I773" i="5"/>
  <c r="K4359" i="18"/>
  <c r="L4360" i="18" s="1"/>
  <c r="K52" i="68"/>
  <c r="I52" i="71" s="1"/>
  <c r="F90" i="47"/>
  <c r="I654" i="5"/>
  <c r="I262" i="5"/>
  <c r="H535" i="5"/>
  <c r="I16" i="5"/>
  <c r="I250" i="5"/>
  <c r="G629" i="5"/>
  <c r="G59" i="50"/>
  <c r="F75" i="48"/>
  <c r="K858" i="18"/>
  <c r="G17" i="68"/>
  <c r="G15" i="72"/>
  <c r="G61" i="50"/>
  <c r="F20" i="47"/>
  <c r="G62" i="50"/>
  <c r="K89" i="18"/>
  <c r="L90" i="18" s="1"/>
  <c r="F15" i="47"/>
  <c r="G644" i="5"/>
  <c r="F108" i="47"/>
  <c r="E28" i="69"/>
  <c r="K4775" i="18"/>
  <c r="L4776" i="18" s="1"/>
  <c r="E16" i="73"/>
  <c r="G315" i="50"/>
  <c r="G325" i="5"/>
  <c r="G282" i="5"/>
  <c r="I83" i="5"/>
  <c r="I142" i="5"/>
  <c r="I181" i="5"/>
  <c r="G502" i="5"/>
  <c r="G474" i="5"/>
  <c r="I494" i="5"/>
  <c r="K47" i="72"/>
  <c r="K56" i="68"/>
  <c r="M52" i="71" s="1"/>
  <c r="I59" i="5"/>
  <c r="I25" i="5"/>
  <c r="I33" i="5"/>
  <c r="G172" i="5"/>
  <c r="G108" i="5"/>
  <c r="I111" i="5"/>
  <c r="I131" i="5"/>
  <c r="E11" i="69" s="1"/>
  <c r="I456" i="5"/>
  <c r="I54" i="5"/>
  <c r="I724" i="5"/>
  <c r="G336" i="5"/>
  <c r="I580" i="5"/>
  <c r="I66" i="5"/>
  <c r="I138" i="5"/>
  <c r="E18" i="69" s="1"/>
  <c r="I310" i="5"/>
  <c r="I641" i="5"/>
  <c r="I781" i="5"/>
  <c r="I588" i="5"/>
  <c r="G639" i="5"/>
  <c r="G344" i="5"/>
  <c r="I58" i="5"/>
  <c r="I424" i="5"/>
  <c r="I499" i="5"/>
  <c r="I505" i="5"/>
  <c r="I102" i="5"/>
  <c r="I397" i="5"/>
  <c r="H573" i="5"/>
  <c r="I521" i="5"/>
  <c r="H277" i="5"/>
  <c r="I516" i="5"/>
  <c r="I765" i="5"/>
  <c r="K18" i="75"/>
  <c r="J819" i="5"/>
  <c r="J820" i="5" s="1"/>
  <c r="F12" i="71"/>
  <c r="F19" i="47"/>
  <c r="K697" i="18"/>
  <c r="G52" i="68"/>
  <c r="G205" i="50"/>
  <c r="F53" i="47"/>
  <c r="K3305" i="18"/>
  <c r="L3306" i="18" s="1"/>
  <c r="G43" i="72"/>
  <c r="G163" i="50"/>
  <c r="E28" i="75"/>
  <c r="F19" i="75"/>
  <c r="G8" i="72"/>
  <c r="K22" i="68"/>
  <c r="F93" i="47"/>
  <c r="M18" i="75"/>
  <c r="M18" i="71"/>
  <c r="O29" i="75"/>
  <c r="O30" i="71"/>
  <c r="F242" i="5"/>
  <c r="F498" i="5"/>
  <c r="E60" i="69"/>
  <c r="E47" i="73"/>
  <c r="J12" i="75"/>
  <c r="K376" i="18"/>
  <c r="L376" i="18" s="1"/>
  <c r="I28" i="75"/>
  <c r="I29" i="71"/>
  <c r="G117" i="50"/>
  <c r="G116" i="50"/>
  <c r="G118" i="50"/>
  <c r="K1822" i="18"/>
  <c r="G25" i="72"/>
  <c r="F30" i="47"/>
  <c r="Q33" i="75"/>
  <c r="Q34" i="71"/>
  <c r="J10" i="75"/>
  <c r="J10" i="71"/>
  <c r="N11" i="71"/>
  <c r="N11" i="75"/>
  <c r="L28" i="71"/>
  <c r="L27" i="75"/>
  <c r="F61" i="47"/>
  <c r="K12" i="72"/>
  <c r="M17" i="75"/>
  <c r="M17" i="71"/>
  <c r="G10" i="75"/>
  <c r="O22" i="71"/>
  <c r="F11" i="6"/>
  <c r="E33" i="75"/>
  <c r="E34" i="71"/>
  <c r="L28" i="75"/>
  <c r="L29" i="71"/>
  <c r="E23" i="71"/>
  <c r="E51" i="69"/>
  <c r="E54" i="69"/>
  <c r="I792" i="5"/>
  <c r="I194" i="5"/>
  <c r="F122" i="47"/>
  <c r="J401" i="5"/>
  <c r="J426" i="5" s="1"/>
  <c r="J850" i="5" s="1"/>
  <c r="J851" i="5" s="1"/>
  <c r="J852" i="5" s="1"/>
  <c r="I20" i="71"/>
  <c r="G36" i="71"/>
  <c r="G11" i="50"/>
  <c r="F13" i="47"/>
  <c r="G8" i="68"/>
  <c r="G10" i="50"/>
  <c r="K9" i="18"/>
  <c r="H19" i="75"/>
  <c r="E49" i="69"/>
  <c r="E36" i="73"/>
  <c r="M4896" i="18"/>
  <c r="J213" i="5"/>
  <c r="J434" i="5"/>
  <c r="J457" i="5" s="1"/>
  <c r="J854" i="5" s="1"/>
  <c r="J855" i="5" s="1"/>
  <c r="J856" i="5" s="1"/>
  <c r="J223" i="5"/>
  <c r="F655" i="5"/>
  <c r="F874" i="5" s="1"/>
  <c r="F875" i="5" s="1"/>
  <c r="F876" i="5" s="1"/>
  <c r="F337" i="5"/>
  <c r="F360" i="5" s="1"/>
  <c r="J498" i="5"/>
  <c r="J523" i="5" s="1"/>
  <c r="J862" i="5" s="1"/>
  <c r="J863" i="5" s="1"/>
  <c r="J864" i="5" s="1"/>
  <c r="F218" i="5"/>
  <c r="O30" i="75"/>
  <c r="Z34" i="75"/>
  <c r="AA34" i="75"/>
  <c r="AA35" i="71"/>
  <c r="Q24" i="71"/>
  <c r="Q23" i="75"/>
  <c r="L1860" i="18"/>
  <c r="K1853" i="18" s="1"/>
  <c r="J306" i="5"/>
  <c r="J329" i="5" s="1"/>
  <c r="J842" i="5" s="1"/>
  <c r="J843" i="5" s="1"/>
  <c r="J844" i="5" s="1"/>
  <c r="M29" i="71"/>
  <c r="V18" i="75"/>
  <c r="V18" i="71"/>
  <c r="M405" i="5"/>
  <c r="F23" i="75"/>
  <c r="F24" i="71"/>
  <c r="V29" i="75"/>
  <c r="V30" i="71"/>
  <c r="M227" i="5"/>
  <c r="H28" i="71"/>
  <c r="H27" i="75"/>
  <c r="W23" i="75"/>
  <c r="Y30" i="71"/>
  <c r="Y29" i="75"/>
  <c r="I5132" i="18"/>
  <c r="F465" i="5"/>
  <c r="F490" i="5" s="1"/>
  <c r="F858" i="5" s="1"/>
  <c r="F859" i="5" s="1"/>
  <c r="F860" i="5" s="1"/>
  <c r="V22" i="71"/>
  <c r="V22" i="75"/>
  <c r="F223" i="5"/>
  <c r="J465" i="5"/>
  <c r="J490" i="5" s="1"/>
  <c r="J858" i="5" s="1"/>
  <c r="J859" i="5" s="1"/>
  <c r="J860" i="5" s="1"/>
  <c r="X28" i="71"/>
  <c r="X27" i="75"/>
  <c r="Z18" i="75"/>
  <c r="AA18" i="75"/>
  <c r="AA18" i="71"/>
  <c r="H34" i="71"/>
  <c r="V10" i="71"/>
  <c r="V10" i="75"/>
  <c r="E118" i="70"/>
  <c r="G92" i="51"/>
  <c r="G95" i="51"/>
  <c r="G93" i="51"/>
  <c r="G87" i="51"/>
  <c r="G96" i="51"/>
  <c r="G88" i="51"/>
  <c r="G91" i="51"/>
  <c r="G97" i="51"/>
  <c r="G94" i="51"/>
  <c r="G89" i="51"/>
  <c r="G90" i="51"/>
  <c r="F125" i="8"/>
  <c r="Y9" i="71"/>
  <c r="Y9" i="75"/>
  <c r="F230" i="5"/>
  <c r="F306" i="5"/>
  <c r="F329" i="5" s="1"/>
  <c r="F842" i="5" s="1"/>
  <c r="F843" i="5" s="1"/>
  <c r="F844" i="5" s="1"/>
  <c r="Y24" i="75"/>
  <c r="Y25" i="71"/>
  <c r="H30" i="71"/>
  <c r="Q31" i="75"/>
  <c r="Q32" i="71"/>
  <c r="J275" i="5"/>
  <c r="J298" i="5" s="1"/>
  <c r="J838" i="5" s="1"/>
  <c r="J839" i="5" s="1"/>
  <c r="J840" i="5" s="1"/>
  <c r="S11" i="75"/>
  <c r="S11" i="71"/>
  <c r="M441" i="5"/>
  <c r="M1034" i="18"/>
  <c r="W24" i="71"/>
  <c r="W17" i="75"/>
  <c r="W17" i="71"/>
  <c r="I3677" i="18"/>
  <c r="I3678" i="18" s="1"/>
  <c r="I4536" i="18"/>
  <c r="I4537" i="18" s="1"/>
  <c r="K4580" i="18"/>
  <c r="L4580" i="18" s="1"/>
  <c r="K4650" i="18"/>
  <c r="J337" i="5"/>
  <c r="J360" i="5" s="1"/>
  <c r="S15" i="75"/>
  <c r="S15" i="71"/>
  <c r="J208" i="5"/>
  <c r="F401" i="5"/>
  <c r="F213" i="5"/>
  <c r="J218" i="5"/>
  <c r="J368" i="5"/>
  <c r="M760" i="5"/>
  <c r="J764" i="5"/>
  <c r="J830" i="5" s="1"/>
  <c r="H364" i="50"/>
  <c r="L57" i="50"/>
  <c r="H340" i="50"/>
  <c r="H32" i="50"/>
  <c r="H198" i="50"/>
  <c r="L40" i="46"/>
  <c r="H15" i="50"/>
  <c r="H278" i="50"/>
  <c r="H265" i="50"/>
  <c r="H378" i="50"/>
  <c r="L279" i="50"/>
  <c r="L211" i="50"/>
  <c r="L232" i="50"/>
  <c r="L237" i="50"/>
  <c r="H329" i="50"/>
  <c r="H83" i="50"/>
  <c r="H57" i="50"/>
  <c r="H373" i="50"/>
  <c r="L28" i="46"/>
  <c r="L311" i="50"/>
  <c r="H328" i="50"/>
  <c r="H85" i="50"/>
  <c r="H294" i="50"/>
  <c r="L310" i="50"/>
  <c r="L131" i="50"/>
  <c r="H49" i="50"/>
  <c r="H216" i="50"/>
  <c r="H401" i="50"/>
  <c r="H215" i="50"/>
  <c r="L205" i="50"/>
  <c r="H74" i="50"/>
  <c r="H46" i="50"/>
  <c r="H264" i="50"/>
  <c r="L228" i="50"/>
  <c r="L169" i="50"/>
  <c r="L212" i="50"/>
  <c r="L263" i="50"/>
  <c r="L32" i="46"/>
  <c r="L15" i="46"/>
  <c r="H152" i="50"/>
  <c r="L61" i="50"/>
  <c r="L118" i="50"/>
  <c r="H51" i="50"/>
  <c r="H243" i="50"/>
  <c r="G15" i="46"/>
  <c r="H300" i="50"/>
  <c r="H99" i="50"/>
  <c r="L322" i="50"/>
  <c r="L257" i="50"/>
  <c r="H195" i="50"/>
  <c r="L375" i="50"/>
  <c r="L213" i="50"/>
  <c r="H146" i="50"/>
  <c r="L386" i="50"/>
  <c r="L159" i="50"/>
  <c r="H101" i="50"/>
  <c r="L379" i="50"/>
  <c r="L187" i="50"/>
  <c r="L10" i="50"/>
  <c r="H285" i="50"/>
  <c r="H71" i="50"/>
  <c r="H338" i="50"/>
  <c r="H80" i="50"/>
  <c r="H72" i="50"/>
  <c r="L198" i="50"/>
  <c r="L239" i="50"/>
  <c r="H344" i="50"/>
  <c r="H318" i="50"/>
  <c r="L114" i="50"/>
  <c r="H53" i="50"/>
  <c r="H162" i="50"/>
  <c r="H144" i="50"/>
  <c r="G16" i="46"/>
  <c r="L272" i="50"/>
  <c r="L317" i="50"/>
  <c r="H135" i="50"/>
  <c r="H188" i="50"/>
  <c r="H23" i="50"/>
  <c r="L289" i="50"/>
  <c r="L101" i="50"/>
  <c r="H297" i="50"/>
  <c r="L165" i="50"/>
  <c r="H98" i="50"/>
  <c r="L34" i="50"/>
  <c r="L56" i="50"/>
  <c r="H387" i="50"/>
  <c r="L100" i="50"/>
  <c r="L173" i="50"/>
  <c r="L99" i="50"/>
  <c r="H363" i="50"/>
  <c r="H69" i="50"/>
  <c r="H20" i="50"/>
  <c r="H153" i="50"/>
  <c r="H295" i="50"/>
  <c r="H141" i="50"/>
  <c r="L374" i="50"/>
  <c r="L35" i="46"/>
  <c r="H220" i="50"/>
  <c r="L44" i="46"/>
  <c r="H337" i="50"/>
  <c r="H43" i="50"/>
  <c r="L47" i="46"/>
  <c r="H246" i="50"/>
  <c r="L399" i="50"/>
  <c r="G20" i="46"/>
  <c r="L112" i="50"/>
  <c r="L268" i="50"/>
  <c r="G48" i="46"/>
  <c r="H290" i="50"/>
  <c r="H237" i="50"/>
  <c r="H255" i="50"/>
  <c r="L147" i="50"/>
  <c r="H343" i="50"/>
  <c r="H59" i="50"/>
  <c r="H205" i="50"/>
  <c r="L27" i="46"/>
  <c r="L117" i="50"/>
  <c r="L180" i="50"/>
  <c r="H158" i="50"/>
  <c r="H160" i="50"/>
  <c r="H61" i="50"/>
  <c r="L402" i="50"/>
  <c r="H30" i="50"/>
  <c r="L63" i="50"/>
  <c r="L304" i="50"/>
  <c r="L243" i="50"/>
  <c r="L380" i="50"/>
  <c r="H321" i="50"/>
  <c r="L36" i="50"/>
  <c r="H227" i="50"/>
  <c r="L13" i="50"/>
  <c r="L398" i="50"/>
  <c r="H177" i="50"/>
  <c r="H45" i="50"/>
  <c r="H78" i="50"/>
  <c r="H197" i="50"/>
  <c r="L113" i="50"/>
  <c r="L23" i="50"/>
  <c r="H314" i="50"/>
  <c r="H234" i="50"/>
  <c r="H367" i="50"/>
  <c r="L373" i="50"/>
  <c r="H70" i="50"/>
  <c r="H225" i="50"/>
  <c r="H130" i="50"/>
  <c r="H19" i="50"/>
  <c r="L286" i="50"/>
  <c r="L33" i="46"/>
  <c r="H341" i="50"/>
  <c r="H50" i="50"/>
  <c r="H330" i="50"/>
  <c r="L51" i="50"/>
  <c r="H68" i="50"/>
  <c r="L27" i="50"/>
  <c r="H299" i="50"/>
  <c r="H21" i="50"/>
  <c r="H291" i="50"/>
  <c r="H133" i="50"/>
  <c r="L188" i="50"/>
  <c r="L38" i="46"/>
  <c r="H325" i="50"/>
  <c r="H208" i="50"/>
  <c r="H25" i="50"/>
  <c r="H372" i="50"/>
  <c r="H319" i="50"/>
  <c r="H298" i="50"/>
  <c r="L178" i="50"/>
  <c r="H54" i="50"/>
  <c r="H317" i="50"/>
  <c r="H119" i="50"/>
  <c r="L39" i="46"/>
  <c r="L406" i="50"/>
  <c r="H258" i="50"/>
  <c r="H38" i="50"/>
  <c r="L254" i="50"/>
  <c r="L181" i="50"/>
  <c r="L45" i="46"/>
  <c r="H210" i="50"/>
  <c r="H134" i="50"/>
  <c r="H132" i="50"/>
  <c r="H164" i="50"/>
  <c r="H122" i="50"/>
  <c r="H77" i="50"/>
  <c r="H138" i="50"/>
  <c r="H286" i="50"/>
  <c r="H267" i="50"/>
  <c r="G36" i="46"/>
  <c r="L300" i="50"/>
  <c r="G27" i="46"/>
  <c r="L164" i="50"/>
  <c r="H233" i="50"/>
  <c r="H60" i="50"/>
  <c r="H406" i="50"/>
  <c r="H375" i="50"/>
  <c r="L37" i="46"/>
  <c r="H171" i="50"/>
  <c r="H11" i="50"/>
  <c r="L214" i="50"/>
  <c r="L315" i="50"/>
  <c r="L14" i="50"/>
  <c r="H48" i="50"/>
  <c r="H12" i="50"/>
  <c r="L299" i="50"/>
  <c r="L189" i="50"/>
  <c r="L161" i="50"/>
  <c r="L195" i="50"/>
  <c r="L124" i="50"/>
  <c r="H368" i="50"/>
  <c r="L22" i="50"/>
  <c r="H311" i="50"/>
  <c r="H247" i="50"/>
  <c r="L116" i="50"/>
  <c r="H39" i="50"/>
  <c r="H254" i="50"/>
  <c r="H358" i="50"/>
  <c r="H10" i="50"/>
  <c r="H37" i="50"/>
  <c r="H189" i="50"/>
  <c r="H270" i="50"/>
  <c r="L9" i="50"/>
  <c r="L89" i="50"/>
  <c r="H309" i="50"/>
  <c r="L36" i="46"/>
  <c r="G10" i="46"/>
  <c r="H383" i="50"/>
  <c r="H271" i="50"/>
  <c r="H312" i="50"/>
  <c r="H335" i="50"/>
  <c r="H16" i="50"/>
  <c r="G18" i="46"/>
  <c r="H200" i="50"/>
  <c r="L17" i="46"/>
  <c r="L138" i="50"/>
  <c r="H196" i="50"/>
  <c r="L372" i="50"/>
  <c r="H360" i="50"/>
  <c r="H155" i="50"/>
  <c r="H253" i="50"/>
  <c r="L183" i="50"/>
  <c r="L287" i="50"/>
  <c r="L218" i="50"/>
  <c r="L76" i="50"/>
  <c r="L244" i="50"/>
  <c r="H157" i="50"/>
  <c r="H84" i="50"/>
  <c r="L12" i="50"/>
  <c r="L28" i="50"/>
  <c r="L90" i="50"/>
  <c r="H235" i="50"/>
  <c r="H374" i="50"/>
  <c r="L316" i="50"/>
  <c r="L148" i="50"/>
  <c r="H345" i="50"/>
  <c r="H145" i="50"/>
  <c r="G30" i="46"/>
  <c r="H331" i="50"/>
  <c r="L267" i="50"/>
  <c r="H190" i="50"/>
  <c r="L185" i="50"/>
  <c r="L37" i="50"/>
  <c r="L196" i="50"/>
  <c r="H386" i="50"/>
  <c r="L30" i="46"/>
  <c r="L266" i="50"/>
  <c r="H224" i="50"/>
  <c r="H117" i="50"/>
  <c r="H169" i="50"/>
  <c r="L45" i="50"/>
  <c r="H79" i="50"/>
  <c r="H18" i="50"/>
  <c r="H187" i="50"/>
  <c r="H142" i="50"/>
  <c r="L168" i="50"/>
  <c r="L69" i="50"/>
  <c r="L217" i="50"/>
  <c r="H121" i="50"/>
  <c r="L154" i="50"/>
  <c r="H165" i="50"/>
  <c r="L35" i="50"/>
  <c r="L312" i="50"/>
  <c r="H181" i="50"/>
  <c r="L16" i="46"/>
  <c r="H24" i="50"/>
  <c r="H170" i="50"/>
  <c r="H263" i="50"/>
  <c r="H223" i="50"/>
  <c r="H150" i="50"/>
  <c r="H192" i="50"/>
  <c r="H128" i="50"/>
  <c r="H282" i="50"/>
  <c r="L122" i="50"/>
  <c r="G22" i="46"/>
  <c r="L201" i="50"/>
  <c r="L41" i="46"/>
  <c r="H327" i="50"/>
  <c r="H239" i="50"/>
  <c r="L46" i="46"/>
  <c r="L66" i="50"/>
  <c r="H29" i="50"/>
  <c r="H376" i="50"/>
  <c r="H355" i="50"/>
  <c r="L215" i="50"/>
  <c r="L295" i="50"/>
  <c r="L303" i="50"/>
  <c r="H213" i="50"/>
  <c r="H82" i="50"/>
  <c r="L284" i="50"/>
  <c r="H63" i="50"/>
  <c r="L88" i="50"/>
  <c r="H288" i="50"/>
  <c r="H365" i="50"/>
  <c r="G47" i="46"/>
  <c r="H306" i="50"/>
  <c r="L193" i="50"/>
  <c r="L179" i="50"/>
  <c r="L87" i="50"/>
  <c r="H89" i="50"/>
  <c r="L85" i="50"/>
  <c r="L236" i="50"/>
  <c r="H272" i="50"/>
  <c r="H94" i="50"/>
  <c r="L378" i="50"/>
  <c r="G11" i="46"/>
  <c r="H402" i="50"/>
  <c r="L298" i="50"/>
  <c r="L296" i="50"/>
  <c r="L142" i="50"/>
  <c r="H114" i="50"/>
  <c r="H212" i="50"/>
  <c r="H292" i="50"/>
  <c r="G19" i="46"/>
  <c r="L84" i="50"/>
  <c r="L62" i="50"/>
  <c r="L387" i="50"/>
  <c r="H398" i="50"/>
  <c r="H47" i="50"/>
  <c r="H281" i="50"/>
  <c r="H261" i="50"/>
  <c r="H313" i="50"/>
  <c r="H81" i="50"/>
  <c r="L92" i="50"/>
  <c r="L31" i="46"/>
  <c r="H151" i="50"/>
  <c r="L15" i="50"/>
  <c r="H185" i="50"/>
  <c r="H357" i="50"/>
  <c r="L282" i="50"/>
  <c r="H380" i="50"/>
  <c r="H40" i="50"/>
  <c r="H42" i="50"/>
  <c r="H308" i="50"/>
  <c r="H252" i="50"/>
  <c r="L156" i="50"/>
  <c r="H249" i="50"/>
  <c r="H359" i="50"/>
  <c r="H91" i="50"/>
  <c r="L401" i="50"/>
  <c r="H315" i="50"/>
  <c r="H320" i="50"/>
  <c r="H90" i="50"/>
  <c r="H284" i="50"/>
  <c r="H163" i="50"/>
  <c r="H362" i="50"/>
  <c r="H66" i="50"/>
  <c r="H379" i="50"/>
  <c r="L206" i="50"/>
  <c r="H218" i="50"/>
  <c r="L332" i="50"/>
  <c r="H207" i="50"/>
  <c r="L162" i="50"/>
  <c r="L141" i="50"/>
  <c r="L26" i="46"/>
  <c r="H159" i="50"/>
  <c r="H310" i="50"/>
  <c r="H238" i="50"/>
  <c r="H168" i="50"/>
  <c r="H303" i="50"/>
  <c r="H104" i="50"/>
  <c r="H22" i="50"/>
  <c r="G33" i="46"/>
  <c r="G58" i="46"/>
  <c r="H366" i="50"/>
  <c r="L34" i="46"/>
  <c r="H259" i="50"/>
  <c r="H52" i="50"/>
  <c r="H193" i="50"/>
  <c r="H73" i="50"/>
  <c r="H334" i="50"/>
  <c r="H31" i="50"/>
  <c r="L204" i="50"/>
  <c r="L306" i="50"/>
  <c r="L24" i="46"/>
  <c r="H161" i="50"/>
  <c r="H361" i="50"/>
  <c r="H76" i="50"/>
  <c r="H244" i="50"/>
  <c r="L321" i="50"/>
  <c r="L281" i="50"/>
  <c r="L130" i="50"/>
  <c r="L163" i="50"/>
  <c r="H339" i="50"/>
  <c r="G13" i="46"/>
  <c r="H131" i="50"/>
  <c r="L197" i="50"/>
  <c r="H307" i="50"/>
  <c r="L290" i="50"/>
  <c r="H156" i="50"/>
  <c r="H346" i="50"/>
  <c r="H186" i="50"/>
  <c r="H382" i="50"/>
  <c r="H211" i="50"/>
  <c r="H222" i="50"/>
  <c r="H116" i="50"/>
  <c r="H55" i="50"/>
  <c r="H26" i="50"/>
  <c r="L241" i="50"/>
  <c r="L177" i="50"/>
  <c r="H336" i="50"/>
  <c r="L200" i="50"/>
  <c r="L376" i="50"/>
  <c r="H236" i="50"/>
  <c r="H266" i="50"/>
  <c r="H67" i="50"/>
  <c r="L238" i="50"/>
  <c r="L150" i="50"/>
  <c r="H124" i="50"/>
  <c r="L20" i="46"/>
  <c r="L265" i="50"/>
  <c r="L29" i="46"/>
  <c r="H154" i="50"/>
  <c r="H96" i="50"/>
  <c r="H97" i="50"/>
  <c r="H342" i="50"/>
  <c r="H28" i="50"/>
  <c r="L252" i="50"/>
  <c r="H217" i="50"/>
  <c r="L251" i="50"/>
  <c r="L11" i="46"/>
  <c r="L297" i="50"/>
  <c r="H209" i="50"/>
  <c r="L60" i="50"/>
  <c r="L318" i="50"/>
  <c r="H289" i="50"/>
  <c r="L255" i="50"/>
  <c r="L47" i="50"/>
  <c r="H333" i="50"/>
  <c r="L9" i="46"/>
  <c r="H257" i="50"/>
  <c r="L225" i="50"/>
  <c r="L250" i="50"/>
  <c r="H296" i="50"/>
  <c r="L288" i="50"/>
  <c r="H75" i="50"/>
  <c r="H27" i="50"/>
  <c r="G24" i="46"/>
  <c r="L235" i="50"/>
  <c r="H178" i="50"/>
  <c r="G32" i="46"/>
  <c r="H143" i="50"/>
  <c r="L292" i="50"/>
  <c r="H41" i="50"/>
  <c r="L291" i="50"/>
  <c r="H149" i="50"/>
  <c r="H100" i="50"/>
  <c r="L43" i="46"/>
  <c r="L313" i="50"/>
  <c r="L233" i="50"/>
  <c r="H304" i="50"/>
  <c r="L278" i="50"/>
  <c r="L314" i="50"/>
  <c r="L234" i="50"/>
  <c r="H260" i="50"/>
  <c r="L224" i="50"/>
  <c r="H356" i="50"/>
  <c r="H179" i="50"/>
  <c r="H305" i="50"/>
  <c r="L86" i="50"/>
  <c r="H180" i="50"/>
  <c r="L231" i="50"/>
  <c r="L115" i="50"/>
  <c r="H44" i="50"/>
  <c r="H62" i="50"/>
  <c r="L253" i="50"/>
  <c r="H123" i="50"/>
  <c r="H120" i="50"/>
  <c r="L324" i="50"/>
  <c r="G9" i="46"/>
  <c r="H354" i="50"/>
  <c r="H228" i="50"/>
  <c r="L261" i="50"/>
  <c r="L46" i="50"/>
  <c r="H269" i="50"/>
  <c r="L157" i="50"/>
  <c r="H92" i="50"/>
  <c r="H176" i="50"/>
  <c r="H56" i="50"/>
  <c r="H137" i="50"/>
  <c r="H184" i="50"/>
  <c r="H201" i="50"/>
  <c r="L377" i="50"/>
  <c r="H93" i="50"/>
  <c r="H204" i="50"/>
  <c r="H399" i="50"/>
  <c r="L319" i="50"/>
  <c r="H33" i="50"/>
  <c r="G28" i="46"/>
  <c r="L72" i="50"/>
  <c r="L308" i="50"/>
  <c r="H172" i="50"/>
  <c r="H173" i="50"/>
  <c r="L186" i="50"/>
  <c r="H112" i="50"/>
  <c r="H377" i="50"/>
  <c r="H230" i="50"/>
  <c r="H147" i="50"/>
  <c r="L262" i="50"/>
  <c r="H268" i="50"/>
  <c r="L326" i="50"/>
  <c r="L65" i="46"/>
  <c r="L48" i="46"/>
  <c r="H111" i="50"/>
  <c r="H256" i="50"/>
  <c r="L333" i="50"/>
  <c r="L67" i="46"/>
  <c r="L69" i="46"/>
  <c r="L309" i="50"/>
  <c r="L323" i="50"/>
  <c r="L329" i="50"/>
  <c r="L21" i="46"/>
  <c r="H14" i="50"/>
  <c r="L64" i="50"/>
  <c r="H183" i="50"/>
  <c r="G29" i="46"/>
  <c r="L256" i="50"/>
  <c r="H316" i="50"/>
  <c r="G12" i="46"/>
  <c r="H324" i="50"/>
  <c r="L307" i="50"/>
  <c r="L13" i="46"/>
  <c r="H250" i="50"/>
  <c r="H136" i="50"/>
  <c r="L71" i="46"/>
  <c r="G14" i="46"/>
  <c r="H251" i="50"/>
  <c r="H241" i="50"/>
  <c r="L66" i="46"/>
  <c r="L10" i="46"/>
  <c r="H113" i="50"/>
  <c r="L216" i="50"/>
  <c r="H219" i="50"/>
  <c r="L334" i="50"/>
  <c r="G43" i="46"/>
  <c r="L305" i="50"/>
  <c r="L18" i="46"/>
  <c r="H95" i="50"/>
  <c r="H332" i="50"/>
  <c r="H118" i="50"/>
  <c r="L327" i="50"/>
  <c r="H242" i="50"/>
  <c r="H323" i="50"/>
  <c r="H262" i="50"/>
  <c r="H64" i="50"/>
  <c r="H58" i="50"/>
  <c r="L22" i="46"/>
  <c r="L68" i="50"/>
  <c r="H279" i="50"/>
  <c r="L72" i="46"/>
  <c r="L320" i="50"/>
  <c r="H13" i="50"/>
  <c r="H65" i="50"/>
  <c r="H214" i="50"/>
  <c r="L325" i="50"/>
  <c r="L331" i="50"/>
  <c r="H226" i="50"/>
  <c r="H9" i="50"/>
  <c r="L270" i="50"/>
  <c r="G37" i="46"/>
  <c r="G44" i="46"/>
  <c r="G35" i="46"/>
  <c r="H206" i="50"/>
  <c r="H245" i="50"/>
  <c r="H287" i="50"/>
  <c r="H115" i="50"/>
  <c r="H232" i="50"/>
  <c r="H322" i="50"/>
  <c r="F32" i="71" l="1"/>
  <c r="G22" i="71"/>
  <c r="L22" i="75"/>
  <c r="I9" i="75"/>
  <c r="D22" i="75"/>
  <c r="K20" i="71"/>
  <c r="O11" i="75"/>
  <c r="Q22" i="75"/>
  <c r="Q21" i="75" s="1"/>
  <c r="G23" i="75"/>
  <c r="H25" i="71"/>
  <c r="M825" i="5"/>
  <c r="D43" i="48"/>
  <c r="I389" i="5"/>
  <c r="K35" i="75"/>
  <c r="J711" i="5"/>
  <c r="J713" i="5" s="1"/>
  <c r="K28" i="71"/>
  <c r="L36" i="71"/>
  <c r="M32" i="71"/>
  <c r="I534" i="5"/>
  <c r="M15" i="71" s="1"/>
  <c r="I313" i="5"/>
  <c r="Y20" i="75"/>
  <c r="F22" i="71"/>
  <c r="G12" i="75"/>
  <c r="J29" i="71"/>
  <c r="R26" i="75"/>
  <c r="K31" i="71"/>
  <c r="G32" i="51"/>
  <c r="I469" i="5"/>
  <c r="H33" i="75"/>
  <c r="G15" i="75"/>
  <c r="G341" i="50"/>
  <c r="M287" i="5"/>
  <c r="Y15" i="71"/>
  <c r="S16" i="71"/>
  <c r="W33" i="75"/>
  <c r="W32" i="75" s="1"/>
  <c r="M436" i="5"/>
  <c r="K3994" i="18"/>
  <c r="L3994" i="18" s="1"/>
  <c r="M28" i="46"/>
  <c r="N28" i="46" s="1"/>
  <c r="M319" i="50"/>
  <c r="N319" i="50" s="1"/>
  <c r="M9" i="46"/>
  <c r="N9" i="46" s="1"/>
  <c r="M278" i="50"/>
  <c r="N278" i="50" s="1"/>
  <c r="M32" i="46"/>
  <c r="N32" i="46" s="1"/>
  <c r="M24" i="46"/>
  <c r="N24" i="46" s="1"/>
  <c r="I333" i="50"/>
  <c r="J333" i="50" s="1"/>
  <c r="I334" i="50"/>
  <c r="J334" i="50" s="1"/>
  <c r="M33" i="46"/>
  <c r="N33" i="46" s="1"/>
  <c r="M332" i="50"/>
  <c r="N332" i="50" s="1"/>
  <c r="I47" i="50"/>
  <c r="J47" i="50" s="1"/>
  <c r="M11" i="46"/>
  <c r="N11" i="46" s="1"/>
  <c r="M47" i="46"/>
  <c r="N47" i="46" s="1"/>
  <c r="M30" i="46"/>
  <c r="N30" i="46" s="1"/>
  <c r="M28" i="50"/>
  <c r="N28" i="50" s="1"/>
  <c r="M27" i="46"/>
  <c r="N27" i="46" s="1"/>
  <c r="M36" i="46"/>
  <c r="N36" i="46" s="1"/>
  <c r="M188" i="50"/>
  <c r="N188" i="50" s="1"/>
  <c r="M20" i="46"/>
  <c r="N20" i="46" s="1"/>
  <c r="M16" i="46"/>
  <c r="N16" i="46" s="1"/>
  <c r="M15" i="46"/>
  <c r="N15" i="46" s="1"/>
  <c r="I218" i="50"/>
  <c r="J218" i="50" s="1"/>
  <c r="M66" i="50"/>
  <c r="N66" i="50" s="1"/>
  <c r="M279" i="50"/>
  <c r="N279" i="50" s="1"/>
  <c r="M288" i="50"/>
  <c r="N288" i="50" s="1"/>
  <c r="M185" i="50"/>
  <c r="N185" i="50" s="1"/>
  <c r="I101" i="50"/>
  <c r="J101" i="50" s="1"/>
  <c r="M124" i="50"/>
  <c r="N124" i="50" s="1"/>
  <c r="M9" i="50"/>
  <c r="N9" i="50" s="1"/>
  <c r="G18" i="71"/>
  <c r="I10" i="50"/>
  <c r="J10" i="50" s="1"/>
  <c r="K35" i="71"/>
  <c r="E48" i="73"/>
  <c r="E37" i="73"/>
  <c r="I288" i="50"/>
  <c r="J288" i="50" s="1"/>
  <c r="M180" i="50"/>
  <c r="N180" i="50" s="1"/>
  <c r="F37" i="73"/>
  <c r="M169" i="50"/>
  <c r="N169" i="50" s="1"/>
  <c r="D21" i="47"/>
  <c r="K63" i="50"/>
  <c r="M63" i="50" s="1"/>
  <c r="N63" i="50" s="1"/>
  <c r="H38" i="72"/>
  <c r="N3042" i="18"/>
  <c r="O3149" i="18" s="1"/>
  <c r="K192" i="50"/>
  <c r="L64" i="5"/>
  <c r="M60" i="50"/>
  <c r="N60" i="50" s="1"/>
  <c r="M47" i="50"/>
  <c r="N47" i="50" s="1"/>
  <c r="M196" i="50"/>
  <c r="N196" i="50" s="1"/>
  <c r="M205" i="50"/>
  <c r="N205" i="50" s="1"/>
  <c r="M10" i="50"/>
  <c r="N10" i="50" s="1"/>
  <c r="I236" i="50"/>
  <c r="J236" i="50" s="1"/>
  <c r="I161" i="50"/>
  <c r="J161" i="50" s="1"/>
  <c r="I198" i="50"/>
  <c r="J198" i="50" s="1"/>
  <c r="I177" i="50"/>
  <c r="J177" i="50" s="1"/>
  <c r="M215" i="50"/>
  <c r="N215" i="50" s="1"/>
  <c r="M214" i="50"/>
  <c r="N214" i="50" s="1"/>
  <c r="M15" i="50"/>
  <c r="N15" i="50" s="1"/>
  <c r="M189" i="50"/>
  <c r="N189" i="50" s="1"/>
  <c r="M156" i="50"/>
  <c r="N156" i="50" s="1"/>
  <c r="M287" i="50"/>
  <c r="N287" i="50" s="1"/>
  <c r="M195" i="50"/>
  <c r="N195" i="50" s="1"/>
  <c r="M251" i="50"/>
  <c r="N251" i="50" s="1"/>
  <c r="I327" i="50"/>
  <c r="J327" i="50" s="1"/>
  <c r="K11" i="71"/>
  <c r="E59" i="69"/>
  <c r="I215" i="50"/>
  <c r="J215" i="50" s="1"/>
  <c r="I309" i="50"/>
  <c r="J309" i="50" s="1"/>
  <c r="M201" i="50"/>
  <c r="N201" i="50" s="1"/>
  <c r="N34" i="75"/>
  <c r="I159" i="50"/>
  <c r="J159" i="50" s="1"/>
  <c r="I12" i="50"/>
  <c r="J12" i="50" s="1"/>
  <c r="G100" i="50"/>
  <c r="G99" i="50"/>
  <c r="I321" i="50"/>
  <c r="J321" i="50" s="1"/>
  <c r="M290" i="50"/>
  <c r="N290" i="50" s="1"/>
  <c r="K120" i="50"/>
  <c r="M243" i="50"/>
  <c r="N243" i="50" s="1"/>
  <c r="M244" i="50"/>
  <c r="N244" i="50" s="1"/>
  <c r="M316" i="50"/>
  <c r="N316" i="50" s="1"/>
  <c r="D21" i="51"/>
  <c r="I21" i="51" s="1"/>
  <c r="J21" i="51" s="1"/>
  <c r="M69" i="50"/>
  <c r="N69" i="50" s="1"/>
  <c r="M101" i="50"/>
  <c r="N101" i="50" s="1"/>
  <c r="F13" i="73"/>
  <c r="M231" i="50"/>
  <c r="N231" i="50" s="1"/>
  <c r="M13" i="50"/>
  <c r="N13" i="50" s="1"/>
  <c r="K193" i="50"/>
  <c r="K190" i="50"/>
  <c r="H47" i="68"/>
  <c r="M14" i="50"/>
  <c r="N14" i="50" s="1"/>
  <c r="M255" i="50"/>
  <c r="N255" i="50" s="1"/>
  <c r="M262" i="50"/>
  <c r="N262" i="50" s="1"/>
  <c r="M315" i="50"/>
  <c r="N315" i="50" s="1"/>
  <c r="K3828" i="18"/>
  <c r="L3839" i="18" s="1"/>
  <c r="I329" i="50"/>
  <c r="J329" i="50" s="1"/>
  <c r="AA36" i="71"/>
  <c r="M225" i="50"/>
  <c r="N225" i="50" s="1"/>
  <c r="I292" i="50"/>
  <c r="J292" i="50" s="1"/>
  <c r="I68" i="50"/>
  <c r="J68" i="50" s="1"/>
  <c r="M130" i="50"/>
  <c r="N130" i="50" s="1"/>
  <c r="M324" i="50"/>
  <c r="N324" i="50" s="1"/>
  <c r="I116" i="50"/>
  <c r="J116" i="50" s="1"/>
  <c r="I205" i="50"/>
  <c r="J205" i="50" s="1"/>
  <c r="I315" i="50"/>
  <c r="J315" i="50" s="1"/>
  <c r="I290" i="50"/>
  <c r="J290" i="50" s="1"/>
  <c r="G81" i="50"/>
  <c r="K30" i="68"/>
  <c r="I319" i="50"/>
  <c r="J319" i="50" s="1"/>
  <c r="I66" i="50"/>
  <c r="J66" i="50" s="1"/>
  <c r="I57" i="50"/>
  <c r="J57" i="50" s="1"/>
  <c r="G70" i="50"/>
  <c r="M138" i="50"/>
  <c r="N138" i="50" s="1"/>
  <c r="M115" i="50"/>
  <c r="N115" i="50" s="1"/>
  <c r="M177" i="50"/>
  <c r="N177" i="50" s="1"/>
  <c r="M212" i="50"/>
  <c r="N212" i="50" s="1"/>
  <c r="M281" i="50"/>
  <c r="N281" i="50" s="1"/>
  <c r="M318" i="50"/>
  <c r="N318" i="50" s="1"/>
  <c r="M322" i="50"/>
  <c r="N322" i="50" s="1"/>
  <c r="M179" i="50"/>
  <c r="N179" i="50" s="1"/>
  <c r="M161" i="50"/>
  <c r="N161" i="50" s="1"/>
  <c r="M321" i="50"/>
  <c r="N321" i="50" s="1"/>
  <c r="M286" i="50"/>
  <c r="N286" i="50" s="1"/>
  <c r="M217" i="50"/>
  <c r="N217" i="50" s="1"/>
  <c r="M218" i="50"/>
  <c r="N218" i="50" s="1"/>
  <c r="K194" i="50"/>
  <c r="D106" i="47"/>
  <c r="M57" i="50"/>
  <c r="N57" i="50" s="1"/>
  <c r="M268" i="50"/>
  <c r="N268" i="50" s="1"/>
  <c r="M238" i="50"/>
  <c r="N238" i="50" s="1"/>
  <c r="M267" i="50"/>
  <c r="N267" i="50" s="1"/>
  <c r="M250" i="50"/>
  <c r="N250" i="50" s="1"/>
  <c r="M159" i="50"/>
  <c r="N159" i="50" s="1"/>
  <c r="I331" i="50"/>
  <c r="J331" i="50" s="1"/>
  <c r="I212" i="50"/>
  <c r="J212" i="50" s="1"/>
  <c r="M224" i="50"/>
  <c r="N224" i="50" s="1"/>
  <c r="I60" i="50"/>
  <c r="J60" i="50" s="1"/>
  <c r="L47" i="68"/>
  <c r="Q52" i="71" s="1"/>
  <c r="K284" i="50"/>
  <c r="M284" i="50" s="1"/>
  <c r="N284" i="50" s="1"/>
  <c r="L38" i="72"/>
  <c r="M833" i="5"/>
  <c r="L356" i="5"/>
  <c r="M358" i="5"/>
  <c r="M232" i="5" s="1"/>
  <c r="D87" i="51"/>
  <c r="I87" i="51" s="1"/>
  <c r="J87" i="51" s="1"/>
  <c r="I18" i="5"/>
  <c r="L287" i="5"/>
  <c r="L275" i="5" s="1"/>
  <c r="L298" i="5" s="1"/>
  <c r="M399" i="5"/>
  <c r="M643" i="5"/>
  <c r="M639" i="5" s="1"/>
  <c r="M520" i="5"/>
  <c r="K11" i="50"/>
  <c r="L205" i="5"/>
  <c r="M637" i="5"/>
  <c r="M634" i="5" s="1"/>
  <c r="M430" i="5"/>
  <c r="M433" i="5" s="1"/>
  <c r="M513" i="5"/>
  <c r="M224" i="5" s="1"/>
  <c r="S18" i="75"/>
  <c r="S16" i="75" s="1"/>
  <c r="M308" i="5"/>
  <c r="O27" i="71"/>
  <c r="G221" i="50"/>
  <c r="F20" i="73"/>
  <c r="G13" i="51"/>
  <c r="M34" i="75"/>
  <c r="I23" i="75"/>
  <c r="G217" i="50"/>
  <c r="I217" i="50" s="1"/>
  <c r="J217" i="50" s="1"/>
  <c r="G30" i="75"/>
  <c r="F31" i="47"/>
  <c r="I31" i="47" s="1"/>
  <c r="J31" i="47" s="1"/>
  <c r="E30" i="71"/>
  <c r="I28" i="71"/>
  <c r="K70" i="18"/>
  <c r="L71" i="18" s="1"/>
  <c r="G41" i="72"/>
  <c r="I535" i="5"/>
  <c r="E35" i="69"/>
  <c r="G274" i="5"/>
  <c r="G32" i="72"/>
  <c r="H11" i="68"/>
  <c r="N1822" i="18"/>
  <c r="O1908" i="18" s="1"/>
  <c r="K116" i="50"/>
  <c r="M116" i="50" s="1"/>
  <c r="N116" i="50" s="1"/>
  <c r="K119" i="50"/>
  <c r="K242" i="50"/>
  <c r="K241" i="50"/>
  <c r="M241" i="50" s="1"/>
  <c r="N241" i="50" s="1"/>
  <c r="K597" i="5"/>
  <c r="K622" i="5" s="1"/>
  <c r="H32" i="72"/>
  <c r="D51" i="47"/>
  <c r="D105" i="47"/>
  <c r="F23" i="69"/>
  <c r="L630" i="5"/>
  <c r="L655" i="5" s="1"/>
  <c r="D40" i="51"/>
  <c r="I40" i="51" s="1"/>
  <c r="J40" i="51" s="1"/>
  <c r="K291" i="50"/>
  <c r="M291" i="50" s="1"/>
  <c r="N291" i="50" s="1"/>
  <c r="F60" i="69"/>
  <c r="K3408" i="18"/>
  <c r="L3409" i="18" s="1"/>
  <c r="F15" i="71"/>
  <c r="I596" i="5"/>
  <c r="K34" i="68"/>
  <c r="K2411" i="18"/>
  <c r="L2412" i="18" s="1"/>
  <c r="F99" i="51"/>
  <c r="V21" i="75"/>
  <c r="H27" i="71"/>
  <c r="G83" i="51"/>
  <c r="K27" i="72"/>
  <c r="N19" i="71"/>
  <c r="G130" i="50"/>
  <c r="I130" i="50" s="1"/>
  <c r="J130" i="50" s="1"/>
  <c r="F112" i="47"/>
  <c r="I112" i="47" s="1"/>
  <c r="J112" i="47" s="1"/>
  <c r="F24" i="47"/>
  <c r="I24" i="47" s="1"/>
  <c r="J24" i="47" s="1"/>
  <c r="K42" i="68"/>
  <c r="K122" i="50"/>
  <c r="H25" i="72"/>
  <c r="L25" i="68"/>
  <c r="K163" i="50"/>
  <c r="K198" i="50"/>
  <c r="M198" i="50" s="1"/>
  <c r="N198" i="50" s="1"/>
  <c r="D105" i="51"/>
  <c r="I105" i="51" s="1"/>
  <c r="J105" i="51" s="1"/>
  <c r="D108" i="48"/>
  <c r="H43" i="68"/>
  <c r="N3996" i="18"/>
  <c r="O3997" i="18" s="1"/>
  <c r="H711" i="5"/>
  <c r="H713" i="5" s="1"/>
  <c r="Y32" i="71"/>
  <c r="AC32" i="71" s="1"/>
  <c r="G109" i="50"/>
  <c r="G50" i="68"/>
  <c r="D46" i="51"/>
  <c r="I46" i="51" s="1"/>
  <c r="J46" i="51" s="1"/>
  <c r="H597" i="5"/>
  <c r="G243" i="50"/>
  <c r="I243" i="50" s="1"/>
  <c r="J243" i="50" s="1"/>
  <c r="N3769" i="18"/>
  <c r="O3770" i="18" s="1"/>
  <c r="K239" i="50"/>
  <c r="M239" i="50" s="1"/>
  <c r="N239" i="50" s="1"/>
  <c r="L18" i="72"/>
  <c r="D67" i="51"/>
  <c r="I67" i="51" s="1"/>
  <c r="J67" i="51" s="1"/>
  <c r="L24" i="68"/>
  <c r="K240" i="50"/>
  <c r="D67" i="47"/>
  <c r="I67" i="47" s="1"/>
  <c r="J67" i="47" s="1"/>
  <c r="G27" i="75"/>
  <c r="F74" i="47"/>
  <c r="K46" i="72"/>
  <c r="L51" i="75" s="1"/>
  <c r="G105" i="50"/>
  <c r="K12" i="50"/>
  <c r="M12" i="50" s="1"/>
  <c r="N12" i="50" s="1"/>
  <c r="L40" i="72"/>
  <c r="R51" i="75" s="1"/>
  <c r="K144" i="50"/>
  <c r="Q35" i="75"/>
  <c r="K1616" i="18"/>
  <c r="L1617" i="18" s="1"/>
  <c r="L32" i="71"/>
  <c r="G106" i="50"/>
  <c r="F57" i="70"/>
  <c r="N1789" i="18"/>
  <c r="O1790" i="18" s="1"/>
  <c r="K113" i="50"/>
  <c r="M113" i="50" s="1"/>
  <c r="N113" i="50" s="1"/>
  <c r="K114" i="50"/>
  <c r="D26" i="47"/>
  <c r="D26" i="51"/>
  <c r="I26" i="51" s="1"/>
  <c r="J26" i="51" s="1"/>
  <c r="H27" i="68"/>
  <c r="H21" i="72"/>
  <c r="O9" i="75"/>
  <c r="G25" i="71"/>
  <c r="G21" i="71" s="1"/>
  <c r="K4423" i="18"/>
  <c r="L4424" i="18" s="1"/>
  <c r="D28" i="71"/>
  <c r="I585" i="5"/>
  <c r="N3318" i="18"/>
  <c r="O3319" i="18" s="1"/>
  <c r="D34" i="47"/>
  <c r="M35" i="5"/>
  <c r="G102" i="50"/>
  <c r="F47" i="70"/>
  <c r="H169" i="5"/>
  <c r="H193" i="5" s="1"/>
  <c r="M25" i="71"/>
  <c r="J24" i="71"/>
  <c r="G257" i="50"/>
  <c r="I257" i="50" s="1"/>
  <c r="J257" i="50" s="1"/>
  <c r="G108" i="50"/>
  <c r="G110" i="50"/>
  <c r="G103" i="50"/>
  <c r="L49" i="68"/>
  <c r="R52" i="71" s="1"/>
  <c r="K33" i="75"/>
  <c r="K32" i="75" s="1"/>
  <c r="G259" i="50"/>
  <c r="G223" i="50"/>
  <c r="K55" i="68"/>
  <c r="L52" i="71" s="1"/>
  <c r="G291" i="50"/>
  <c r="I291" i="50" s="1"/>
  <c r="J291" i="50" s="1"/>
  <c r="G193" i="50"/>
  <c r="G278" i="50"/>
  <c r="I278" i="50" s="1"/>
  <c r="J278" i="50" s="1"/>
  <c r="G90" i="50"/>
  <c r="K3967" i="18"/>
  <c r="L3968" i="18" s="1"/>
  <c r="G19" i="72"/>
  <c r="G107" i="50"/>
  <c r="G25" i="68"/>
  <c r="L8" i="68"/>
  <c r="H9" i="72"/>
  <c r="H23" i="72" s="1"/>
  <c r="D30" i="51"/>
  <c r="I30" i="51" s="1"/>
  <c r="K121" i="50"/>
  <c r="D52" i="47"/>
  <c r="I52" i="47" s="1"/>
  <c r="J52" i="47" s="1"/>
  <c r="D107" i="47"/>
  <c r="N2919" i="18"/>
  <c r="O2982" i="18" s="1"/>
  <c r="D34" i="51"/>
  <c r="I34" i="51" s="1"/>
  <c r="J34" i="51" s="1"/>
  <c r="G104" i="50"/>
  <c r="F76" i="48"/>
  <c r="F78" i="48" s="1"/>
  <c r="E25" i="69"/>
  <c r="L29" i="72"/>
  <c r="M11" i="71"/>
  <c r="G11" i="71"/>
  <c r="G13" i="71" s="1"/>
  <c r="T44" i="71" s="1"/>
  <c r="O34" i="75"/>
  <c r="O32" i="75" s="1"/>
  <c r="E21" i="74"/>
  <c r="E24" i="74" s="1"/>
  <c r="U29" i="71"/>
  <c r="I22" i="71"/>
  <c r="M229" i="5"/>
  <c r="T31" i="75"/>
  <c r="AC31" i="75" s="1"/>
  <c r="G71" i="51"/>
  <c r="I13" i="47"/>
  <c r="J13" i="47" s="1"/>
  <c r="E35" i="73"/>
  <c r="G121" i="5"/>
  <c r="I121" i="5" s="1"/>
  <c r="F65" i="47"/>
  <c r="F80" i="47"/>
  <c r="I80" i="47" s="1"/>
  <c r="J80" i="47" s="1"/>
  <c r="F14" i="47"/>
  <c r="K3212" i="18"/>
  <c r="L3213" i="18" s="1"/>
  <c r="G75" i="50"/>
  <c r="F71" i="47"/>
  <c r="I71" i="47" s="1"/>
  <c r="J71" i="47" s="1"/>
  <c r="F71" i="48"/>
  <c r="F73" i="48" s="1"/>
  <c r="G38" i="50"/>
  <c r="M453" i="5"/>
  <c r="N70" i="18"/>
  <c r="O71" i="18" s="1"/>
  <c r="D14" i="47"/>
  <c r="F33" i="69"/>
  <c r="L56" i="68"/>
  <c r="Z52" i="71" s="1"/>
  <c r="K292" i="50"/>
  <c r="M292" i="50" s="1"/>
  <c r="N292" i="50" s="1"/>
  <c r="D38" i="51"/>
  <c r="I38" i="51" s="1"/>
  <c r="J38" i="51" s="1"/>
  <c r="H41" i="68"/>
  <c r="D51" i="51"/>
  <c r="I51" i="51" s="1"/>
  <c r="J51" i="51" s="1"/>
  <c r="D52" i="51"/>
  <c r="I52" i="51" s="1"/>
  <c r="J52" i="51" s="1"/>
  <c r="K337" i="5"/>
  <c r="K360" i="5" s="1"/>
  <c r="D106" i="51"/>
  <c r="I106" i="51" s="1"/>
  <c r="J106" i="51" s="1"/>
  <c r="K168" i="50"/>
  <c r="M168" i="50" s="1"/>
  <c r="N168" i="50" s="1"/>
  <c r="D40" i="47"/>
  <c r="K148" i="50"/>
  <c r="K150" i="50"/>
  <c r="K153" i="50"/>
  <c r="K277" i="50"/>
  <c r="D93" i="51"/>
  <c r="I93" i="51" s="1"/>
  <c r="J93" i="51" s="1"/>
  <c r="F18" i="47"/>
  <c r="AA21" i="75"/>
  <c r="K17" i="71"/>
  <c r="Z35" i="75"/>
  <c r="E11" i="73"/>
  <c r="D94" i="51"/>
  <c r="I94" i="51" s="1"/>
  <c r="J94" i="51" s="1"/>
  <c r="K200" i="50"/>
  <c r="M200" i="50" s="1"/>
  <c r="N200" i="50" s="1"/>
  <c r="K276" i="50"/>
  <c r="M22" i="71"/>
  <c r="J11" i="71"/>
  <c r="G33" i="75"/>
  <c r="F38" i="47"/>
  <c r="I38" i="47" s="1"/>
  <c r="J38" i="47" s="1"/>
  <c r="K4798" i="18"/>
  <c r="L4799" i="18" s="1"/>
  <c r="F103" i="47"/>
  <c r="I103" i="47" s="1"/>
  <c r="J103" i="47" s="1"/>
  <c r="F51" i="47"/>
  <c r="G82" i="50"/>
  <c r="G87" i="50"/>
  <c r="I356" i="5"/>
  <c r="G32" i="50"/>
  <c r="G162" i="50"/>
  <c r="N4821" i="18"/>
  <c r="O4822" i="18" s="1"/>
  <c r="K317" i="50"/>
  <c r="M317" i="50" s="1"/>
  <c r="N317" i="50" s="1"/>
  <c r="L564" i="5"/>
  <c r="L589" i="5" s="1"/>
  <c r="N4448" i="18"/>
  <c r="O4449" i="18" s="1"/>
  <c r="N2519" i="18"/>
  <c r="O2520" i="18" s="1"/>
  <c r="N3212" i="18"/>
  <c r="O3213" i="18" s="1"/>
  <c r="N3238" i="18"/>
  <c r="O3240" i="18" s="1"/>
  <c r="K151" i="50"/>
  <c r="K149" i="50"/>
  <c r="N2907" i="18"/>
  <c r="O2908" i="18" s="1"/>
  <c r="K216" i="50"/>
  <c r="M216" i="50" s="1"/>
  <c r="N216" i="50" s="1"/>
  <c r="N4423" i="18"/>
  <c r="O4424" i="18" s="1"/>
  <c r="L55" i="68"/>
  <c r="Y52" i="71" s="1"/>
  <c r="G249" i="50"/>
  <c r="N22" i="71"/>
  <c r="K2519" i="18"/>
  <c r="L2520" i="18" s="1"/>
  <c r="L171" i="5"/>
  <c r="L170" i="5" s="1"/>
  <c r="G237" i="50"/>
  <c r="G531" i="5"/>
  <c r="G556" i="5" s="1"/>
  <c r="G245" i="50"/>
  <c r="K34" i="71"/>
  <c r="G19" i="51"/>
  <c r="G18" i="51"/>
  <c r="K10" i="71"/>
  <c r="O17" i="75"/>
  <c r="G60" i="51"/>
  <c r="F42" i="47"/>
  <c r="I42" i="47" s="1"/>
  <c r="J42" i="47" s="1"/>
  <c r="H35" i="75"/>
  <c r="G260" i="50"/>
  <c r="K3996" i="18"/>
  <c r="L3997" i="18" s="1"/>
  <c r="G261" i="50"/>
  <c r="G156" i="50"/>
  <c r="I156" i="50" s="1"/>
  <c r="J156" i="50" s="1"/>
  <c r="K13" i="72"/>
  <c r="H567" i="5"/>
  <c r="J33" i="75"/>
  <c r="K1946" i="18"/>
  <c r="L1947" i="18" s="1"/>
  <c r="D30" i="71"/>
  <c r="K16" i="72"/>
  <c r="S28" i="71"/>
  <c r="K54" i="68"/>
  <c r="K52" i="71" s="1"/>
  <c r="K45" i="72"/>
  <c r="G160" i="50"/>
  <c r="K51" i="68"/>
  <c r="H52" i="71" s="1"/>
  <c r="H29" i="71"/>
  <c r="H26" i="71" s="1"/>
  <c r="E22" i="73"/>
  <c r="H203" i="5"/>
  <c r="E44" i="73"/>
  <c r="K42" i="72"/>
  <c r="M367" i="5"/>
  <c r="E52" i="70"/>
  <c r="M28" i="71"/>
  <c r="I36" i="71"/>
  <c r="G246" i="50"/>
  <c r="E32" i="71"/>
  <c r="G42" i="51"/>
  <c r="G22" i="51"/>
  <c r="G44" i="51"/>
  <c r="G30" i="72"/>
  <c r="G35" i="68"/>
  <c r="U28" i="71"/>
  <c r="M507" i="5"/>
  <c r="G51" i="51"/>
  <c r="G46" i="51"/>
  <c r="G27" i="51"/>
  <c r="G82" i="51"/>
  <c r="I410" i="5"/>
  <c r="K25" i="72"/>
  <c r="G39" i="68"/>
  <c r="G220" i="50"/>
  <c r="O20" i="71"/>
  <c r="G129" i="50"/>
  <c r="F92" i="47"/>
  <c r="I92" i="47" s="1"/>
  <c r="J92" i="47" s="1"/>
  <c r="F37" i="47"/>
  <c r="K4350" i="18"/>
  <c r="L4351" i="18" s="1"/>
  <c r="I651" i="5"/>
  <c r="H274" i="5"/>
  <c r="H208" i="5" s="1"/>
  <c r="E36" i="71"/>
  <c r="G63" i="5"/>
  <c r="E56" i="70"/>
  <c r="I77" i="47"/>
  <c r="J77" i="47" s="1"/>
  <c r="M318" i="5"/>
  <c r="G244" i="50"/>
  <c r="I244" i="50" s="1"/>
  <c r="J244" i="50" s="1"/>
  <c r="G247" i="50"/>
  <c r="AA21" i="71"/>
  <c r="H242" i="5"/>
  <c r="H267" i="5" s="1"/>
  <c r="I17" i="71"/>
  <c r="G349" i="5"/>
  <c r="G337" i="5" s="1"/>
  <c r="G360" i="5" s="1"/>
  <c r="G306" i="50"/>
  <c r="G33" i="50"/>
  <c r="G39" i="50"/>
  <c r="G36" i="50"/>
  <c r="K19" i="72"/>
  <c r="AB10" i="75"/>
  <c r="F12" i="48"/>
  <c r="I372" i="5"/>
  <c r="Q26" i="75"/>
  <c r="E101" i="74"/>
  <c r="J31" i="71"/>
  <c r="I294" i="5"/>
  <c r="H35" i="71"/>
  <c r="H33" i="71" s="1"/>
  <c r="F36" i="47"/>
  <c r="I36" i="47" s="1"/>
  <c r="J36" i="47" s="1"/>
  <c r="G157" i="50"/>
  <c r="M20" i="75"/>
  <c r="O12" i="75"/>
  <c r="G124" i="50"/>
  <c r="I124" i="50" s="1"/>
  <c r="J124" i="50" s="1"/>
  <c r="G127" i="50"/>
  <c r="E11" i="71"/>
  <c r="G171" i="5"/>
  <c r="G170" i="5" s="1"/>
  <c r="G192" i="5" s="1"/>
  <c r="G38" i="72"/>
  <c r="G15" i="68"/>
  <c r="G35" i="50"/>
  <c r="E9" i="73"/>
  <c r="L18" i="75"/>
  <c r="K18" i="72"/>
  <c r="H368" i="5"/>
  <c r="H393" i="5" s="1"/>
  <c r="F68" i="47"/>
  <c r="I68" i="47" s="1"/>
  <c r="J68" i="47" s="1"/>
  <c r="H306" i="5"/>
  <c r="K31" i="75"/>
  <c r="L17" i="75"/>
  <c r="O15" i="75"/>
  <c r="G43" i="50"/>
  <c r="G44" i="50"/>
  <c r="G305" i="50"/>
  <c r="I305" i="50" s="1"/>
  <c r="J305" i="50" s="1"/>
  <c r="U15" i="75"/>
  <c r="X20" i="71"/>
  <c r="G9" i="75"/>
  <c r="F105" i="47"/>
  <c r="I105" i="47" s="1"/>
  <c r="J105" i="47" s="1"/>
  <c r="G45" i="50"/>
  <c r="G19" i="75"/>
  <c r="R21" i="75"/>
  <c r="L3829" i="18"/>
  <c r="G125" i="50"/>
  <c r="H565" i="5"/>
  <c r="H210" i="5" s="1"/>
  <c r="E29" i="69"/>
  <c r="G230" i="5"/>
  <c r="F48" i="47"/>
  <c r="I48" i="47" s="1"/>
  <c r="J48" i="47" s="1"/>
  <c r="G40" i="50"/>
  <c r="G42" i="50"/>
  <c r="E15" i="71"/>
  <c r="E21" i="69"/>
  <c r="I245" i="5"/>
  <c r="G239" i="50"/>
  <c r="I239" i="50" s="1"/>
  <c r="J239" i="50" s="1"/>
  <c r="I37" i="47"/>
  <c r="J37" i="47" s="1"/>
  <c r="I606" i="5"/>
  <c r="G28" i="50"/>
  <c r="I28" i="50" s="1"/>
  <c r="J28" i="50" s="1"/>
  <c r="G13" i="72"/>
  <c r="B6" i="85" s="1"/>
  <c r="E6" i="85" s="1"/>
  <c r="F17" i="74"/>
  <c r="F94" i="74" s="1"/>
  <c r="F10" i="71"/>
  <c r="K2031" i="18"/>
  <c r="L2032" i="18" s="1"/>
  <c r="E40" i="69"/>
  <c r="E13" i="73"/>
  <c r="G40" i="68"/>
  <c r="I172" i="5"/>
  <c r="I171" i="5" s="1"/>
  <c r="D57" i="47"/>
  <c r="D57" i="51"/>
  <c r="K207" i="50"/>
  <c r="U18" i="75"/>
  <c r="L169" i="5"/>
  <c r="L193" i="5" s="1"/>
  <c r="F30" i="69"/>
  <c r="K236" i="50"/>
  <c r="M236" i="50" s="1"/>
  <c r="N236" i="50" s="1"/>
  <c r="M178" i="5"/>
  <c r="M469" i="5"/>
  <c r="F24" i="69"/>
  <c r="D45" i="47"/>
  <c r="N3431" i="18"/>
  <c r="O3432" i="18" s="1"/>
  <c r="D61" i="51"/>
  <c r="I61" i="51" s="1"/>
  <c r="J61" i="51" s="1"/>
  <c r="D79" i="47"/>
  <c r="K260" i="50"/>
  <c r="L25" i="72"/>
  <c r="K257" i="50"/>
  <c r="M257" i="50" s="1"/>
  <c r="N257" i="50" s="1"/>
  <c r="K64" i="5"/>
  <c r="L401" i="5"/>
  <c r="L426" i="5" s="1"/>
  <c r="G241" i="50"/>
  <c r="I241" i="50" s="1"/>
  <c r="J241" i="50" s="1"/>
  <c r="K3800" i="18"/>
  <c r="L3801" i="18" s="1"/>
  <c r="G61" i="51"/>
  <c r="G57" i="51"/>
  <c r="G565" i="5"/>
  <c r="G210" i="5" s="1"/>
  <c r="G120" i="50"/>
  <c r="K3726" i="18"/>
  <c r="L3727" i="18" s="1"/>
  <c r="F32" i="47"/>
  <c r="I32" i="47" s="1"/>
  <c r="J32" i="47" s="1"/>
  <c r="H337" i="5"/>
  <c r="H360" i="5" s="1"/>
  <c r="G194" i="50"/>
  <c r="G112" i="50"/>
  <c r="G31" i="72"/>
  <c r="G119" i="50"/>
  <c r="G122" i="50"/>
  <c r="I10" i="75"/>
  <c r="E35" i="71"/>
  <c r="E33" i="71" s="1"/>
  <c r="L8" i="72"/>
  <c r="K209" i="50"/>
  <c r="K206" i="50"/>
  <c r="M206" i="50" s="1"/>
  <c r="N206" i="50" s="1"/>
  <c r="L121" i="5"/>
  <c r="F57" i="69"/>
  <c r="L47" i="72"/>
  <c r="H42" i="72"/>
  <c r="L597" i="5"/>
  <c r="L622" i="5" s="1"/>
  <c r="K311" i="50"/>
  <c r="K312" i="50"/>
  <c r="M312" i="50" s="1"/>
  <c r="N312" i="50" s="1"/>
  <c r="D45" i="51"/>
  <c r="I45" i="51" s="1"/>
  <c r="J45" i="51" s="1"/>
  <c r="L14" i="68"/>
  <c r="K259" i="50"/>
  <c r="K261" i="50"/>
  <c r="E18" i="71"/>
  <c r="AB11" i="75"/>
  <c r="AB11" i="71"/>
  <c r="I453" i="5"/>
  <c r="H22" i="75"/>
  <c r="H21" i="75" s="1"/>
  <c r="K211" i="50"/>
  <c r="K210" i="50"/>
  <c r="X10" i="71"/>
  <c r="AC10" i="71" s="1"/>
  <c r="D65" i="51"/>
  <c r="I65" i="51" s="1"/>
  <c r="J65" i="51" s="1"/>
  <c r="F12" i="73"/>
  <c r="D74" i="47"/>
  <c r="D74" i="51"/>
  <c r="I74" i="51" s="1"/>
  <c r="L435" i="5"/>
  <c r="L212" i="5" s="1"/>
  <c r="L192" i="5"/>
  <c r="L117" i="5"/>
  <c r="G14" i="51"/>
  <c r="G40" i="51"/>
  <c r="G31" i="51"/>
  <c r="G21" i="51"/>
  <c r="G43" i="51"/>
  <c r="G52" i="51"/>
  <c r="G45" i="51"/>
  <c r="G38" i="51"/>
  <c r="G49" i="51"/>
  <c r="G39" i="51"/>
  <c r="H630" i="5"/>
  <c r="H655" i="5" s="1"/>
  <c r="G37" i="51"/>
  <c r="G41" i="51"/>
  <c r="G24" i="51"/>
  <c r="G16" i="51"/>
  <c r="G47" i="51"/>
  <c r="G36" i="51"/>
  <c r="G35" i="51"/>
  <c r="G20" i="51"/>
  <c r="G15" i="51"/>
  <c r="I178" i="5"/>
  <c r="G169" i="5"/>
  <c r="K3442" i="18"/>
  <c r="L3501" i="18" s="1"/>
  <c r="K15" i="68"/>
  <c r="K50" i="68"/>
  <c r="F52" i="71" s="1"/>
  <c r="K4693" i="18"/>
  <c r="L4694" i="18" s="1"/>
  <c r="K3769" i="18"/>
  <c r="L3770" i="18" s="1"/>
  <c r="E39" i="73"/>
  <c r="H204" i="5"/>
  <c r="E37" i="70"/>
  <c r="E40" i="70" s="1"/>
  <c r="D108" i="47"/>
  <c r="I108" i="47" s="1"/>
  <c r="J108" i="47" s="1"/>
  <c r="D108" i="51"/>
  <c r="I108" i="51" s="1"/>
  <c r="J108" i="51" s="1"/>
  <c r="H50" i="68"/>
  <c r="K152" i="50"/>
  <c r="N2201" i="18"/>
  <c r="O2391" i="18" s="1"/>
  <c r="K154" i="50"/>
  <c r="K146" i="50"/>
  <c r="H498" i="5"/>
  <c r="H523" i="5" s="1"/>
  <c r="G30" i="50"/>
  <c r="G48" i="51"/>
  <c r="G34" i="51"/>
  <c r="G17" i="51"/>
  <c r="G23" i="51"/>
  <c r="G53" i="51"/>
  <c r="G30" i="51"/>
  <c r="G33" i="51"/>
  <c r="G50" i="51"/>
  <c r="G26" i="51"/>
  <c r="I61" i="47"/>
  <c r="J61" i="47" s="1"/>
  <c r="F62" i="47"/>
  <c r="I62" i="47" s="1"/>
  <c r="J62" i="47" s="1"/>
  <c r="J24" i="75"/>
  <c r="G18" i="72"/>
  <c r="E23" i="69"/>
  <c r="K3042" i="18"/>
  <c r="L3149" i="18" s="1"/>
  <c r="K4724" i="18"/>
  <c r="L4725" i="18" s="1"/>
  <c r="K5956" i="18"/>
  <c r="L5957" i="18" s="1"/>
  <c r="M92" i="5"/>
  <c r="K199" i="50"/>
  <c r="N3726" i="18"/>
  <c r="O3727" i="18" s="1"/>
  <c r="K143" i="50"/>
  <c r="H29" i="72"/>
  <c r="K142" i="50"/>
  <c r="M142" i="50" s="1"/>
  <c r="N142" i="50" s="1"/>
  <c r="K147" i="50"/>
  <c r="I634" i="5"/>
  <c r="I325" i="5"/>
  <c r="R24" i="71"/>
  <c r="R21" i="71" s="1"/>
  <c r="M282" i="5"/>
  <c r="W31" i="71"/>
  <c r="W26" i="71" s="1"/>
  <c r="M446" i="5"/>
  <c r="F33" i="70"/>
  <c r="F111" i="70" s="1"/>
  <c r="D28" i="75"/>
  <c r="O34" i="71"/>
  <c r="O33" i="71" s="1"/>
  <c r="D19" i="75"/>
  <c r="S10" i="75"/>
  <c r="S13" i="75" s="1"/>
  <c r="I618" i="5"/>
  <c r="L3856" i="18"/>
  <c r="J26" i="75"/>
  <c r="N27" i="71"/>
  <c r="G27" i="71"/>
  <c r="M305" i="5"/>
  <c r="Y21" i="71"/>
  <c r="K12" i="75"/>
  <c r="N29" i="75"/>
  <c r="L3866" i="18"/>
  <c r="E24" i="71"/>
  <c r="M9" i="75"/>
  <c r="O31" i="75"/>
  <c r="F101" i="74"/>
  <c r="F103" i="74" s="1"/>
  <c r="F104" i="74" s="1"/>
  <c r="D12" i="75"/>
  <c r="M410" i="5"/>
  <c r="E27" i="71"/>
  <c r="I611" i="5"/>
  <c r="H31" i="75"/>
  <c r="E17" i="71"/>
  <c r="H24" i="71"/>
  <c r="H21" i="71" s="1"/>
  <c r="M545" i="5"/>
  <c r="E30" i="75"/>
  <c r="E25" i="75" s="1"/>
  <c r="I601" i="5"/>
  <c r="N24" i="71"/>
  <c r="J20" i="71"/>
  <c r="G20" i="71"/>
  <c r="G16" i="71" s="1"/>
  <c r="E13" i="74"/>
  <c r="E16" i="74" s="1"/>
  <c r="I446" i="5"/>
  <c r="I433" i="5"/>
  <c r="Q13" i="71"/>
  <c r="I382" i="5"/>
  <c r="J9" i="71"/>
  <c r="G80" i="51"/>
  <c r="G77" i="51"/>
  <c r="G78" i="51"/>
  <c r="G81" i="51"/>
  <c r="G76" i="51"/>
  <c r="G74" i="51"/>
  <c r="D31" i="71"/>
  <c r="I400" i="5"/>
  <c r="I219" i="5"/>
  <c r="K28" i="75"/>
  <c r="X11" i="71"/>
  <c r="F30" i="74"/>
  <c r="G69" i="51"/>
  <c r="G59" i="51"/>
  <c r="G79" i="51"/>
  <c r="G66" i="51"/>
  <c r="G68" i="51"/>
  <c r="G64" i="51"/>
  <c r="H12" i="71"/>
  <c r="L30" i="75"/>
  <c r="I90" i="47"/>
  <c r="J90" i="47" s="1"/>
  <c r="I75" i="47"/>
  <c r="J75" i="47" s="1"/>
  <c r="I117" i="47"/>
  <c r="J117" i="47" s="1"/>
  <c r="I318" i="5"/>
  <c r="I305" i="5"/>
  <c r="I34" i="71"/>
  <c r="I277" i="5"/>
  <c r="E22" i="75"/>
  <c r="I377" i="5"/>
  <c r="E39" i="74"/>
  <c r="E40" i="74" s="1"/>
  <c r="Z26" i="71"/>
  <c r="AB29" i="71"/>
  <c r="AC29" i="71" s="1"/>
  <c r="I336" i="5"/>
  <c r="E19" i="71"/>
  <c r="I464" i="5"/>
  <c r="I367" i="5"/>
  <c r="M256" i="5"/>
  <c r="G58" i="51"/>
  <c r="G67" i="51"/>
  <c r="G70" i="51"/>
  <c r="G75" i="51"/>
  <c r="G65" i="51"/>
  <c r="G63" i="51"/>
  <c r="L27" i="71"/>
  <c r="I53" i="47"/>
  <c r="J53" i="47" s="1"/>
  <c r="I89" i="47"/>
  <c r="J89" i="47" s="1"/>
  <c r="M464" i="5"/>
  <c r="M629" i="5"/>
  <c r="Q28" i="75"/>
  <c r="AC28" i="75" s="1"/>
  <c r="H17" i="75"/>
  <c r="H16" i="75" s="1"/>
  <c r="E10" i="75"/>
  <c r="H10" i="75"/>
  <c r="M35" i="75"/>
  <c r="I287" i="5"/>
  <c r="Q31" i="71"/>
  <c r="Q10" i="75"/>
  <c r="Q13" i="75" s="1"/>
  <c r="H10" i="71"/>
  <c r="D18" i="71"/>
  <c r="I246" i="5"/>
  <c r="J19" i="75"/>
  <c r="G368" i="5"/>
  <c r="G393" i="5" s="1"/>
  <c r="E127" i="8"/>
  <c r="E128" i="8" s="1"/>
  <c r="E12" i="71"/>
  <c r="K9" i="75"/>
  <c r="M563" i="5"/>
  <c r="M211" i="5"/>
  <c r="AB24" i="71"/>
  <c r="M241" i="5"/>
  <c r="M568" i="5"/>
  <c r="I479" i="5"/>
  <c r="M711" i="5"/>
  <c r="M829" i="5" s="1"/>
  <c r="H15" i="71"/>
  <c r="H17" i="71"/>
  <c r="M204" i="5"/>
  <c r="V16" i="75"/>
  <c r="I214" i="5"/>
  <c r="I501" i="5"/>
  <c r="L15" i="75" s="1"/>
  <c r="I106" i="47"/>
  <c r="J106" i="47" s="1"/>
  <c r="M479" i="5"/>
  <c r="S24" i="75"/>
  <c r="I629" i="5"/>
  <c r="Q16" i="75"/>
  <c r="I225" i="5"/>
  <c r="I339" i="5"/>
  <c r="I274" i="5"/>
  <c r="M33" i="75"/>
  <c r="M32" i="75" s="1"/>
  <c r="I19" i="75"/>
  <c r="E32" i="75"/>
  <c r="D11" i="71"/>
  <c r="I540" i="5"/>
  <c r="D25" i="71"/>
  <c r="N10" i="75"/>
  <c r="M24" i="71"/>
  <c r="M30" i="71"/>
  <c r="D33" i="75"/>
  <c r="F36" i="71"/>
  <c r="I633" i="5"/>
  <c r="I818" i="5" s="1"/>
  <c r="G17" i="75"/>
  <c r="G16" i="75" s="1"/>
  <c r="I211" i="5"/>
  <c r="I109" i="47"/>
  <c r="J109" i="47" s="1"/>
  <c r="U20" i="71"/>
  <c r="Y27" i="75"/>
  <c r="Y10" i="75"/>
  <c r="Y13" i="75" s="1"/>
  <c r="I552" i="5"/>
  <c r="Y21" i="75"/>
  <c r="M497" i="5"/>
  <c r="M512" i="5"/>
  <c r="I282" i="5"/>
  <c r="F34" i="71"/>
  <c r="I221" i="5"/>
  <c r="I30" i="75"/>
  <c r="I93" i="47"/>
  <c r="J93" i="47" s="1"/>
  <c r="H20" i="71"/>
  <c r="I19" i="47"/>
  <c r="J19" i="47" s="1"/>
  <c r="I308" i="5"/>
  <c r="G29" i="71"/>
  <c r="M225" i="5"/>
  <c r="M226" i="5"/>
  <c r="Y13" i="71"/>
  <c r="I231" i="5"/>
  <c r="I344" i="5"/>
  <c r="K30" i="71"/>
  <c r="I263" i="5"/>
  <c r="I709" i="5"/>
  <c r="T15" i="75"/>
  <c r="G47" i="68"/>
  <c r="D65" i="47"/>
  <c r="I65" i="47" s="1"/>
  <c r="J65" i="47" s="1"/>
  <c r="E29" i="70"/>
  <c r="M313" i="5"/>
  <c r="E31" i="69"/>
  <c r="E19" i="73"/>
  <c r="D107" i="51"/>
  <c r="I107" i="51" s="1"/>
  <c r="J107" i="51" s="1"/>
  <c r="H45" i="68"/>
  <c r="K186" i="50"/>
  <c r="M186" i="50" s="1"/>
  <c r="N186" i="50" s="1"/>
  <c r="G683" i="5"/>
  <c r="G229" i="5"/>
  <c r="D76" i="47"/>
  <c r="E91" i="70"/>
  <c r="E74" i="74"/>
  <c r="F108" i="48"/>
  <c r="E30" i="69"/>
  <c r="E43" i="73"/>
  <c r="H30" i="75"/>
  <c r="I206" i="5"/>
  <c r="K171" i="5"/>
  <c r="K170" i="5" s="1"/>
  <c r="K192" i="5" s="1"/>
  <c r="D78" i="48"/>
  <c r="D79" i="48" s="1"/>
  <c r="M377" i="5"/>
  <c r="K313" i="50"/>
  <c r="M313" i="50" s="1"/>
  <c r="N313" i="50" s="1"/>
  <c r="D46" i="47"/>
  <c r="N4106" i="18"/>
  <c r="F29" i="71"/>
  <c r="G316" i="50"/>
  <c r="I316" i="50" s="1"/>
  <c r="J316" i="50" s="1"/>
  <c r="E17" i="73"/>
  <c r="O13" i="71"/>
  <c r="AB44" i="71" s="1"/>
  <c r="G218" i="5"/>
  <c r="Z20" i="75"/>
  <c r="AA20" i="75"/>
  <c r="AA20" i="71"/>
  <c r="K41" i="72"/>
  <c r="F51" i="75" s="1"/>
  <c r="G310" i="50"/>
  <c r="I25" i="47"/>
  <c r="J25" i="47" s="1"/>
  <c r="G401" i="5"/>
  <c r="G426" i="5" s="1"/>
  <c r="K5901" i="18"/>
  <c r="L5902" i="18" s="1"/>
  <c r="L38" i="68"/>
  <c r="M644" i="5"/>
  <c r="I226" i="5"/>
  <c r="L498" i="5"/>
  <c r="L523" i="5" s="1"/>
  <c r="E52" i="69"/>
  <c r="E47" i="69" s="1"/>
  <c r="K275" i="5"/>
  <c r="K298" i="5" s="1"/>
  <c r="L337" i="5"/>
  <c r="L360" i="5" s="1"/>
  <c r="D76" i="51"/>
  <c r="I76" i="51" s="1"/>
  <c r="J76" i="51" s="1"/>
  <c r="X30" i="75"/>
  <c r="X31" i="71"/>
  <c r="M331" i="50"/>
  <c r="N331" i="50" s="1"/>
  <c r="M325" i="50"/>
  <c r="N325" i="50" s="1"/>
  <c r="M334" i="50"/>
  <c r="N334" i="50" s="1"/>
  <c r="M333" i="50"/>
  <c r="N333" i="50" s="1"/>
  <c r="I9" i="50"/>
  <c r="J9" i="50" s="1"/>
  <c r="I262" i="50"/>
  <c r="J262" i="50" s="1"/>
  <c r="M327" i="50"/>
  <c r="N327" i="50" s="1"/>
  <c r="M329" i="50"/>
  <c r="N329" i="50" s="1"/>
  <c r="I214" i="50"/>
  <c r="J214" i="50" s="1"/>
  <c r="I332" i="50"/>
  <c r="J332" i="50" s="1"/>
  <c r="O5053" i="18"/>
  <c r="O5086" i="18"/>
  <c r="O4694" i="18"/>
  <c r="M64" i="50"/>
  <c r="N64" i="50" s="1"/>
  <c r="O5075" i="18"/>
  <c r="L3471" i="18"/>
  <c r="I287" i="50"/>
  <c r="J287" i="50" s="1"/>
  <c r="M320" i="50"/>
  <c r="N320" i="50" s="1"/>
  <c r="M309" i="50"/>
  <c r="N309" i="50" s="1"/>
  <c r="I13" i="50"/>
  <c r="J13" i="50" s="1"/>
  <c r="O4958" i="18"/>
  <c r="M68" i="50"/>
  <c r="N68" i="50" s="1"/>
  <c r="M305" i="50"/>
  <c r="N305" i="50" s="1"/>
  <c r="M307" i="50"/>
  <c r="N307" i="50" s="1"/>
  <c r="I268" i="50"/>
  <c r="J268" i="50" s="1"/>
  <c r="M270" i="50"/>
  <c r="N270" i="50" s="1"/>
  <c r="O5021" i="18"/>
  <c r="O5037" i="18"/>
  <c r="K4134" i="18"/>
  <c r="L4134" i="18" s="1"/>
  <c r="K3651" i="18"/>
  <c r="K3653" i="18" s="1"/>
  <c r="K3654" i="18" s="1"/>
  <c r="K3655" i="18" s="1"/>
  <c r="L3655" i="18" s="1"/>
  <c r="K3626" i="18"/>
  <c r="M221" i="5"/>
  <c r="T23" i="75"/>
  <c r="T21" i="75" s="1"/>
  <c r="R32" i="75"/>
  <c r="M274" i="5"/>
  <c r="R13" i="75"/>
  <c r="R12" i="71"/>
  <c r="M207" i="5"/>
  <c r="R35" i="71"/>
  <c r="T36" i="71"/>
  <c r="AC23" i="71"/>
  <c r="M220" i="5"/>
  <c r="M344" i="5"/>
  <c r="R34" i="71"/>
  <c r="M294" i="5"/>
  <c r="I132" i="5"/>
  <c r="H465" i="5"/>
  <c r="H490" i="5" s="1"/>
  <c r="D51" i="52"/>
  <c r="D52" i="52" s="1"/>
  <c r="M214" i="5"/>
  <c r="K368" i="5"/>
  <c r="K393" i="5" s="1"/>
  <c r="K213" i="5"/>
  <c r="M215" i="5"/>
  <c r="L306" i="5"/>
  <c r="L329" i="5" s="1"/>
  <c r="H405" i="5"/>
  <c r="H401" i="5" s="1"/>
  <c r="H426" i="5" s="1"/>
  <c r="O20" i="18"/>
  <c r="O59" i="18"/>
  <c r="O10" i="18"/>
  <c r="M578" i="5"/>
  <c r="Z26" i="75"/>
  <c r="Z25" i="75" s="1"/>
  <c r="AA27" i="71"/>
  <c r="AA26" i="71" s="1"/>
  <c r="AA26" i="75"/>
  <c r="AA25" i="75" s="1"/>
  <c r="K498" i="5"/>
  <c r="K523" i="5" s="1"/>
  <c r="G36" i="68"/>
  <c r="G132" i="50"/>
  <c r="G137" i="50"/>
  <c r="G136" i="50"/>
  <c r="G134" i="50"/>
  <c r="G133" i="50"/>
  <c r="G131" i="50"/>
  <c r="G135" i="50"/>
  <c r="L23" i="75"/>
  <c r="L24" i="71"/>
  <c r="E24" i="75"/>
  <c r="E25" i="71"/>
  <c r="O36" i="71"/>
  <c r="O35" i="75"/>
  <c r="I502" i="5"/>
  <c r="I227" i="5"/>
  <c r="G64" i="5"/>
  <c r="K401" i="5"/>
  <c r="K426" i="5" s="1"/>
  <c r="L465" i="5"/>
  <c r="L490" i="5" s="1"/>
  <c r="K14" i="72"/>
  <c r="G225" i="50"/>
  <c r="I225" i="50" s="1"/>
  <c r="J225" i="50" s="1"/>
  <c r="K3530" i="18"/>
  <c r="G230" i="50"/>
  <c r="G224" i="50"/>
  <c r="I224" i="50" s="1"/>
  <c r="J224" i="50" s="1"/>
  <c r="G227" i="50"/>
  <c r="G229" i="50"/>
  <c r="G228" i="50"/>
  <c r="K16" i="68"/>
  <c r="G226" i="50"/>
  <c r="F63" i="47"/>
  <c r="I63" i="47" s="1"/>
  <c r="J63" i="47" s="1"/>
  <c r="G37" i="50"/>
  <c r="G46" i="50"/>
  <c r="G31" i="50"/>
  <c r="G41" i="50"/>
  <c r="Y17" i="71"/>
  <c r="Y16" i="71" s="1"/>
  <c r="M502" i="5"/>
  <c r="Y17" i="75"/>
  <c r="Y16" i="75" s="1"/>
  <c r="T51" i="75"/>
  <c r="K208" i="5"/>
  <c r="M372" i="5"/>
  <c r="H216" i="5"/>
  <c r="H64" i="5"/>
  <c r="G128" i="50"/>
  <c r="G126" i="50"/>
  <c r="J22" i="75"/>
  <c r="J22" i="71"/>
  <c r="R26" i="71"/>
  <c r="M219" i="5"/>
  <c r="W16" i="75"/>
  <c r="T21" i="71"/>
  <c r="K4538" i="18"/>
  <c r="L4538" i="18" s="1"/>
  <c r="M206" i="5"/>
  <c r="W16" i="71"/>
  <c r="K3679" i="18"/>
  <c r="L3679" i="18" s="1"/>
  <c r="W21" i="71"/>
  <c r="R25" i="75"/>
  <c r="M231" i="5"/>
  <c r="M29" i="46"/>
  <c r="N29" i="46" s="1"/>
  <c r="M18" i="46"/>
  <c r="N18" i="46" s="1"/>
  <c r="M48" i="46"/>
  <c r="N48" i="46" s="1"/>
  <c r="J788" i="5"/>
  <c r="J789" i="5" s="1"/>
  <c r="M44" i="46"/>
  <c r="N44" i="46" s="1"/>
  <c r="M10" i="46"/>
  <c r="N10" i="46" s="1"/>
  <c r="M13" i="46"/>
  <c r="N13" i="46" s="1"/>
  <c r="M35" i="46"/>
  <c r="N35" i="46" s="1"/>
  <c r="M43" i="46"/>
  <c r="N43" i="46" s="1"/>
  <c r="M37" i="46"/>
  <c r="N37" i="46" s="1"/>
  <c r="M22" i="46"/>
  <c r="N22" i="46" s="1"/>
  <c r="X15" i="71"/>
  <c r="X15" i="75"/>
  <c r="I837" i="5"/>
  <c r="K49" i="68"/>
  <c r="E52" i="71" s="1"/>
  <c r="K40" i="72"/>
  <c r="E51" i="75" s="1"/>
  <c r="K2201" i="18"/>
  <c r="G148" i="50"/>
  <c r="G155" i="50"/>
  <c r="G145" i="50"/>
  <c r="F34" i="47"/>
  <c r="G29" i="72"/>
  <c r="G146" i="50"/>
  <c r="G38" i="68"/>
  <c r="G142" i="50"/>
  <c r="I142" i="50" s="1"/>
  <c r="J142" i="50" s="1"/>
  <c r="G144" i="50"/>
  <c r="G154" i="50"/>
  <c r="G150" i="50"/>
  <c r="G149" i="50"/>
  <c r="G152" i="50"/>
  <c r="G147" i="50"/>
  <c r="G151" i="50"/>
  <c r="G143" i="50"/>
  <c r="G153" i="50"/>
  <c r="AB22" i="75"/>
  <c r="AB21" i="75" s="1"/>
  <c r="M606" i="5"/>
  <c r="AB22" i="71"/>
  <c r="O4136" i="18"/>
  <c r="O4157" i="18"/>
  <c r="O3443" i="18"/>
  <c r="O3481" i="18"/>
  <c r="O3454" i="18"/>
  <c r="U51" i="75"/>
  <c r="J737" i="5"/>
  <c r="AB30" i="75"/>
  <c r="M228" i="5"/>
  <c r="AB31" i="71"/>
  <c r="K96" i="7"/>
  <c r="I59" i="47"/>
  <c r="J59" i="47" s="1"/>
  <c r="M251" i="5"/>
  <c r="V16" i="71"/>
  <c r="I441" i="5"/>
  <c r="I228" i="5"/>
  <c r="H622" i="5"/>
  <c r="G31" i="75"/>
  <c r="H275" i="5"/>
  <c r="G51" i="68"/>
  <c r="G67" i="50"/>
  <c r="I20" i="47"/>
  <c r="J20" i="47" s="1"/>
  <c r="G242" i="5"/>
  <c r="G267" i="5" s="1"/>
  <c r="I58" i="47"/>
  <c r="J58" i="47" s="1"/>
  <c r="I568" i="5"/>
  <c r="G20" i="72"/>
  <c r="G312" i="50"/>
  <c r="I312" i="50" s="1"/>
  <c r="J312" i="50" s="1"/>
  <c r="F82" i="47"/>
  <c r="I82" i="47" s="1"/>
  <c r="J82" i="47" s="1"/>
  <c r="F47" i="47"/>
  <c r="I47" i="47" s="1"/>
  <c r="J47" i="47" s="1"/>
  <c r="I512" i="5"/>
  <c r="H92" i="5"/>
  <c r="H109" i="5" s="1"/>
  <c r="L12" i="80"/>
  <c r="F800" i="5"/>
  <c r="F803" i="5" s="1"/>
  <c r="F804" i="5" s="1"/>
  <c r="F813" i="5"/>
  <c r="Z34" i="71"/>
  <c r="Z33" i="71" s="1"/>
  <c r="M552" i="5"/>
  <c r="O1307" i="18"/>
  <c r="O988" i="18"/>
  <c r="O1277" i="18"/>
  <c r="O1491" i="18"/>
  <c r="O1057" i="18"/>
  <c r="O1520" i="18"/>
  <c r="O1292" i="18"/>
  <c r="Z22" i="71"/>
  <c r="Z21" i="71" s="1"/>
  <c r="M540" i="5"/>
  <c r="T26" i="75"/>
  <c r="M349" i="5"/>
  <c r="T27" i="71"/>
  <c r="T26" i="71" s="1"/>
  <c r="L230" i="5"/>
  <c r="N4167" i="18"/>
  <c r="O4168" i="18" s="1"/>
  <c r="K273" i="50"/>
  <c r="L39" i="68"/>
  <c r="L213" i="5"/>
  <c r="M194" i="5"/>
  <c r="F795" i="5"/>
  <c r="F798" i="5" s="1"/>
  <c r="F799" i="5" s="1"/>
  <c r="F821" i="5"/>
  <c r="F790" i="5"/>
  <c r="F793" i="5" s="1"/>
  <c r="F794" i="5" s="1"/>
  <c r="X18" i="71"/>
  <c r="X18" i="75"/>
  <c r="K306" i="5"/>
  <c r="K329" i="5" s="1"/>
  <c r="L22" i="68"/>
  <c r="K237" i="50"/>
  <c r="L531" i="5"/>
  <c r="L556" i="5" s="1"/>
  <c r="V34" i="75"/>
  <c r="V35" i="71"/>
  <c r="F35" i="71"/>
  <c r="F34" i="75"/>
  <c r="F32" i="75" s="1"/>
  <c r="K40" i="68"/>
  <c r="K31" i="72"/>
  <c r="G88" i="50"/>
  <c r="G93" i="50"/>
  <c r="G83" i="50"/>
  <c r="G72" i="50"/>
  <c r="G86" i="50"/>
  <c r="G71" i="50"/>
  <c r="G76" i="50"/>
  <c r="G98" i="50"/>
  <c r="K987" i="18"/>
  <c r="G91" i="50"/>
  <c r="G78" i="50"/>
  <c r="G92" i="50"/>
  <c r="G85" i="50"/>
  <c r="G73" i="50"/>
  <c r="G94" i="50"/>
  <c r="G79" i="50"/>
  <c r="G96" i="50"/>
  <c r="G97" i="50"/>
  <c r="G69" i="50"/>
  <c r="I69" i="50" s="1"/>
  <c r="J69" i="50" s="1"/>
  <c r="G77" i="50"/>
  <c r="G74" i="50"/>
  <c r="G95" i="50"/>
  <c r="G84" i="50"/>
  <c r="G256" i="50"/>
  <c r="G255" i="50"/>
  <c r="I255" i="50" s="1"/>
  <c r="J255" i="50" s="1"/>
  <c r="K23" i="75"/>
  <c r="K21" i="75" s="1"/>
  <c r="K24" i="71"/>
  <c r="K21" i="71" s="1"/>
  <c r="J31" i="75"/>
  <c r="J32" i="71"/>
  <c r="I584" i="5"/>
  <c r="I578" i="5" s="1"/>
  <c r="I18" i="47"/>
  <c r="J18" i="47" s="1"/>
  <c r="I97" i="47"/>
  <c r="J97" i="47" s="1"/>
  <c r="M203" i="5"/>
  <c r="Z33" i="75"/>
  <c r="Z32" i="75" s="1"/>
  <c r="AA34" i="71"/>
  <c r="AA33" i="71" s="1"/>
  <c r="AA33" i="75"/>
  <c r="AA32" i="75" s="1"/>
  <c r="Q27" i="75"/>
  <c r="Q28" i="71"/>
  <c r="AA17" i="75"/>
  <c r="AA17" i="71"/>
  <c r="Z17" i="75"/>
  <c r="S33" i="75"/>
  <c r="M325" i="5"/>
  <c r="S34" i="71"/>
  <c r="S33" i="71" s="1"/>
  <c r="K630" i="5"/>
  <c r="K655" i="5" s="1"/>
  <c r="M633" i="5"/>
  <c r="X22" i="75"/>
  <c r="X21" i="75" s="1"/>
  <c r="M474" i="5"/>
  <c r="X22" i="71"/>
  <c r="AB33" i="75"/>
  <c r="AB32" i="75" s="1"/>
  <c r="AB34" i="71"/>
  <c r="AB33" i="71" s="1"/>
  <c r="M618" i="5"/>
  <c r="T52" i="71"/>
  <c r="V15" i="71"/>
  <c r="V15" i="75"/>
  <c r="O4096" i="18"/>
  <c r="O4051" i="18"/>
  <c r="S22" i="75"/>
  <c r="S22" i="71"/>
  <c r="S21" i="71" s="1"/>
  <c r="W40" i="2"/>
  <c r="L24" i="75"/>
  <c r="L25" i="71"/>
  <c r="G98" i="51"/>
  <c r="I507" i="5"/>
  <c r="I127" i="5"/>
  <c r="I349" i="5"/>
  <c r="G23" i="68"/>
  <c r="K966" i="18"/>
  <c r="L967" i="18" s="1"/>
  <c r="I15" i="47"/>
  <c r="J15" i="47" s="1"/>
  <c r="G208" i="5"/>
  <c r="I60" i="47"/>
  <c r="J60" i="47" s="1"/>
  <c r="K1763" i="18"/>
  <c r="M31" i="71"/>
  <c r="E12" i="73"/>
  <c r="K3239" i="18"/>
  <c r="L3256" i="18" s="1"/>
  <c r="G578" i="5"/>
  <c r="G37" i="72"/>
  <c r="Q16" i="71"/>
  <c r="L13" i="80"/>
  <c r="O1823" i="18"/>
  <c r="O1853" i="18"/>
  <c r="O2797" i="18"/>
  <c r="O2810" i="18"/>
  <c r="O3829" i="18"/>
  <c r="O3839" i="18"/>
  <c r="O430" i="18"/>
  <c r="O317" i="18"/>
  <c r="O2830" i="18"/>
  <c r="O2877" i="18"/>
  <c r="O2748" i="18"/>
  <c r="O2648" i="18"/>
  <c r="O236" i="18"/>
  <c r="O306" i="18"/>
  <c r="O120" i="18"/>
  <c r="Z17" i="71"/>
  <c r="Z16" i="71" s="1"/>
  <c r="M535" i="5"/>
  <c r="U34" i="71"/>
  <c r="U33" i="71" s="1"/>
  <c r="M389" i="5"/>
  <c r="U33" i="75"/>
  <c r="U32" i="75" s="1"/>
  <c r="AB15" i="75"/>
  <c r="AB15" i="71"/>
  <c r="R17" i="75"/>
  <c r="R17" i="71"/>
  <c r="M277" i="5"/>
  <c r="T17" i="75"/>
  <c r="T17" i="71"/>
  <c r="M339" i="5"/>
  <c r="O2412" i="18"/>
  <c r="O2431" i="18"/>
  <c r="L218" i="5"/>
  <c r="L223" i="5"/>
  <c r="E118" i="21"/>
  <c r="E119" i="21" s="1"/>
  <c r="E120" i="21" s="1"/>
  <c r="O3947" i="18"/>
  <c r="O3957" i="18"/>
  <c r="O3927" i="18"/>
  <c r="O3937" i="18"/>
  <c r="L30" i="72"/>
  <c r="D79" i="51"/>
  <c r="I79" i="51" s="1"/>
  <c r="J79" i="51" s="1"/>
  <c r="Y51" i="75"/>
  <c r="L208" i="5"/>
  <c r="S48" i="2"/>
  <c r="S49" i="2" s="1"/>
  <c r="S50" i="2" s="1"/>
  <c r="R18" i="75"/>
  <c r="R18" i="71"/>
  <c r="G216" i="50"/>
  <c r="I216" i="50" s="1"/>
  <c r="J216" i="50" s="1"/>
  <c r="K14" i="68"/>
  <c r="L368" i="5"/>
  <c r="L393" i="5" s="1"/>
  <c r="E20" i="75"/>
  <c r="E16" i="75" s="1"/>
  <c r="E20" i="71"/>
  <c r="I526" i="5"/>
  <c r="L109" i="5"/>
  <c r="K109" i="5"/>
  <c r="O2191" i="18"/>
  <c r="O2157" i="18"/>
  <c r="F20" i="52"/>
  <c r="F54" i="52"/>
  <c r="F21" i="52" s="1"/>
  <c r="F58" i="52"/>
  <c r="F18" i="52" s="1"/>
  <c r="E88" i="8"/>
  <c r="E108" i="8"/>
  <c r="E110" i="8" s="1"/>
  <c r="E111" i="8" s="1"/>
  <c r="F737" i="5"/>
  <c r="Z9" i="71"/>
  <c r="Z13" i="71" s="1"/>
  <c r="M530" i="5"/>
  <c r="U26" i="75"/>
  <c r="U25" i="75" s="1"/>
  <c r="U27" i="71"/>
  <c r="M382" i="5"/>
  <c r="L242" i="5"/>
  <c r="M245" i="5"/>
  <c r="G200" i="50"/>
  <c r="I200" i="50" s="1"/>
  <c r="J200" i="50" s="1"/>
  <c r="K3238" i="18"/>
  <c r="L3240" i="18" s="1"/>
  <c r="F127" i="8"/>
  <c r="F128" i="8" s="1"/>
  <c r="I545" i="5"/>
  <c r="G42" i="72"/>
  <c r="F23" i="47"/>
  <c r="I23" i="47" s="1"/>
  <c r="J23" i="47" s="1"/>
  <c r="G201" i="50"/>
  <c r="I201" i="50" s="1"/>
  <c r="J201" i="50" s="1"/>
  <c r="I114" i="47"/>
  <c r="J114" i="47" s="1"/>
  <c r="X51" i="75"/>
  <c r="I57" i="51"/>
  <c r="F55" i="52"/>
  <c r="F786" i="5"/>
  <c r="F788" i="5" s="1"/>
  <c r="F789" i="5" s="1"/>
  <c r="I14" i="51"/>
  <c r="M108" i="5"/>
  <c r="M109" i="5" s="1"/>
  <c r="O2599" i="18"/>
  <c r="O2557" i="18"/>
  <c r="AB9" i="71"/>
  <c r="AB9" i="75"/>
  <c r="AB13" i="75" s="1"/>
  <c r="M596" i="5"/>
  <c r="K465" i="5"/>
  <c r="K490" i="5" s="1"/>
  <c r="T9" i="75"/>
  <c r="T13" i="75" s="1"/>
  <c r="T9" i="71"/>
  <c r="T13" i="71" s="1"/>
  <c r="M336" i="5"/>
  <c r="J813" i="5"/>
  <c r="J800" i="5"/>
  <c r="K218" i="5"/>
  <c r="K223" i="5"/>
  <c r="K230" i="5"/>
  <c r="K272" i="50"/>
  <c r="M272" i="50" s="1"/>
  <c r="N272" i="50" s="1"/>
  <c r="K275" i="50"/>
  <c r="V51" i="75"/>
  <c r="W9" i="75"/>
  <c r="W9" i="71"/>
  <c r="E9" i="75"/>
  <c r="E9" i="71"/>
  <c r="X24" i="71"/>
  <c r="K242" i="5"/>
  <c r="M217" i="5"/>
  <c r="AB26" i="75"/>
  <c r="AB27" i="71"/>
  <c r="M611" i="5"/>
  <c r="G709" i="5"/>
  <c r="U36" i="71"/>
  <c r="U35" i="75"/>
  <c r="M233" i="5"/>
  <c r="U25" i="71"/>
  <c r="AC25" i="71" s="1"/>
  <c r="U24" i="75"/>
  <c r="M222" i="5"/>
  <c r="M601" i="5"/>
  <c r="AB17" i="71"/>
  <c r="AB16" i="71" s="1"/>
  <c r="AB17" i="75"/>
  <c r="AB16" i="75" s="1"/>
  <c r="L96" i="7"/>
  <c r="O23" i="75"/>
  <c r="O24" i="71"/>
  <c r="K24" i="68"/>
  <c r="G240" i="50"/>
  <c r="V34" i="71"/>
  <c r="V33" i="75"/>
  <c r="M422" i="5"/>
  <c r="M415" i="5" s="1"/>
  <c r="Q34" i="75"/>
  <c r="Q32" i="75" s="1"/>
  <c r="Q35" i="71"/>
  <c r="Q33" i="71" s="1"/>
  <c r="S27" i="71"/>
  <c r="S26" i="75"/>
  <c r="V26" i="75"/>
  <c r="V25" i="75" s="1"/>
  <c r="V27" i="71"/>
  <c r="V26" i="71" s="1"/>
  <c r="R15" i="75"/>
  <c r="R15" i="71"/>
  <c r="V9" i="75"/>
  <c r="V9" i="71"/>
  <c r="T20" i="75"/>
  <c r="T20" i="71"/>
  <c r="F124" i="51"/>
  <c r="D84" i="48"/>
  <c r="D57" i="52"/>
  <c r="O3394" i="18"/>
  <c r="O3381" i="18"/>
  <c r="F35" i="73"/>
  <c r="F34" i="73" s="1"/>
  <c r="M172" i="5"/>
  <c r="F48" i="69"/>
  <c r="F47" i="69" s="1"/>
  <c r="X26" i="75"/>
  <c r="X27" i="71"/>
  <c r="M534" i="5"/>
  <c r="K531" i="5"/>
  <c r="K556" i="5" s="1"/>
  <c r="X34" i="75"/>
  <c r="X35" i="71"/>
  <c r="D122" i="51"/>
  <c r="I122" i="51" s="1"/>
  <c r="J122" i="51" s="1"/>
  <c r="D122" i="47"/>
  <c r="I122" i="47" s="1"/>
  <c r="J122" i="47" s="1"/>
  <c r="U22" i="71"/>
  <c r="U22" i="75"/>
  <c r="D45" i="52"/>
  <c r="D46" i="52" s="1"/>
  <c r="M734" i="5"/>
  <c r="D72" i="48"/>
  <c r="D73" i="48" s="1"/>
  <c r="D74" i="48" s="1"/>
  <c r="D22" i="48" s="1"/>
  <c r="F56" i="69"/>
  <c r="F43" i="73"/>
  <c r="F40" i="73" s="1"/>
  <c r="F7" i="73"/>
  <c r="D61" i="52"/>
  <c r="K303" i="50"/>
  <c r="D101" i="51"/>
  <c r="K296" i="50"/>
  <c r="M296" i="50" s="1"/>
  <c r="N296" i="50" s="1"/>
  <c r="F8" i="69"/>
  <c r="D101" i="47"/>
  <c r="D10" i="48"/>
  <c r="N4486" i="18"/>
  <c r="O4498" i="18" s="1"/>
  <c r="K301" i="50"/>
  <c r="M127" i="5"/>
  <c r="M158" i="5"/>
  <c r="M161" i="5" s="1"/>
  <c r="M163" i="5" s="1"/>
  <c r="D65" i="52" s="1"/>
  <c r="F28" i="52" s="1"/>
  <c r="K567" i="5"/>
  <c r="K564" i="5" s="1"/>
  <c r="K589" i="5" s="1"/>
  <c r="K565" i="5"/>
  <c r="K210" i="5" s="1"/>
  <c r="K169" i="5"/>
  <c r="K121" i="5"/>
  <c r="Z11" i="75"/>
  <c r="AA11" i="75"/>
  <c r="AA13" i="75" s="1"/>
  <c r="AA11" i="71"/>
  <c r="AA13" i="71" s="1"/>
  <c r="X17" i="75"/>
  <c r="X17" i="71"/>
  <c r="X9" i="71"/>
  <c r="X9" i="75"/>
  <c r="X13" i="75" s="1"/>
  <c r="K304" i="50"/>
  <c r="F13" i="69"/>
  <c r="D102" i="51"/>
  <c r="I102" i="51" s="1"/>
  <c r="J102" i="51" s="1"/>
  <c r="D67" i="52"/>
  <c r="K297" i="50"/>
  <c r="M297" i="50" s="1"/>
  <c r="N297" i="50" s="1"/>
  <c r="N4487" i="18"/>
  <c r="O4507" i="18" s="1"/>
  <c r="D106" i="48"/>
  <c r="M132" i="5"/>
  <c r="F8" i="73"/>
  <c r="D102" i="47"/>
  <c r="K302" i="50"/>
  <c r="O4725" i="18"/>
  <c r="O4736" i="18"/>
  <c r="U9" i="71"/>
  <c r="U13" i="71" s="1"/>
  <c r="U9" i="75"/>
  <c r="U13" i="75" s="1"/>
  <c r="H33" i="68"/>
  <c r="M63" i="5"/>
  <c r="M64" i="5" s="1"/>
  <c r="O871" i="18"/>
  <c r="O890" i="18"/>
  <c r="F88" i="8"/>
  <c r="F108" i="8"/>
  <c r="F110" i="8" s="1"/>
  <c r="F111" i="8" s="1"/>
  <c r="E114" i="21"/>
  <c r="E115" i="21" s="1"/>
  <c r="E116" i="21" s="1"/>
  <c r="F435" i="5"/>
  <c r="J15" i="2"/>
  <c r="E8" i="70"/>
  <c r="E21" i="70" s="1"/>
  <c r="I671" i="5"/>
  <c r="G335" i="50"/>
  <c r="K5868" i="18"/>
  <c r="L5869" i="18" s="1"/>
  <c r="F44" i="48"/>
  <c r="E8" i="74"/>
  <c r="E11" i="74" s="1"/>
  <c r="E25" i="74"/>
  <c r="E29" i="74" s="1"/>
  <c r="K5975" i="18"/>
  <c r="L5976" i="18" s="1"/>
  <c r="G342" i="50"/>
  <c r="I696" i="5"/>
  <c r="I697" i="5" s="1"/>
  <c r="E41" i="70"/>
  <c r="E46" i="70" s="1"/>
  <c r="I682" i="5"/>
  <c r="E23" i="70"/>
  <c r="U19" i="71"/>
  <c r="AC19" i="71" s="1"/>
  <c r="U19" i="75"/>
  <c r="F68" i="70"/>
  <c r="X33" i="75"/>
  <c r="M486" i="5"/>
  <c r="X34" i="71"/>
  <c r="F236" i="5"/>
  <c r="D14" i="2"/>
  <c r="V54" i="2"/>
  <c r="V56" i="2" s="1"/>
  <c r="V57" i="2" s="1"/>
  <c r="V48" i="2"/>
  <c r="V49" i="2" s="1"/>
  <c r="V50" i="2" s="1"/>
  <c r="F75" i="21"/>
  <c r="F105" i="21"/>
  <c r="F89" i="21"/>
  <c r="F90" i="21" s="1"/>
  <c r="J169" i="5"/>
  <c r="F93" i="21"/>
  <c r="F94" i="21" s="1"/>
  <c r="F95" i="21" s="1"/>
  <c r="J165" i="5"/>
  <c r="J796" i="5" s="1"/>
  <c r="J798" i="5" s="1"/>
  <c r="J799" i="5" s="1"/>
  <c r="F117" i="21"/>
  <c r="F96" i="21"/>
  <c r="F65" i="8"/>
  <c r="F126" i="8"/>
  <c r="F492" i="5"/>
  <c r="L14" i="2"/>
  <c r="H12" i="84"/>
  <c r="H13" i="84" s="1"/>
  <c r="H21" i="84" s="1"/>
  <c r="F13" i="84"/>
  <c r="F21" i="84" s="1"/>
  <c r="I92" i="5"/>
  <c r="F84" i="48" s="1"/>
  <c r="I207" i="5"/>
  <c r="N18" i="71"/>
  <c r="N18" i="75"/>
  <c r="G111" i="50"/>
  <c r="G26" i="68"/>
  <c r="G311" i="50"/>
  <c r="E24" i="69"/>
  <c r="N12" i="71"/>
  <c r="N12" i="75"/>
  <c r="H9" i="75"/>
  <c r="H9" i="71"/>
  <c r="I205" i="5"/>
  <c r="G630" i="5"/>
  <c r="G655" i="5" s="1"/>
  <c r="G597" i="5"/>
  <c r="G622" i="5" s="1"/>
  <c r="J18" i="71"/>
  <c r="J18" i="75"/>
  <c r="E42" i="73"/>
  <c r="E55" i="69"/>
  <c r="H11" i="71"/>
  <c r="H11" i="75"/>
  <c r="G222" i="50"/>
  <c r="G219" i="50"/>
  <c r="K2796" i="18"/>
  <c r="G178" i="50"/>
  <c r="G275" i="5"/>
  <c r="G298" i="5" s="1"/>
  <c r="I639" i="5"/>
  <c r="G306" i="5"/>
  <c r="G329" i="5" s="1"/>
  <c r="K2907" i="18"/>
  <c r="L2908" i="18" s="1"/>
  <c r="F45" i="47"/>
  <c r="G185" i="50"/>
  <c r="I185" i="50" s="1"/>
  <c r="J185" i="50" s="1"/>
  <c r="K4944" i="18"/>
  <c r="L4945" i="18" s="1"/>
  <c r="G324" i="50"/>
  <c r="I324" i="50" s="1"/>
  <c r="J324" i="50" s="1"/>
  <c r="E27" i="73"/>
  <c r="G313" i="50"/>
  <c r="I313" i="50" s="1"/>
  <c r="J313" i="50" s="1"/>
  <c r="G314" i="50"/>
  <c r="F107" i="47"/>
  <c r="I107" i="47" s="1"/>
  <c r="J107" i="47" s="1"/>
  <c r="O25" i="71"/>
  <c r="O24" i="75"/>
  <c r="K29" i="68"/>
  <c r="K3926" i="18"/>
  <c r="G251" i="50"/>
  <c r="I251" i="50" s="1"/>
  <c r="J251" i="50" s="1"/>
  <c r="G252" i="50"/>
  <c r="F70" i="47"/>
  <c r="I70" i="47" s="1"/>
  <c r="J70" i="47" s="1"/>
  <c r="G254" i="50"/>
  <c r="K21" i="72"/>
  <c r="G253" i="50"/>
  <c r="N17" i="71"/>
  <c r="N17" i="75"/>
  <c r="K19" i="71"/>
  <c r="K19" i="75"/>
  <c r="K16" i="75" s="1"/>
  <c r="G46" i="68"/>
  <c r="G188" i="50"/>
  <c r="I188" i="50" s="1"/>
  <c r="J188" i="50" s="1"/>
  <c r="O18" i="75"/>
  <c r="O16" i="75" s="1"/>
  <c r="O18" i="71"/>
  <c r="H218" i="5"/>
  <c r="I734" i="5"/>
  <c r="F26" i="75"/>
  <c r="F27" i="71"/>
  <c r="G190" i="50"/>
  <c r="G189" i="50"/>
  <c r="I189" i="50" s="1"/>
  <c r="J189" i="50" s="1"/>
  <c r="G191" i="50"/>
  <c r="E29" i="73"/>
  <c r="K4957" i="18"/>
  <c r="E42" i="69"/>
  <c r="G326" i="50"/>
  <c r="F119" i="47"/>
  <c r="I119" i="47" s="1"/>
  <c r="J119" i="47" s="1"/>
  <c r="G325" i="50"/>
  <c r="I325" i="50" s="1"/>
  <c r="J325" i="50" s="1"/>
  <c r="E124" i="21"/>
  <c r="H223" i="5"/>
  <c r="E50" i="73"/>
  <c r="E63" i="69"/>
  <c r="I18" i="71"/>
  <c r="I18" i="75"/>
  <c r="M12" i="75"/>
  <c r="M12" i="71"/>
  <c r="AC29" i="75"/>
  <c r="K33" i="71"/>
  <c r="I224" i="5"/>
  <c r="I405" i="5"/>
  <c r="G21" i="75"/>
  <c r="I220" i="5"/>
  <c r="L1853" i="18"/>
  <c r="I11" i="75"/>
  <c r="I11" i="71"/>
  <c r="I34" i="75"/>
  <c r="I32" i="75" s="1"/>
  <c r="I35" i="71"/>
  <c r="N36" i="71"/>
  <c r="N35" i="75"/>
  <c r="N27" i="75"/>
  <c r="N28" i="71"/>
  <c r="G186" i="50"/>
  <c r="I186" i="50" s="1"/>
  <c r="J186" i="50" s="1"/>
  <c r="G36" i="72"/>
  <c r="G45" i="68"/>
  <c r="G187" i="50"/>
  <c r="K2919" i="18"/>
  <c r="L2982" i="18" s="1"/>
  <c r="F46" i="47"/>
  <c r="K1789" i="18"/>
  <c r="L1790" i="18" s="1"/>
  <c r="F26" i="47"/>
  <c r="G21" i="72"/>
  <c r="G114" i="50"/>
  <c r="G27" i="68"/>
  <c r="G113" i="50"/>
  <c r="I113" i="50" s="1"/>
  <c r="J113" i="50" s="1"/>
  <c r="M51" i="75"/>
  <c r="G14" i="50"/>
  <c r="I14" i="50" s="1"/>
  <c r="J14" i="50" s="1"/>
  <c r="F16" i="47"/>
  <c r="I16" i="47" s="1"/>
  <c r="J16" i="47" s="1"/>
  <c r="G11" i="72"/>
  <c r="G13" i="68"/>
  <c r="K108" i="18"/>
  <c r="L109" i="18" s="1"/>
  <c r="D23" i="75"/>
  <c r="D21" i="75" s="1"/>
  <c r="D24" i="71"/>
  <c r="J29" i="75"/>
  <c r="J30" i="71"/>
  <c r="J34" i="75"/>
  <c r="J35" i="71"/>
  <c r="J33" i="71" s="1"/>
  <c r="D35" i="71"/>
  <c r="D33" i="71" s="1"/>
  <c r="D34" i="75"/>
  <c r="F41" i="47"/>
  <c r="I41" i="47" s="1"/>
  <c r="J41" i="47" s="1"/>
  <c r="G172" i="50"/>
  <c r="G171" i="50"/>
  <c r="G170" i="50"/>
  <c r="G176" i="50"/>
  <c r="G174" i="50"/>
  <c r="K2647" i="18"/>
  <c r="G175" i="50"/>
  <c r="G169" i="50"/>
  <c r="I169" i="50" s="1"/>
  <c r="J169" i="50" s="1"/>
  <c r="G173" i="50"/>
  <c r="K2829" i="18"/>
  <c r="G183" i="50"/>
  <c r="G181" i="50"/>
  <c r="G180" i="50"/>
  <c r="I180" i="50" s="1"/>
  <c r="J180" i="50" s="1"/>
  <c r="F44" i="47"/>
  <c r="I44" i="47" s="1"/>
  <c r="J44" i="47" s="1"/>
  <c r="G182" i="50"/>
  <c r="G184" i="50"/>
  <c r="F81" i="47"/>
  <c r="I81" i="47" s="1"/>
  <c r="J81" i="47" s="1"/>
  <c r="K32" i="72"/>
  <c r="K4260" i="18"/>
  <c r="L4261" i="18" s="1"/>
  <c r="G279" i="50"/>
  <c r="I279" i="50" s="1"/>
  <c r="J279" i="50" s="1"/>
  <c r="K41" i="68"/>
  <c r="G280" i="50"/>
  <c r="L4051" i="18"/>
  <c r="L4096" i="18"/>
  <c r="O27" i="75"/>
  <c r="O28" i="71"/>
  <c r="L34" i="71"/>
  <c r="I519" i="5"/>
  <c r="L33" i="75"/>
  <c r="J17" i="71"/>
  <c r="J17" i="75"/>
  <c r="L3394" i="18"/>
  <c r="L3381" i="18"/>
  <c r="F31" i="71"/>
  <c r="F30" i="75"/>
  <c r="I32" i="71"/>
  <c r="I31" i="75"/>
  <c r="G465" i="5"/>
  <c r="G490" i="5" s="1"/>
  <c r="I468" i="5"/>
  <c r="G166" i="50"/>
  <c r="G33" i="72"/>
  <c r="G167" i="50"/>
  <c r="G165" i="50"/>
  <c r="K2556" i="18"/>
  <c r="F39" i="47"/>
  <c r="I39" i="47" s="1"/>
  <c r="J39" i="47" s="1"/>
  <c r="G42" i="68"/>
  <c r="G164" i="50"/>
  <c r="L334" i="18"/>
  <c r="L668" i="18"/>
  <c r="L317" i="18"/>
  <c r="K1811" i="18"/>
  <c r="L1812" i="18" s="1"/>
  <c r="G28" i="68"/>
  <c r="F27" i="47"/>
  <c r="I27" i="47" s="1"/>
  <c r="J27" i="47" s="1"/>
  <c r="G115" i="50"/>
  <c r="I115" i="50" s="1"/>
  <c r="J115" i="50" s="1"/>
  <c r="G22" i="72"/>
  <c r="G43" i="68"/>
  <c r="G34" i="72"/>
  <c r="K2638" i="18"/>
  <c r="L2639" i="18" s="1"/>
  <c r="G168" i="50"/>
  <c r="I168" i="50" s="1"/>
  <c r="J168" i="50" s="1"/>
  <c r="F40" i="47"/>
  <c r="G179" i="50"/>
  <c r="I179" i="50" s="1"/>
  <c r="J179" i="50" s="1"/>
  <c r="G44" i="68"/>
  <c r="F43" i="47"/>
  <c r="I43" i="47" s="1"/>
  <c r="J43" i="47" s="1"/>
  <c r="K2820" i="18"/>
  <c r="G35" i="72"/>
  <c r="F17" i="71"/>
  <c r="F17" i="75"/>
  <c r="I436" i="5"/>
  <c r="I644" i="5"/>
  <c r="I30" i="71"/>
  <c r="I29" i="75"/>
  <c r="F78" i="47"/>
  <c r="I78" i="47" s="1"/>
  <c r="J78" i="47" s="1"/>
  <c r="G271" i="50"/>
  <c r="G270" i="50"/>
  <c r="I270" i="50" s="1"/>
  <c r="J270" i="50" s="1"/>
  <c r="K4146" i="18"/>
  <c r="L4147" i="18" s="1"/>
  <c r="G195" i="50"/>
  <c r="I195" i="50" s="1"/>
  <c r="J195" i="50" s="1"/>
  <c r="F49" i="47"/>
  <c r="I49" i="47" s="1"/>
  <c r="J49" i="47" s="1"/>
  <c r="G39" i="72"/>
  <c r="G48" i="68"/>
  <c r="K3174" i="18"/>
  <c r="L3175" i="18" s="1"/>
  <c r="L11" i="75"/>
  <c r="L11" i="71"/>
  <c r="I27" i="71"/>
  <c r="I26" i="75"/>
  <c r="F79" i="47"/>
  <c r="K30" i="72"/>
  <c r="K39" i="68"/>
  <c r="G274" i="50"/>
  <c r="G276" i="50"/>
  <c r="G273" i="50"/>
  <c r="G277" i="50"/>
  <c r="G272" i="50"/>
  <c r="I272" i="50" s="1"/>
  <c r="J272" i="50" s="1"/>
  <c r="G275" i="50"/>
  <c r="K4167" i="18"/>
  <c r="L4168" i="18" s="1"/>
  <c r="K3915" i="18"/>
  <c r="L3916" i="18" s="1"/>
  <c r="K20" i="72"/>
  <c r="G250" i="50"/>
  <c r="I250" i="50" s="1"/>
  <c r="J250" i="50" s="1"/>
  <c r="F69" i="47"/>
  <c r="I69" i="47" s="1"/>
  <c r="J69" i="47" s="1"/>
  <c r="K28" i="68"/>
  <c r="I24" i="75"/>
  <c r="I25" i="71"/>
  <c r="N20" i="75"/>
  <c r="N20" i="71"/>
  <c r="N30" i="75"/>
  <c r="N31" i="71"/>
  <c r="E51" i="73"/>
  <c r="E64" i="69"/>
  <c r="K51" i="75"/>
  <c r="I215" i="5"/>
  <c r="D10" i="71"/>
  <c r="D10" i="75"/>
  <c r="I474" i="5"/>
  <c r="J13" i="75"/>
  <c r="W43" i="75" s="1"/>
  <c r="I63" i="5"/>
  <c r="H230" i="5"/>
  <c r="L29" i="75"/>
  <c r="L30" i="71"/>
  <c r="L34" i="75"/>
  <c r="L35" i="71"/>
  <c r="L19" i="75"/>
  <c r="L19" i="71"/>
  <c r="I216" i="5"/>
  <c r="F50" i="47"/>
  <c r="I50" i="47" s="1"/>
  <c r="J50" i="47" s="1"/>
  <c r="G49" i="68"/>
  <c r="G197" i="50"/>
  <c r="G196" i="50"/>
  <c r="I196" i="50" s="1"/>
  <c r="J196" i="50" s="1"/>
  <c r="K3187" i="18"/>
  <c r="L3188" i="18" s="1"/>
  <c r="G40" i="72"/>
  <c r="G498" i="5"/>
  <c r="G523" i="5" s="1"/>
  <c r="F104" i="47"/>
  <c r="I104" i="47" s="1"/>
  <c r="J104" i="47" s="1"/>
  <c r="K4662" i="18"/>
  <c r="L4663" i="18" s="1"/>
  <c r="E10" i="73"/>
  <c r="F107" i="48"/>
  <c r="G307" i="50"/>
  <c r="I307" i="50" s="1"/>
  <c r="J307" i="50" s="1"/>
  <c r="G308" i="50"/>
  <c r="E22" i="69"/>
  <c r="D32" i="71"/>
  <c r="D31" i="75"/>
  <c r="L20" i="75"/>
  <c r="L20" i="71"/>
  <c r="N29" i="71"/>
  <c r="N28" i="75"/>
  <c r="M15" i="75"/>
  <c r="E13" i="69"/>
  <c r="F102" i="47"/>
  <c r="K4487" i="18"/>
  <c r="L4507" i="18" s="1"/>
  <c r="G302" i="50"/>
  <c r="F106" i="48"/>
  <c r="G297" i="50"/>
  <c r="I297" i="50" s="1"/>
  <c r="J297" i="50" s="1"/>
  <c r="E8" i="73"/>
  <c r="G304" i="50"/>
  <c r="D27" i="71"/>
  <c r="D26" i="75"/>
  <c r="I256" i="5"/>
  <c r="F29" i="75"/>
  <c r="F30" i="71"/>
  <c r="E62" i="69"/>
  <c r="E49" i="73"/>
  <c r="L12" i="75"/>
  <c r="L12" i="71"/>
  <c r="I12" i="71"/>
  <c r="I12" i="75"/>
  <c r="N25" i="71"/>
  <c r="N24" i="75"/>
  <c r="N21" i="75" s="1"/>
  <c r="K4106" i="18"/>
  <c r="G267" i="50"/>
  <c r="I267" i="50" s="1"/>
  <c r="J267" i="50" s="1"/>
  <c r="K38" i="68"/>
  <c r="K29" i="72"/>
  <c r="F76" i="47"/>
  <c r="N33" i="75"/>
  <c r="N32" i="75" s="1"/>
  <c r="N34" i="71"/>
  <c r="N33" i="71" s="1"/>
  <c r="D15" i="71"/>
  <c r="D15" i="75"/>
  <c r="G320" i="50"/>
  <c r="I320" i="50" s="1"/>
  <c r="J320" i="50" s="1"/>
  <c r="K4876" i="18"/>
  <c r="L4877" i="18" s="1"/>
  <c r="E23" i="73"/>
  <c r="F113" i="47"/>
  <c r="I113" i="47" s="1"/>
  <c r="J113" i="47" s="1"/>
  <c r="E36" i="69"/>
  <c r="K4835" i="18"/>
  <c r="L4836" i="18" s="1"/>
  <c r="E21" i="73"/>
  <c r="F111" i="47"/>
  <c r="I111" i="47" s="1"/>
  <c r="J111" i="47" s="1"/>
  <c r="E34" i="69"/>
  <c r="G318" i="50"/>
  <c r="I318" i="50" s="1"/>
  <c r="J318" i="50" s="1"/>
  <c r="F11" i="71"/>
  <c r="F11" i="75"/>
  <c r="F13" i="75" s="1"/>
  <c r="S43" i="75" s="1"/>
  <c r="I422" i="5"/>
  <c r="I415" i="5" s="1"/>
  <c r="I232" i="5"/>
  <c r="I108" i="5"/>
  <c r="J35" i="75"/>
  <c r="J36" i="71"/>
  <c r="G16" i="72"/>
  <c r="K933" i="18"/>
  <c r="G63" i="50"/>
  <c r="I63" i="50" s="1"/>
  <c r="J63" i="50" s="1"/>
  <c r="F21" i="47"/>
  <c r="G21" i="68"/>
  <c r="E26" i="69"/>
  <c r="E14" i="73"/>
  <c r="H329" i="5"/>
  <c r="D36" i="71"/>
  <c r="D35" i="75"/>
  <c r="G34" i="75"/>
  <c r="G35" i="71"/>
  <c r="G33" i="71" s="1"/>
  <c r="AC30" i="71"/>
  <c r="I35" i="5"/>
  <c r="F80" i="48" s="1"/>
  <c r="G213" i="5"/>
  <c r="I217" i="5"/>
  <c r="I233" i="5"/>
  <c r="F18" i="71"/>
  <c r="F18" i="75"/>
  <c r="K8" i="72"/>
  <c r="F57" i="47"/>
  <c r="K3318" i="18"/>
  <c r="L3319" i="18" s="1"/>
  <c r="G206" i="50"/>
  <c r="I206" i="50" s="1"/>
  <c r="J206" i="50" s="1"/>
  <c r="G207" i="50"/>
  <c r="G209" i="50"/>
  <c r="G210" i="50"/>
  <c r="G208" i="50"/>
  <c r="G211" i="50"/>
  <c r="K8" i="68"/>
  <c r="F87" i="47"/>
  <c r="I87" i="47" s="1"/>
  <c r="J87" i="47" s="1"/>
  <c r="K4307" i="18"/>
  <c r="L4317" i="18" s="1"/>
  <c r="K38" i="72"/>
  <c r="G284" i="50"/>
  <c r="I284" i="50" s="1"/>
  <c r="J284" i="50" s="1"/>
  <c r="K47" i="68"/>
  <c r="D52" i="71" s="1"/>
  <c r="G283" i="50"/>
  <c r="I833" i="5"/>
  <c r="E58" i="69"/>
  <c r="E45" i="73"/>
  <c r="K3759" i="18"/>
  <c r="K17" i="72"/>
  <c r="K23" i="68"/>
  <c r="G238" i="50"/>
  <c r="I238" i="50" s="1"/>
  <c r="J238" i="50" s="1"/>
  <c r="F66" i="47"/>
  <c r="I66" i="47" s="1"/>
  <c r="J66" i="47" s="1"/>
  <c r="L859" i="18"/>
  <c r="L871" i="18"/>
  <c r="L890" i="18"/>
  <c r="D20" i="71"/>
  <c r="D20" i="75"/>
  <c r="E27" i="69"/>
  <c r="E15" i="73"/>
  <c r="G282" i="50"/>
  <c r="K4286" i="18"/>
  <c r="L4287" i="18" s="1"/>
  <c r="F83" i="47"/>
  <c r="I83" i="47" s="1"/>
  <c r="J83" i="47" s="1"/>
  <c r="G281" i="50"/>
  <c r="I281" i="50" s="1"/>
  <c r="J281" i="50" s="1"/>
  <c r="K43" i="68"/>
  <c r="K34" i="72"/>
  <c r="D17" i="71"/>
  <c r="D17" i="75"/>
  <c r="J28" i="71"/>
  <c r="J27" i="75"/>
  <c r="L10" i="75"/>
  <c r="L10" i="71"/>
  <c r="K4486" i="18"/>
  <c r="L4498" i="18" s="1"/>
  <c r="G296" i="50"/>
  <c r="I296" i="50" s="1"/>
  <c r="J296" i="50" s="1"/>
  <c r="G301" i="50"/>
  <c r="F101" i="47"/>
  <c r="F10" i="48"/>
  <c r="E7" i="73"/>
  <c r="G303" i="50"/>
  <c r="E8" i="69"/>
  <c r="E7" i="69" s="1"/>
  <c r="I158" i="5"/>
  <c r="M27" i="71"/>
  <c r="M26" i="75"/>
  <c r="M25" i="75" s="1"/>
  <c r="F25" i="71"/>
  <c r="F21" i="71" s="1"/>
  <c r="F24" i="75"/>
  <c r="G65" i="50"/>
  <c r="K943" i="18"/>
  <c r="L944" i="18" s="1"/>
  <c r="G17" i="72"/>
  <c r="F22" i="47"/>
  <c r="I22" i="47" s="1"/>
  <c r="J22" i="47" s="1"/>
  <c r="G64" i="50"/>
  <c r="I64" i="50" s="1"/>
  <c r="J64" i="50" s="1"/>
  <c r="G22" i="68"/>
  <c r="F116" i="47"/>
  <c r="I116" i="47" s="1"/>
  <c r="J116" i="47" s="1"/>
  <c r="K4913" i="18"/>
  <c r="L4914" i="18" s="1"/>
  <c r="E39" i="69"/>
  <c r="G322" i="50"/>
  <c r="I322" i="50" s="1"/>
  <c r="J322" i="50" s="1"/>
  <c r="G323" i="50"/>
  <c r="E26" i="73"/>
  <c r="G28" i="72"/>
  <c r="G141" i="50"/>
  <c r="G37" i="68"/>
  <c r="G140" i="50"/>
  <c r="F33" i="47"/>
  <c r="I33" i="47" s="1"/>
  <c r="J33" i="47" s="1"/>
  <c r="K2156" i="18"/>
  <c r="G139" i="50"/>
  <c r="G138" i="50"/>
  <c r="I138" i="50" s="1"/>
  <c r="J138" i="50" s="1"/>
  <c r="D23" i="71"/>
  <c r="P23" i="71" s="1"/>
  <c r="I251" i="5"/>
  <c r="E20" i="73"/>
  <c r="K4821" i="18"/>
  <c r="L4822" i="18" s="1"/>
  <c r="F110" i="47"/>
  <c r="I110" i="47" s="1"/>
  <c r="J110" i="47" s="1"/>
  <c r="G317" i="50"/>
  <c r="I317" i="50" s="1"/>
  <c r="J317" i="50" s="1"/>
  <c r="E33" i="69"/>
  <c r="K4329" i="18"/>
  <c r="L4340" i="18" s="1"/>
  <c r="K39" i="72"/>
  <c r="F88" i="47"/>
  <c r="I88" i="47" s="1"/>
  <c r="J88" i="47" s="1"/>
  <c r="K48" i="68"/>
  <c r="G285" i="50"/>
  <c r="G286" i="50"/>
  <c r="I286" i="50" s="1"/>
  <c r="J286" i="50" s="1"/>
  <c r="K21" i="68"/>
  <c r="G235" i="50"/>
  <c r="F64" i="47"/>
  <c r="I64" i="47" s="1"/>
  <c r="J64" i="47" s="1"/>
  <c r="K15" i="72"/>
  <c r="G234" i="50"/>
  <c r="G232" i="50"/>
  <c r="G231" i="50"/>
  <c r="G233" i="50"/>
  <c r="K3617" i="18"/>
  <c r="I573" i="5"/>
  <c r="I222" i="5"/>
  <c r="H531" i="5"/>
  <c r="H556" i="5" s="1"/>
  <c r="F28" i="71"/>
  <c r="F27" i="75"/>
  <c r="M19" i="75"/>
  <c r="M19" i="71"/>
  <c r="M16" i="71" s="1"/>
  <c r="G109" i="5"/>
  <c r="M21" i="75"/>
  <c r="L848" i="18"/>
  <c r="L698" i="18"/>
  <c r="I30" i="47"/>
  <c r="L20" i="18"/>
  <c r="L10" i="18"/>
  <c r="I817" i="5"/>
  <c r="I802" i="5"/>
  <c r="G564" i="5"/>
  <c r="G589" i="5" s="1"/>
  <c r="I567" i="5"/>
  <c r="H435" i="5"/>
  <c r="H434" i="5" s="1"/>
  <c r="H457" i="5" s="1"/>
  <c r="H117" i="5"/>
  <c r="H122" i="5" s="1"/>
  <c r="H124" i="5" s="1"/>
  <c r="H192" i="5"/>
  <c r="I15" i="75"/>
  <c r="I15" i="71"/>
  <c r="H564" i="5"/>
  <c r="H589" i="5" s="1"/>
  <c r="L1823" i="18"/>
  <c r="L1908" i="18"/>
  <c r="Q21" i="71"/>
  <c r="M33" i="71"/>
  <c r="W21" i="75"/>
  <c r="F426" i="5"/>
  <c r="F850" i="5" s="1"/>
  <c r="F851" i="5" s="1"/>
  <c r="S13" i="71"/>
  <c r="V21" i="71"/>
  <c r="H32" i="75"/>
  <c r="J393" i="5"/>
  <c r="F74" i="74"/>
  <c r="M764" i="5"/>
  <c r="M830" i="5" s="1"/>
  <c r="F91" i="70"/>
  <c r="L64" i="46"/>
  <c r="L73" i="46"/>
  <c r="G46" i="46"/>
  <c r="L70" i="46"/>
  <c r="L19" i="46"/>
  <c r="L68" i="46"/>
  <c r="L62" i="46"/>
  <c r="L42" i="46"/>
  <c r="G31" i="46"/>
  <c r="L63" i="46"/>
  <c r="G45" i="46"/>
  <c r="G21" i="46"/>
  <c r="L82" i="46"/>
  <c r="G17" i="46"/>
  <c r="I21" i="75" l="1"/>
  <c r="I45" i="47"/>
  <c r="J45" i="47" s="1"/>
  <c r="D42" i="48"/>
  <c r="K26" i="71"/>
  <c r="F13" i="71"/>
  <c r="S44" i="71" s="1"/>
  <c r="I21" i="47"/>
  <c r="J21" i="47" s="1"/>
  <c r="L23" i="72"/>
  <c r="L434" i="5"/>
  <c r="L457" i="5" s="1"/>
  <c r="M21" i="71"/>
  <c r="F42" i="74"/>
  <c r="M205" i="5"/>
  <c r="G13" i="75"/>
  <c r="T43" i="75" s="1"/>
  <c r="J829" i="5"/>
  <c r="J831" i="5" s="1"/>
  <c r="J832" i="5" s="1"/>
  <c r="O26" i="71"/>
  <c r="L2431" i="18"/>
  <c r="K25" i="75"/>
  <c r="E26" i="71"/>
  <c r="O13" i="75"/>
  <c r="K13" i="71"/>
  <c r="X44" i="71" s="1"/>
  <c r="D28" i="47"/>
  <c r="H31" i="68"/>
  <c r="I16" i="71"/>
  <c r="I21" i="71"/>
  <c r="I26" i="47"/>
  <c r="J26" i="47" s="1"/>
  <c r="O16" i="71"/>
  <c r="J13" i="71"/>
  <c r="W44" i="71" s="1"/>
  <c r="H49" i="72"/>
  <c r="H50" i="72" s="1"/>
  <c r="H61" i="72" s="1"/>
  <c r="E57" i="70"/>
  <c r="I51" i="47"/>
  <c r="J51" i="47" s="1"/>
  <c r="Q51" i="75"/>
  <c r="V12" i="75"/>
  <c r="AC12" i="75" s="1"/>
  <c r="V12" i="71"/>
  <c r="V13" i="71" s="1"/>
  <c r="T34" i="75"/>
  <c r="T32" i="75" s="1"/>
  <c r="M356" i="5"/>
  <c r="M337" i="5" s="1"/>
  <c r="M360" i="5" s="1"/>
  <c r="T35" i="71"/>
  <c r="T33" i="71" s="1"/>
  <c r="M400" i="5"/>
  <c r="M208" i="5" s="1"/>
  <c r="Y26" i="75"/>
  <c r="AC26" i="75" s="1"/>
  <c r="Y27" i="71"/>
  <c r="Y26" i="71" s="1"/>
  <c r="M216" i="5"/>
  <c r="W11" i="75"/>
  <c r="AC11" i="75" s="1"/>
  <c r="W11" i="71"/>
  <c r="W13" i="71" s="1"/>
  <c r="Y34" i="71"/>
  <c r="Y33" i="71" s="1"/>
  <c r="Y33" i="75"/>
  <c r="Y32" i="75" s="1"/>
  <c r="M519" i="5"/>
  <c r="M498" i="5" s="1"/>
  <c r="M523" i="5" s="1"/>
  <c r="M862" i="5" s="1"/>
  <c r="M863" i="5" s="1"/>
  <c r="M864" i="5" s="1"/>
  <c r="G17" i="50"/>
  <c r="G25" i="50"/>
  <c r="G21" i="50"/>
  <c r="G12" i="72"/>
  <c r="G23" i="72" s="1"/>
  <c r="G27" i="50"/>
  <c r="G24" i="50"/>
  <c r="G26" i="50"/>
  <c r="G19" i="50"/>
  <c r="G23" i="50"/>
  <c r="F17" i="47"/>
  <c r="I17" i="47" s="1"/>
  <c r="J17" i="47" s="1"/>
  <c r="G22" i="50"/>
  <c r="G18" i="50"/>
  <c r="G20" i="50"/>
  <c r="G14" i="68"/>
  <c r="G31" i="68" s="1"/>
  <c r="G15" i="50"/>
  <c r="I15" i="50" s="1"/>
  <c r="J15" i="50" s="1"/>
  <c r="K119" i="18"/>
  <c r="G16" i="50"/>
  <c r="I74" i="47"/>
  <c r="J74" i="47" s="1"/>
  <c r="D26" i="71"/>
  <c r="F12" i="69"/>
  <c r="AC30" i="75"/>
  <c r="I169" i="5"/>
  <c r="I805" i="5" s="1"/>
  <c r="M171" i="5"/>
  <c r="M170" i="5" s="1"/>
  <c r="M192" i="5" s="1"/>
  <c r="M800" i="5" s="1"/>
  <c r="G711" i="5"/>
  <c r="G713" i="5" s="1"/>
  <c r="D28" i="51"/>
  <c r="AA16" i="75"/>
  <c r="L31" i="68"/>
  <c r="I34" i="47"/>
  <c r="J34" i="47" s="1"/>
  <c r="K16" i="71"/>
  <c r="G26" i="71"/>
  <c r="G14" i="71" s="1"/>
  <c r="G37" i="71" s="1"/>
  <c r="G51" i="71" s="1"/>
  <c r="I40" i="47"/>
  <c r="J40" i="47" s="1"/>
  <c r="G25" i="75"/>
  <c r="D80" i="48"/>
  <c r="D81" i="48" s="1"/>
  <c r="D53" i="52"/>
  <c r="D54" i="52" s="1"/>
  <c r="D21" i="52" s="1"/>
  <c r="G32" i="75"/>
  <c r="E34" i="73"/>
  <c r="Q25" i="75"/>
  <c r="E129" i="21"/>
  <c r="E30" i="74"/>
  <c r="AC35" i="75"/>
  <c r="I14" i="47"/>
  <c r="J14" i="47" s="1"/>
  <c r="T25" i="75"/>
  <c r="K57" i="68"/>
  <c r="N52" i="71" s="1"/>
  <c r="K4456" i="18"/>
  <c r="G293" i="50"/>
  <c r="D25" i="75"/>
  <c r="M401" i="5"/>
  <c r="F59" i="70"/>
  <c r="F123" i="70" s="1"/>
  <c r="I33" i="71"/>
  <c r="L3443" i="18"/>
  <c r="P28" i="75"/>
  <c r="O2202" i="18"/>
  <c r="Z16" i="75"/>
  <c r="AC27" i="75"/>
  <c r="G52" i="71"/>
  <c r="I57" i="47"/>
  <c r="J57" i="47" s="1"/>
  <c r="K435" i="5"/>
  <c r="K212" i="5" s="1"/>
  <c r="P22" i="71"/>
  <c r="D54" i="47"/>
  <c r="H51" i="75"/>
  <c r="I565" i="5"/>
  <c r="I210" i="5" s="1"/>
  <c r="L122" i="5"/>
  <c r="L124" i="5" s="1"/>
  <c r="L125" i="5" s="1"/>
  <c r="I102" i="47"/>
  <c r="J102" i="47" s="1"/>
  <c r="J32" i="75"/>
  <c r="G435" i="5"/>
  <c r="I435" i="5" s="1"/>
  <c r="I212" i="5" s="1"/>
  <c r="I814" i="5" s="1"/>
  <c r="G223" i="5"/>
  <c r="E21" i="71"/>
  <c r="AB13" i="71"/>
  <c r="G54" i="51"/>
  <c r="L15" i="71"/>
  <c r="F53" i="69"/>
  <c r="F46" i="69" s="1"/>
  <c r="F86" i="69" s="1"/>
  <c r="S26" i="71"/>
  <c r="S14" i="71" s="1"/>
  <c r="S37" i="71" s="1"/>
  <c r="E13" i="75"/>
  <c r="R43" i="75" s="1"/>
  <c r="L35" i="72"/>
  <c r="L36" i="72" s="1"/>
  <c r="H298" i="5"/>
  <c r="I170" i="5"/>
  <c r="F123" i="47" s="1"/>
  <c r="Q4395" i="18"/>
  <c r="I809" i="5"/>
  <c r="K48" i="72"/>
  <c r="N51" i="75" s="1"/>
  <c r="G117" i="5"/>
  <c r="G122" i="5" s="1"/>
  <c r="G124" i="5" s="1"/>
  <c r="G125" i="5" s="1"/>
  <c r="AC20" i="71"/>
  <c r="G193" i="5"/>
  <c r="G294" i="50"/>
  <c r="F95" i="47"/>
  <c r="M16" i="75"/>
  <c r="M14" i="75" s="1"/>
  <c r="J26" i="71"/>
  <c r="O25" i="75"/>
  <c r="D23" i="48"/>
  <c r="D54" i="51"/>
  <c r="D55" i="51" s="1"/>
  <c r="E49" i="51" s="1"/>
  <c r="H49" i="51" s="1"/>
  <c r="E21" i="75"/>
  <c r="E14" i="75" s="1"/>
  <c r="M121" i="5"/>
  <c r="N4456" i="18" s="1"/>
  <c r="U21" i="75"/>
  <c r="I306" i="5"/>
  <c r="I329" i="5" s="1"/>
  <c r="I842" i="5" s="1"/>
  <c r="I843" i="5" s="1"/>
  <c r="I844" i="5" s="1"/>
  <c r="H16" i="71"/>
  <c r="H14" i="71" s="1"/>
  <c r="G72" i="51"/>
  <c r="H25" i="75"/>
  <c r="H14" i="75" s="1"/>
  <c r="G28" i="51"/>
  <c r="G55" i="51" s="1"/>
  <c r="D84" i="47"/>
  <c r="D72" i="51"/>
  <c r="L4736" i="18"/>
  <c r="O21" i="71"/>
  <c r="O14" i="71" s="1"/>
  <c r="O37" i="71" s="1"/>
  <c r="O51" i="71" s="1"/>
  <c r="O53" i="71" s="1"/>
  <c r="O54" i="71" s="1"/>
  <c r="M821" i="5"/>
  <c r="X16" i="75"/>
  <c r="K117" i="5"/>
  <c r="K122" i="5" s="1"/>
  <c r="K124" i="5" s="1"/>
  <c r="K125" i="5" s="1"/>
  <c r="AC18" i="75"/>
  <c r="L3454" i="18"/>
  <c r="J21" i="75"/>
  <c r="H125" i="5"/>
  <c r="I79" i="47"/>
  <c r="J79" i="47" s="1"/>
  <c r="X13" i="71"/>
  <c r="K193" i="5"/>
  <c r="Z51" i="75"/>
  <c r="Q26" i="71"/>
  <c r="L44" i="68"/>
  <c r="J6" i="83"/>
  <c r="L6" i="83" s="1"/>
  <c r="C22" i="83" s="1"/>
  <c r="C5" i="83" s="1"/>
  <c r="D8" i="85"/>
  <c r="E8" i="85" s="1"/>
  <c r="E10" i="85" s="1"/>
  <c r="E11" i="85" s="1"/>
  <c r="D115" i="47"/>
  <c r="D118" i="47" s="1"/>
  <c r="D120" i="47" s="1"/>
  <c r="AC10" i="75"/>
  <c r="AC24" i="75"/>
  <c r="F52" i="52"/>
  <c r="F16" i="52" s="1"/>
  <c r="I869" i="5"/>
  <c r="I401" i="5"/>
  <c r="I426" i="5" s="1"/>
  <c r="I850" i="5" s="1"/>
  <c r="I851" i="5" s="1"/>
  <c r="I852" i="5" s="1"/>
  <c r="L26" i="71"/>
  <c r="P22" i="75"/>
  <c r="E17" i="74"/>
  <c r="E16" i="71"/>
  <c r="F33" i="71"/>
  <c r="K13" i="75"/>
  <c r="X43" i="75" s="1"/>
  <c r="I275" i="5"/>
  <c r="I298" i="5" s="1"/>
  <c r="I838" i="5" s="1"/>
  <c r="I839" i="5" s="1"/>
  <c r="I840" i="5" s="1"/>
  <c r="G84" i="51"/>
  <c r="I368" i="5"/>
  <c r="I393" i="5" s="1"/>
  <c r="I846" i="5" s="1"/>
  <c r="I847" i="5" s="1"/>
  <c r="I848" i="5" s="1"/>
  <c r="I597" i="5"/>
  <c r="I622" i="5" s="1"/>
  <c r="J21" i="71"/>
  <c r="L25" i="75"/>
  <c r="E32" i="70"/>
  <c r="E33" i="70" s="1"/>
  <c r="E111" i="70" s="1"/>
  <c r="N21" i="71"/>
  <c r="I819" i="5"/>
  <c r="I820" i="5" s="1"/>
  <c r="D32" i="75"/>
  <c r="M242" i="5"/>
  <c r="M267" i="5" s="1"/>
  <c r="M834" i="5" s="1"/>
  <c r="M835" i="5" s="1"/>
  <c r="M836" i="5" s="1"/>
  <c r="P29" i="71"/>
  <c r="P30" i="71"/>
  <c r="AC24" i="71"/>
  <c r="H13" i="71"/>
  <c r="U44" i="71" s="1"/>
  <c r="M713" i="5"/>
  <c r="D70" i="52" s="1"/>
  <c r="D22" i="52" s="1"/>
  <c r="AB26" i="71"/>
  <c r="I337" i="5"/>
  <c r="I360" i="5" s="1"/>
  <c r="E13" i="71"/>
  <c r="R44" i="71" s="1"/>
  <c r="I531" i="5"/>
  <c r="I213" i="5"/>
  <c r="AB21" i="71"/>
  <c r="L21" i="75"/>
  <c r="M831" i="5"/>
  <c r="M832" i="5" s="1"/>
  <c r="I76" i="47"/>
  <c r="J76" i="47" s="1"/>
  <c r="I26" i="71"/>
  <c r="X25" i="75"/>
  <c r="AA16" i="71"/>
  <c r="E38" i="69"/>
  <c r="E41" i="69" s="1"/>
  <c r="E43" i="69" s="1"/>
  <c r="H58" i="68"/>
  <c r="H59" i="68" s="1"/>
  <c r="H70" i="68" s="1"/>
  <c r="I498" i="5"/>
  <c r="AC28" i="71"/>
  <c r="P35" i="75"/>
  <c r="D72" i="47"/>
  <c r="AC31" i="71"/>
  <c r="P23" i="75"/>
  <c r="I109" i="5"/>
  <c r="F86" i="48" s="1"/>
  <c r="N16" i="75"/>
  <c r="O21" i="75"/>
  <c r="E47" i="70"/>
  <c r="X26" i="71"/>
  <c r="L21" i="71"/>
  <c r="H5131" i="18"/>
  <c r="H5135" i="18" s="1"/>
  <c r="E78" i="74"/>
  <c r="E97" i="74"/>
  <c r="E114" i="70"/>
  <c r="E95" i="70"/>
  <c r="E122" i="70" s="1"/>
  <c r="I230" i="5"/>
  <c r="I242" i="5"/>
  <c r="P36" i="71"/>
  <c r="P12" i="71"/>
  <c r="H213" i="5"/>
  <c r="AC20" i="75"/>
  <c r="V32" i="75"/>
  <c r="V14" i="75" s="1"/>
  <c r="J25" i="75"/>
  <c r="I46" i="47"/>
  <c r="J46" i="47" s="1"/>
  <c r="AC18" i="71"/>
  <c r="M26" i="71"/>
  <c r="M14" i="71" s="1"/>
  <c r="AC22" i="71"/>
  <c r="P12" i="75"/>
  <c r="P31" i="71"/>
  <c r="F79" i="48"/>
  <c r="F23" i="48" s="1"/>
  <c r="AC23" i="75"/>
  <c r="P19" i="71"/>
  <c r="P24" i="75"/>
  <c r="N16" i="71"/>
  <c r="U21" i="71"/>
  <c r="P27" i="71"/>
  <c r="J16" i="71"/>
  <c r="M597" i="5"/>
  <c r="M622" i="5" s="1"/>
  <c r="I229" i="5"/>
  <c r="K3618" i="18"/>
  <c r="L3618" i="18" s="1"/>
  <c r="Q3618" i="18"/>
  <c r="R33" i="71"/>
  <c r="AC36" i="71"/>
  <c r="M275" i="5"/>
  <c r="M298" i="5" s="1"/>
  <c r="M838" i="5" s="1"/>
  <c r="M839" i="5" s="1"/>
  <c r="M840" i="5" s="1"/>
  <c r="R13" i="71"/>
  <c r="M218" i="5"/>
  <c r="M368" i="5"/>
  <c r="M393" i="5" s="1"/>
  <c r="M846" i="5" s="1"/>
  <c r="M847" i="5" s="1"/>
  <c r="M848" i="5" s="1"/>
  <c r="M223" i="5"/>
  <c r="L3578" i="18"/>
  <c r="L3531" i="18"/>
  <c r="L3541" i="18"/>
  <c r="L3558" i="18"/>
  <c r="D16" i="75"/>
  <c r="E40" i="73"/>
  <c r="I25" i="75"/>
  <c r="F106" i="74"/>
  <c r="F44" i="74"/>
  <c r="AC17" i="71"/>
  <c r="M213" i="5"/>
  <c r="M306" i="5"/>
  <c r="M329" i="5" s="1"/>
  <c r="M842" i="5" s="1"/>
  <c r="M843" i="5" s="1"/>
  <c r="M844" i="5" s="1"/>
  <c r="T16" i="75"/>
  <c r="AC17" i="75"/>
  <c r="AC9" i="71"/>
  <c r="S25" i="75"/>
  <c r="AC9" i="75"/>
  <c r="M46" i="46"/>
  <c r="N46" i="46" s="1"/>
  <c r="M45" i="46"/>
  <c r="N45" i="46" s="1"/>
  <c r="M19" i="46"/>
  <c r="N19" i="46" s="1"/>
  <c r="M31" i="46"/>
  <c r="N31" i="46" s="1"/>
  <c r="M21" i="46"/>
  <c r="N21" i="46" s="1"/>
  <c r="M17" i="46"/>
  <c r="N17" i="46" s="1"/>
  <c r="D16" i="71"/>
  <c r="I630" i="5"/>
  <c r="I655" i="5" s="1"/>
  <c r="I874" i="5" s="1"/>
  <c r="I875" i="5" s="1"/>
  <c r="I876" i="5" s="1"/>
  <c r="F33" i="73"/>
  <c r="F73" i="73" s="1"/>
  <c r="AC19" i="75"/>
  <c r="U16" i="75"/>
  <c r="F26" i="71"/>
  <c r="P17" i="71"/>
  <c r="E53" i="69"/>
  <c r="E46" i="69" s="1"/>
  <c r="E86" i="69" s="1"/>
  <c r="S21" i="75"/>
  <c r="AC22" i="75"/>
  <c r="S32" i="75"/>
  <c r="M465" i="5"/>
  <c r="M490" i="5" s="1"/>
  <c r="M858" i="5" s="1"/>
  <c r="M859" i="5" s="1"/>
  <c r="M860" i="5" s="1"/>
  <c r="G58" i="68"/>
  <c r="U26" i="71"/>
  <c r="F25" i="75"/>
  <c r="I13" i="75"/>
  <c r="V43" i="75" s="1"/>
  <c r="I218" i="5"/>
  <c r="P33" i="75"/>
  <c r="P24" i="71"/>
  <c r="P35" i="71"/>
  <c r="X33" i="71"/>
  <c r="X16" i="71"/>
  <c r="AB25" i="75"/>
  <c r="AB14" i="75" s="1"/>
  <c r="AB36" i="75" s="1"/>
  <c r="AB50" i="75" s="1"/>
  <c r="AB52" i="75" s="1"/>
  <c r="AB53" i="75" s="1"/>
  <c r="F74" i="48"/>
  <c r="F22" i="48" s="1"/>
  <c r="D16" i="52"/>
  <c r="D28" i="48"/>
  <c r="L16" i="75"/>
  <c r="F25" i="73"/>
  <c r="F28" i="73" s="1"/>
  <c r="F30" i="73" s="1"/>
  <c r="R16" i="71"/>
  <c r="U16" i="71"/>
  <c r="G51" i="75"/>
  <c r="K35" i="72"/>
  <c r="H13" i="75"/>
  <c r="U43" i="75" s="1"/>
  <c r="X32" i="75"/>
  <c r="I683" i="5"/>
  <c r="F43" i="48" s="1"/>
  <c r="T16" i="71"/>
  <c r="R16" i="75"/>
  <c r="D84" i="51"/>
  <c r="X21" i="71"/>
  <c r="F497" i="5"/>
  <c r="F523" i="5" s="1"/>
  <c r="F862" i="5" s="1"/>
  <c r="F863" i="5" s="1"/>
  <c r="F864" i="5" s="1"/>
  <c r="I492" i="5"/>
  <c r="J805" i="5"/>
  <c r="J791" i="5"/>
  <c r="J793" i="5" s="1"/>
  <c r="J794" i="5" s="1"/>
  <c r="M169" i="5"/>
  <c r="F241" i="5"/>
  <c r="I236" i="5"/>
  <c r="F105" i="70"/>
  <c r="F85" i="70"/>
  <c r="F110" i="70" s="1"/>
  <c r="F112" i="70" s="1"/>
  <c r="F113" i="70" s="1"/>
  <c r="J40" i="2"/>
  <c r="J54" i="2" s="1"/>
  <c r="J56" i="2" s="1"/>
  <c r="J57" i="2" s="1"/>
  <c r="Q15" i="2"/>
  <c r="F810" i="5"/>
  <c r="F811" i="5" s="1"/>
  <c r="F812" i="5" s="1"/>
  <c r="F212" i="5"/>
  <c r="F814" i="5" s="1"/>
  <c r="F815" i="5" s="1"/>
  <c r="F434" i="5"/>
  <c r="F113" i="8"/>
  <c r="F115" i="8" s="1"/>
  <c r="D55" i="52"/>
  <c r="M786" i="5"/>
  <c r="D82" i="48"/>
  <c r="M790" i="5"/>
  <c r="D14" i="48"/>
  <c r="F51" i="74"/>
  <c r="D11" i="48"/>
  <c r="D17" i="48" s="1"/>
  <c r="D45" i="48"/>
  <c r="D34" i="48"/>
  <c r="F38" i="69"/>
  <c r="F41" i="69" s="1"/>
  <c r="F43" i="69" s="1"/>
  <c r="F106" i="70" s="1"/>
  <c r="F7" i="69"/>
  <c r="I101" i="51"/>
  <c r="D115" i="51"/>
  <c r="D118" i="51" s="1"/>
  <c r="D120" i="51" s="1"/>
  <c r="F26" i="52"/>
  <c r="D62" i="52"/>
  <c r="D10" i="52" s="1"/>
  <c r="Z15" i="71"/>
  <c r="Z14" i="71" s="1"/>
  <c r="Z37" i="71" s="1"/>
  <c r="M531" i="5"/>
  <c r="M556" i="5" s="1"/>
  <c r="M809" i="5"/>
  <c r="M435" i="5"/>
  <c r="M434" i="5" s="1"/>
  <c r="M457" i="5" s="1"/>
  <c r="M854" i="5" s="1"/>
  <c r="D20" i="52"/>
  <c r="D27" i="48"/>
  <c r="V33" i="71"/>
  <c r="M96" i="7"/>
  <c r="L97" i="7"/>
  <c r="M97" i="7" s="1"/>
  <c r="K267" i="5"/>
  <c r="J14" i="51"/>
  <c r="I28" i="51"/>
  <c r="F24" i="52"/>
  <c r="F12" i="52"/>
  <c r="J57" i="51"/>
  <c r="I72" i="51"/>
  <c r="Q15" i="71"/>
  <c r="Q15" i="75"/>
  <c r="Q14" i="75" s="1"/>
  <c r="Q36" i="75" s="1"/>
  <c r="L267" i="5"/>
  <c r="L234" i="5" s="1"/>
  <c r="F754" i="5"/>
  <c r="F826" i="5" s="1"/>
  <c r="F827" i="5" s="1"/>
  <c r="F828" i="5" s="1"/>
  <c r="F822" i="5"/>
  <c r="F823" i="5" s="1"/>
  <c r="F824" i="5" s="1"/>
  <c r="I737" i="5"/>
  <c r="E113" i="8"/>
  <c r="E115" i="8" s="1"/>
  <c r="E116" i="8" s="1"/>
  <c r="M10" i="71"/>
  <c r="I530" i="5"/>
  <c r="M10" i="75"/>
  <c r="I204" i="5"/>
  <c r="F91" i="21"/>
  <c r="D47" i="52"/>
  <c r="D15" i="52" s="1"/>
  <c r="F47" i="52"/>
  <c r="F15" i="52" s="1"/>
  <c r="W48" i="2"/>
  <c r="W49" i="2" s="1"/>
  <c r="W50" i="2" s="1"/>
  <c r="W54" i="2"/>
  <c r="W56" i="2" s="1"/>
  <c r="W57" i="2" s="1"/>
  <c r="J74" i="51"/>
  <c r="I84" i="51"/>
  <c r="M818" i="5"/>
  <c r="M630" i="5"/>
  <c r="M655" i="5" s="1"/>
  <c r="M874" i="5" s="1"/>
  <c r="M875" i="5" s="1"/>
  <c r="M876" i="5" s="1"/>
  <c r="N31" i="75"/>
  <c r="P31" i="75" s="1"/>
  <c r="N32" i="71"/>
  <c r="P32" i="71" s="1"/>
  <c r="L1057" i="18"/>
  <c r="L1587" i="18"/>
  <c r="L1491" i="18"/>
  <c r="L1538" i="18"/>
  <c r="L1520" i="18"/>
  <c r="L988" i="18"/>
  <c r="L1027" i="18"/>
  <c r="L1292" i="18"/>
  <c r="L1557" i="18"/>
  <c r="L1277" i="18"/>
  <c r="M817" i="5"/>
  <c r="M802" i="5"/>
  <c r="J822" i="5"/>
  <c r="J823" i="5" s="1"/>
  <c r="J824" i="5" s="1"/>
  <c r="J754" i="5"/>
  <c r="J826" i="5" s="1"/>
  <c r="J827" i="5" s="1"/>
  <c r="J828" i="5" s="1"/>
  <c r="M737" i="5"/>
  <c r="J30" i="51"/>
  <c r="I54" i="51"/>
  <c r="L2391" i="18"/>
  <c r="L2202" i="18"/>
  <c r="L2218" i="18"/>
  <c r="Z47" i="2"/>
  <c r="Z49" i="2" s="1"/>
  <c r="Z50" i="2" s="1"/>
  <c r="L40" i="2"/>
  <c r="E64" i="8"/>
  <c r="F67" i="8"/>
  <c r="F118" i="8"/>
  <c r="F119" i="8" s="1"/>
  <c r="F120" i="8" s="1"/>
  <c r="E104" i="8"/>
  <c r="AB16" i="2"/>
  <c r="AB18" i="2"/>
  <c r="J193" i="5"/>
  <c r="J801" i="5" s="1"/>
  <c r="J803" i="5" s="1"/>
  <c r="J804" i="5" s="1"/>
  <c r="F97" i="21"/>
  <c r="F98" i="21" s="1"/>
  <c r="F121" i="21"/>
  <c r="R47" i="2"/>
  <c r="R49" i="2" s="1"/>
  <c r="R50" i="2" s="1"/>
  <c r="D40" i="2"/>
  <c r="D13" i="48"/>
  <c r="D18" i="48" s="1"/>
  <c r="D64" i="52"/>
  <c r="F27" i="52" s="1"/>
  <c r="D59" i="52"/>
  <c r="D86" i="48"/>
  <c r="L4958" i="18"/>
  <c r="P18" i="71"/>
  <c r="P27" i="75"/>
  <c r="E12" i="69"/>
  <c r="L2797" i="18"/>
  <c r="L2810" i="18"/>
  <c r="K31" i="68"/>
  <c r="K44" i="68"/>
  <c r="I64" i="5"/>
  <c r="F82" i="48" s="1"/>
  <c r="P17" i="75"/>
  <c r="P30" i="75"/>
  <c r="J16" i="75"/>
  <c r="L33" i="71"/>
  <c r="P11" i="71"/>
  <c r="L3937" i="18"/>
  <c r="L3927" i="18"/>
  <c r="L3957" i="18"/>
  <c r="L3947" i="18"/>
  <c r="P18" i="75"/>
  <c r="P20" i="71"/>
  <c r="D21" i="71"/>
  <c r="G49" i="72"/>
  <c r="P20" i="75"/>
  <c r="P25" i="71"/>
  <c r="P11" i="75"/>
  <c r="F16" i="71"/>
  <c r="P28" i="71"/>
  <c r="K15" i="75"/>
  <c r="K15" i="71"/>
  <c r="P29" i="75"/>
  <c r="P26" i="75"/>
  <c r="I223" i="5"/>
  <c r="P34" i="75"/>
  <c r="I16" i="75"/>
  <c r="P19" i="75"/>
  <c r="F72" i="47"/>
  <c r="E25" i="73"/>
  <c r="E28" i="73" s="1"/>
  <c r="H4969" i="18" s="1"/>
  <c r="D51" i="75"/>
  <c r="K23" i="72"/>
  <c r="F16" i="75"/>
  <c r="I465" i="5"/>
  <c r="I490" i="5" s="1"/>
  <c r="I858" i="5" s="1"/>
  <c r="I859" i="5" s="1"/>
  <c r="I860" i="5" s="1"/>
  <c r="L16" i="71"/>
  <c r="F21" i="75"/>
  <c r="L2599" i="18"/>
  <c r="L2557" i="18"/>
  <c r="P34" i="71"/>
  <c r="AB43" i="75"/>
  <c r="H212" i="5"/>
  <c r="I101" i="47"/>
  <c r="F115" i="47"/>
  <c r="F118" i="47" s="1"/>
  <c r="F120" i="47" s="1"/>
  <c r="I13" i="71"/>
  <c r="V44" i="71" s="1"/>
  <c r="L2877" i="18"/>
  <c r="L2830" i="18"/>
  <c r="L2748" i="18"/>
  <c r="L2705" i="18"/>
  <c r="L2648" i="18"/>
  <c r="I161" i="5"/>
  <c r="I163" i="5" s="1"/>
  <c r="F13" i="48"/>
  <c r="F18" i="48" s="1"/>
  <c r="F36" i="48"/>
  <c r="F34" i="48"/>
  <c r="F11" i="48"/>
  <c r="F17" i="48" s="1"/>
  <c r="F45" i="48"/>
  <c r="F84" i="47"/>
  <c r="F54" i="47"/>
  <c r="L2191" i="18"/>
  <c r="L2157" i="18"/>
  <c r="L32" i="75"/>
  <c r="H209" i="5"/>
  <c r="N15" i="71"/>
  <c r="I564" i="5"/>
  <c r="I806" i="5"/>
  <c r="N15" i="75"/>
  <c r="J30" i="47"/>
  <c r="I791" i="5"/>
  <c r="H234" i="5"/>
  <c r="F85" i="48"/>
  <c r="F25" i="48" s="1"/>
  <c r="F27" i="48"/>
  <c r="F81" i="48"/>
  <c r="F28" i="48" s="1"/>
  <c r="I5131" i="18"/>
  <c r="F78" i="74"/>
  <c r="F97" i="74"/>
  <c r="J846" i="5"/>
  <c r="J847" i="5" s="1"/>
  <c r="F95" i="70"/>
  <c r="F122" i="70" s="1"/>
  <c r="F114" i="70"/>
  <c r="F852" i="5"/>
  <c r="L84" i="46"/>
  <c r="G60" i="46"/>
  <c r="G84" i="46"/>
  <c r="L80" i="46"/>
  <c r="L60" i="46"/>
  <c r="L12" i="46"/>
  <c r="G42" i="46"/>
  <c r="G80" i="46"/>
  <c r="G83" i="46"/>
  <c r="G56" i="46"/>
  <c r="L78" i="46"/>
  <c r="H231" i="50"/>
  <c r="G63" i="46"/>
  <c r="G34" i="46"/>
  <c r="L81" i="46"/>
  <c r="G50" i="46"/>
  <c r="L53" i="46"/>
  <c r="G55" i="46"/>
  <c r="G26" i="46"/>
  <c r="L74" i="46"/>
  <c r="G54" i="46"/>
  <c r="K14" i="71" l="1"/>
  <c r="D55" i="47"/>
  <c r="M426" i="5"/>
  <c r="M850" i="5" s="1"/>
  <c r="M851" i="5" s="1"/>
  <c r="M852" i="5" s="1"/>
  <c r="K14" i="75"/>
  <c r="K36" i="75" s="1"/>
  <c r="D109" i="48"/>
  <c r="D29" i="48" s="1"/>
  <c r="L209" i="5"/>
  <c r="U14" i="75"/>
  <c r="U36" i="75" s="1"/>
  <c r="E36" i="75"/>
  <c r="E50" i="75" s="1"/>
  <c r="E52" i="75" s="1"/>
  <c r="E53" i="75" s="1"/>
  <c r="Y14" i="71"/>
  <c r="Y37" i="71" s="1"/>
  <c r="Y45" i="71" s="1"/>
  <c r="AC33" i="75"/>
  <c r="E59" i="70"/>
  <c r="K294" i="50"/>
  <c r="AC34" i="71"/>
  <c r="AC12" i="71"/>
  <c r="H4463" i="18"/>
  <c r="F121" i="47"/>
  <c r="AC27" i="71"/>
  <c r="K37" i="71"/>
  <c r="K51" i="71" s="1"/>
  <c r="K53" i="71" s="1"/>
  <c r="K54" i="71" s="1"/>
  <c r="F28" i="47"/>
  <c r="I28" i="47"/>
  <c r="J28" i="47" s="1"/>
  <c r="F15" i="48"/>
  <c r="AC11" i="71"/>
  <c r="AC34" i="75"/>
  <c r="I192" i="5"/>
  <c r="E33" i="73"/>
  <c r="E73" i="73" s="1"/>
  <c r="F61" i="70"/>
  <c r="G14" i="75"/>
  <c r="G36" i="75" s="1"/>
  <c r="G50" i="75" s="1"/>
  <c r="W13" i="75"/>
  <c r="Y25" i="75"/>
  <c r="Y14" i="75" s="1"/>
  <c r="Y36" i="75" s="1"/>
  <c r="L120" i="18"/>
  <c r="L170" i="18"/>
  <c r="L306" i="18"/>
  <c r="L236" i="18"/>
  <c r="V13" i="75"/>
  <c r="I117" i="5"/>
  <c r="K4366" i="18" s="1"/>
  <c r="L4367" i="18" s="1"/>
  <c r="M117" i="5"/>
  <c r="M853" i="5" s="1"/>
  <c r="M855" i="5" s="1"/>
  <c r="M856" i="5" s="1"/>
  <c r="T14" i="71"/>
  <c r="T37" i="71" s="1"/>
  <c r="T51" i="71" s="1"/>
  <c r="T53" i="71" s="1"/>
  <c r="T54" i="71" s="1"/>
  <c r="AC35" i="71"/>
  <c r="M230" i="5"/>
  <c r="V36" i="75"/>
  <c r="V44" i="75" s="1"/>
  <c r="V45" i="75" s="1"/>
  <c r="V46" i="75" s="1"/>
  <c r="I193" i="5"/>
  <c r="I801" i="5" s="1"/>
  <c r="L45" i="68"/>
  <c r="D58" i="52"/>
  <c r="D18" i="52" s="1"/>
  <c r="D85" i="48"/>
  <c r="D25" i="48" s="1"/>
  <c r="G53" i="71"/>
  <c r="G54" i="71" s="1"/>
  <c r="D95" i="47"/>
  <c r="E14" i="71"/>
  <c r="E37" i="71" s="1"/>
  <c r="E51" i="71" s="1"/>
  <c r="E53" i="71" s="1"/>
  <c r="E54" i="71" s="1"/>
  <c r="E42" i="74"/>
  <c r="I72" i="47"/>
  <c r="J72" i="47" s="1"/>
  <c r="I95" i="47"/>
  <c r="J95" i="47" s="1"/>
  <c r="AC21" i="75"/>
  <c r="T14" i="75"/>
  <c r="T36" i="75" s="1"/>
  <c r="T44" i="75" s="1"/>
  <c r="T45" i="75" s="1"/>
  <c r="T46" i="75" s="1"/>
  <c r="K434" i="5"/>
  <c r="K457" i="5" s="1"/>
  <c r="E31" i="51"/>
  <c r="H31" i="51" s="1"/>
  <c r="Y51" i="71"/>
  <c r="Y53" i="71" s="1"/>
  <c r="Y54" i="71" s="1"/>
  <c r="F89" i="74"/>
  <c r="F31" i="73"/>
  <c r="F65" i="73" s="1"/>
  <c r="I14" i="71"/>
  <c r="I37" i="71" s="1"/>
  <c r="I51" i="71" s="1"/>
  <c r="I53" i="71" s="1"/>
  <c r="I54" i="71" s="1"/>
  <c r="J54" i="51"/>
  <c r="P21" i="75"/>
  <c r="K36" i="72"/>
  <c r="E18" i="51"/>
  <c r="H18" i="51" s="1"/>
  <c r="D85" i="47"/>
  <c r="E64" i="47" s="1"/>
  <c r="G434" i="5"/>
  <c r="G212" i="5"/>
  <c r="L57" i="68"/>
  <c r="AA52" i="71" s="1"/>
  <c r="D95" i="51"/>
  <c r="I95" i="51" s="1"/>
  <c r="J95" i="51" s="1"/>
  <c r="L48" i="72"/>
  <c r="D85" i="51"/>
  <c r="E78" i="51" s="1"/>
  <c r="H78" i="51" s="1"/>
  <c r="O14" i="75"/>
  <c r="O36" i="75" s="1"/>
  <c r="O50" i="75" s="1"/>
  <c r="O52" i="75" s="1"/>
  <c r="O53" i="75" s="1"/>
  <c r="M869" i="5"/>
  <c r="K293" i="50"/>
  <c r="E26" i="51"/>
  <c r="H26" i="51" s="1"/>
  <c r="AC13" i="71"/>
  <c r="G85" i="51"/>
  <c r="Q14" i="71"/>
  <c r="Q37" i="71" s="1"/>
  <c r="Q45" i="71" s="1"/>
  <c r="E23" i="51"/>
  <c r="H23" i="51" s="1"/>
  <c r="E20" i="51"/>
  <c r="H20" i="51" s="1"/>
  <c r="I120" i="47"/>
  <c r="J120" i="47" s="1"/>
  <c r="E22" i="51"/>
  <c r="H22" i="51" s="1"/>
  <c r="E17" i="51"/>
  <c r="H17" i="51" s="1"/>
  <c r="I786" i="5"/>
  <c r="E38" i="51"/>
  <c r="H38" i="51" s="1"/>
  <c r="E19" i="51"/>
  <c r="H19" i="51" s="1"/>
  <c r="I84" i="47"/>
  <c r="F52" i="73"/>
  <c r="E36" i="51"/>
  <c r="H36" i="51" s="1"/>
  <c r="E47" i="51"/>
  <c r="H47" i="51" s="1"/>
  <c r="E24" i="51"/>
  <c r="H24" i="51" s="1"/>
  <c r="E35" i="51"/>
  <c r="H35" i="51" s="1"/>
  <c r="E16" i="51"/>
  <c r="H16" i="51" s="1"/>
  <c r="E27" i="51"/>
  <c r="H27" i="51" s="1"/>
  <c r="E21" i="51"/>
  <c r="H21" i="51" s="1"/>
  <c r="E39" i="51"/>
  <c r="H39" i="51" s="1"/>
  <c r="E51" i="51"/>
  <c r="H51" i="51" s="1"/>
  <c r="E94" i="74"/>
  <c r="P33" i="71"/>
  <c r="D14" i="75"/>
  <c r="AC26" i="71"/>
  <c r="P32" i="75"/>
  <c r="AB14" i="71"/>
  <c r="AB37" i="71" s="1"/>
  <c r="AB45" i="71" s="1"/>
  <c r="AB46" i="71" s="1"/>
  <c r="AB47" i="71" s="1"/>
  <c r="E77" i="69"/>
  <c r="E79" i="69" s="1"/>
  <c r="E80" i="69" s="1"/>
  <c r="E82" i="69"/>
  <c r="L14" i="71"/>
  <c r="I556" i="5"/>
  <c r="I866" i="5" s="1"/>
  <c r="I867" i="5" s="1"/>
  <c r="I868" i="5" s="1"/>
  <c r="N25" i="75"/>
  <c r="P25" i="75" s="1"/>
  <c r="U14" i="71"/>
  <c r="U37" i="71" s="1"/>
  <c r="U51" i="71" s="1"/>
  <c r="U53" i="71" s="1"/>
  <c r="U54" i="71" s="1"/>
  <c r="AC21" i="71"/>
  <c r="F65" i="69"/>
  <c r="F90" i="69" s="1"/>
  <c r="X14" i="75"/>
  <c r="X36" i="75" s="1"/>
  <c r="X44" i="75" s="1"/>
  <c r="X45" i="75" s="1"/>
  <c r="X46" i="75" s="1"/>
  <c r="F37" i="48"/>
  <c r="Y44" i="75"/>
  <c r="K44" i="72"/>
  <c r="J51" i="75" s="1"/>
  <c r="E50" i="51"/>
  <c r="H50" i="51" s="1"/>
  <c r="E32" i="51"/>
  <c r="H32" i="51" s="1"/>
  <c r="E34" i="51"/>
  <c r="H34" i="51" s="1"/>
  <c r="E46" i="51"/>
  <c r="H46" i="51" s="1"/>
  <c r="E44" i="51"/>
  <c r="H44" i="51" s="1"/>
  <c r="E15" i="51"/>
  <c r="H15" i="51" s="1"/>
  <c r="E25" i="51"/>
  <c r="H25" i="51" s="1"/>
  <c r="E13" i="51"/>
  <c r="E45" i="51"/>
  <c r="H45" i="51" s="1"/>
  <c r="E53" i="51"/>
  <c r="H53" i="51" s="1"/>
  <c r="E52" i="51"/>
  <c r="H52" i="51" s="1"/>
  <c r="E41" i="51"/>
  <c r="H41" i="51" s="1"/>
  <c r="E48" i="51"/>
  <c r="H48" i="51" s="1"/>
  <c r="E14" i="51"/>
  <c r="H14" i="51" s="1"/>
  <c r="E42" i="51"/>
  <c r="H42" i="51" s="1"/>
  <c r="E40" i="51"/>
  <c r="H40" i="51" s="1"/>
  <c r="E33" i="51"/>
  <c r="H33" i="51" s="1"/>
  <c r="E30" i="51"/>
  <c r="H30" i="51" s="1"/>
  <c r="E37" i="51"/>
  <c r="H37" i="51" s="1"/>
  <c r="E43" i="51"/>
  <c r="H43" i="51" s="1"/>
  <c r="G50" i="72"/>
  <c r="H59" i="72" s="1"/>
  <c r="E106" i="70"/>
  <c r="D14" i="71"/>
  <c r="F69" i="73"/>
  <c r="F107" i="70"/>
  <c r="F108" i="70" s="1"/>
  <c r="F64" i="73"/>
  <c r="E105" i="74"/>
  <c r="I54" i="47"/>
  <c r="J54" i="47" s="1"/>
  <c r="G59" i="68"/>
  <c r="H68" i="68" s="1"/>
  <c r="F124" i="70"/>
  <c r="F125" i="70" s="1"/>
  <c r="H4970" i="18"/>
  <c r="H4982" i="18" s="1"/>
  <c r="K4966" i="18" s="1"/>
  <c r="I825" i="5"/>
  <c r="J84" i="51"/>
  <c r="F14" i="71"/>
  <c r="F37" i="71" s="1"/>
  <c r="F51" i="71" s="1"/>
  <c r="F53" i="71" s="1"/>
  <c r="F54" i="71" s="1"/>
  <c r="I711" i="5"/>
  <c r="F42" i="48" s="1"/>
  <c r="P16" i="71"/>
  <c r="N26" i="71"/>
  <c r="P26" i="71" s="1"/>
  <c r="I14" i="75"/>
  <c r="I36" i="75" s="1"/>
  <c r="I50" i="75" s="1"/>
  <c r="I52" i="75" s="1"/>
  <c r="I53" i="75" s="1"/>
  <c r="G52" i="75"/>
  <c r="G53" i="75" s="1"/>
  <c r="E101" i="70"/>
  <c r="F115" i="70"/>
  <c r="F116" i="70" s="1"/>
  <c r="AC33" i="71"/>
  <c r="I231" i="50"/>
  <c r="J231" i="50" s="1"/>
  <c r="E66" i="51"/>
  <c r="H66" i="51" s="1"/>
  <c r="E64" i="51"/>
  <c r="H64" i="51" s="1"/>
  <c r="F77" i="69"/>
  <c r="F79" i="69" s="1"/>
  <c r="F80" i="69" s="1"/>
  <c r="X14" i="71"/>
  <c r="X37" i="71" s="1"/>
  <c r="X45" i="71" s="1"/>
  <c r="X46" i="71" s="1"/>
  <c r="X47" i="71" s="1"/>
  <c r="E65" i="69"/>
  <c r="E90" i="69" s="1"/>
  <c r="E30" i="73"/>
  <c r="C4" i="83"/>
  <c r="C33" i="83" s="1"/>
  <c r="C35" i="83" s="1"/>
  <c r="C37" i="83" s="1"/>
  <c r="F82" i="69"/>
  <c r="AB44" i="75"/>
  <c r="AC25" i="75"/>
  <c r="F98" i="74"/>
  <c r="F99" i="74" s="1"/>
  <c r="F100" i="74" s="1"/>
  <c r="E84" i="74"/>
  <c r="AB45" i="75"/>
  <c r="AB46" i="75" s="1"/>
  <c r="L14" i="75"/>
  <c r="S14" i="75"/>
  <c r="S36" i="75" s="1"/>
  <c r="S44" i="75" s="1"/>
  <c r="S45" i="75" s="1"/>
  <c r="S46" i="75" s="1"/>
  <c r="M26" i="46"/>
  <c r="N26" i="46" s="1"/>
  <c r="M12" i="46"/>
  <c r="N12" i="46" s="1"/>
  <c r="M34" i="46"/>
  <c r="N34" i="46" s="1"/>
  <c r="M80" i="46"/>
  <c r="N80" i="46" s="1"/>
  <c r="M42" i="46"/>
  <c r="N42" i="46" s="1"/>
  <c r="M60" i="46"/>
  <c r="N60" i="46" s="1"/>
  <c r="F99" i="21"/>
  <c r="F816" i="5"/>
  <c r="M866" i="5"/>
  <c r="M867" i="5" s="1"/>
  <c r="M868" i="5" s="1"/>
  <c r="Z45" i="71"/>
  <c r="Z51" i="71"/>
  <c r="Z53" i="71" s="1"/>
  <c r="Z54" i="71" s="1"/>
  <c r="P10" i="71"/>
  <c r="M13" i="71"/>
  <c r="D11" i="52"/>
  <c r="F116" i="8"/>
  <c r="F129" i="8"/>
  <c r="R14" i="71"/>
  <c r="R37" i="71" s="1"/>
  <c r="AC16" i="71"/>
  <c r="V14" i="71"/>
  <c r="M754" i="5"/>
  <c r="M826" i="5" s="1"/>
  <c r="M827" i="5" s="1"/>
  <c r="M828" i="5" s="1"/>
  <c r="M822" i="5"/>
  <c r="M823" i="5" s="1"/>
  <c r="M824" i="5" s="1"/>
  <c r="K209" i="5"/>
  <c r="F457" i="5"/>
  <c r="F854" i="5" s="1"/>
  <c r="F855" i="5" s="1"/>
  <c r="F856" i="5" s="1"/>
  <c r="F209" i="5"/>
  <c r="M813" i="5"/>
  <c r="F267" i="5"/>
  <c r="E13" i="47"/>
  <c r="E49" i="47"/>
  <c r="E51" i="47"/>
  <c r="E18" i="47"/>
  <c r="E35" i="47"/>
  <c r="E43" i="47"/>
  <c r="E46" i="47"/>
  <c r="E44" i="47"/>
  <c r="E41" i="47"/>
  <c r="E33" i="47"/>
  <c r="E16" i="47"/>
  <c r="E37" i="47"/>
  <c r="E40" i="47"/>
  <c r="E47" i="47"/>
  <c r="E23" i="47"/>
  <c r="E32" i="47"/>
  <c r="E25" i="47"/>
  <c r="E22" i="47"/>
  <c r="E31" i="47"/>
  <c r="E39" i="47"/>
  <c r="E27" i="47"/>
  <c r="E52" i="47"/>
  <c r="E20" i="47"/>
  <c r="E42" i="47"/>
  <c r="E36" i="47"/>
  <c r="E26" i="47"/>
  <c r="E24" i="47"/>
  <c r="E48" i="47"/>
  <c r="E38" i="47"/>
  <c r="E30" i="47"/>
  <c r="E21" i="47"/>
  <c r="E19" i="47"/>
  <c r="E34" i="47"/>
  <c r="E17" i="47"/>
  <c r="E15" i="47"/>
  <c r="E14" i="47"/>
  <c r="E50" i="47"/>
  <c r="E53" i="47"/>
  <c r="E45" i="47"/>
  <c r="U50" i="75"/>
  <c r="U52" i="75" s="1"/>
  <c r="U53" i="75" s="1"/>
  <c r="U44" i="75"/>
  <c r="U45" i="75" s="1"/>
  <c r="U46" i="75" s="1"/>
  <c r="P10" i="75"/>
  <c r="M13" i="75"/>
  <c r="K234" i="5"/>
  <c r="R14" i="75"/>
  <c r="R36" i="75" s="1"/>
  <c r="AC16" i="75"/>
  <c r="M819" i="5"/>
  <c r="M820" i="5" s="1"/>
  <c r="J28" i="51"/>
  <c r="I55" i="51"/>
  <c r="J55" i="51" s="1"/>
  <c r="D9" i="75"/>
  <c r="D9" i="71"/>
  <c r="I241" i="5"/>
  <c r="AC32" i="75"/>
  <c r="D54" i="2"/>
  <c r="D56" i="2" s="1"/>
  <c r="D57" i="2" s="1"/>
  <c r="AE18" i="2"/>
  <c r="J565" i="5"/>
  <c r="AE16" i="2"/>
  <c r="L54" i="2"/>
  <c r="L56" i="2" s="1"/>
  <c r="L57" i="2" s="1"/>
  <c r="I822" i="5"/>
  <c r="I754" i="5"/>
  <c r="I826" i="5" s="1"/>
  <c r="J72" i="51"/>
  <c r="I85" i="51"/>
  <c r="D91" i="47"/>
  <c r="D96" i="47" s="1"/>
  <c r="D98" i="47" s="1"/>
  <c r="W15" i="71"/>
  <c r="W15" i="75"/>
  <c r="M810" i="5"/>
  <c r="M811" i="5" s="1"/>
  <c r="M812" i="5" s="1"/>
  <c r="D123" i="51"/>
  <c r="I123" i="51" s="1"/>
  <c r="J123" i="51" s="1"/>
  <c r="D123" i="47"/>
  <c r="D124" i="47" s="1"/>
  <c r="I120" i="51"/>
  <c r="J120" i="51" s="1"/>
  <c r="J101" i="51"/>
  <c r="I115" i="51"/>
  <c r="F68" i="74"/>
  <c r="F88" i="74"/>
  <c r="I5100" i="18"/>
  <c r="I5117" i="18" s="1"/>
  <c r="D19" i="48"/>
  <c r="D83" i="48"/>
  <c r="D24" i="48" s="1"/>
  <c r="D31" i="48"/>
  <c r="F56" i="52"/>
  <c r="F17" i="52" s="1"/>
  <c r="D56" i="52"/>
  <c r="D17" i="52" s="1"/>
  <c r="D24" i="52"/>
  <c r="D12" i="52"/>
  <c r="F30" i="52"/>
  <c r="I829" i="5"/>
  <c r="I831" i="5" s="1"/>
  <c r="I832" i="5" s="1"/>
  <c r="E123" i="70"/>
  <c r="E124" i="70" s="1"/>
  <c r="E125" i="70" s="1"/>
  <c r="M193" i="5"/>
  <c r="M801" i="5" s="1"/>
  <c r="M803" i="5" s="1"/>
  <c r="M804" i="5" s="1"/>
  <c r="D66" i="52"/>
  <c r="M791" i="5"/>
  <c r="M793" i="5" s="1"/>
  <c r="M794" i="5" s="1"/>
  <c r="I4463" i="18"/>
  <c r="I4472" i="18" s="1"/>
  <c r="D121" i="51"/>
  <c r="I121" i="51" s="1"/>
  <c r="J121" i="51" s="1"/>
  <c r="M805" i="5"/>
  <c r="D121" i="47"/>
  <c r="D15" i="48"/>
  <c r="L9" i="75"/>
  <c r="L13" i="75" s="1"/>
  <c r="I497" i="5"/>
  <c r="I523" i="5" s="1"/>
  <c r="I862" i="5" s="1"/>
  <c r="I863" i="5" s="1"/>
  <c r="I864" i="5" s="1"/>
  <c r="L9" i="71"/>
  <c r="L13" i="71" s="1"/>
  <c r="Y44" i="71" s="1"/>
  <c r="Y46" i="71" s="1"/>
  <c r="Y47" i="71" s="1"/>
  <c r="AB15" i="2"/>
  <c r="F106" i="21"/>
  <c r="F107" i="21" s="1"/>
  <c r="F108" i="21" s="1"/>
  <c r="J567" i="5"/>
  <c r="E122" i="8"/>
  <c r="E123" i="8" s="1"/>
  <c r="E124" i="8" s="1"/>
  <c r="F712" i="5"/>
  <c r="E65" i="8"/>
  <c r="E103" i="8"/>
  <c r="E105" i="8" s="1"/>
  <c r="P16" i="75"/>
  <c r="I122" i="5"/>
  <c r="I124" i="5" s="1"/>
  <c r="F87" i="48" s="1"/>
  <c r="P21" i="71"/>
  <c r="K53" i="68"/>
  <c r="J52" i="71" s="1"/>
  <c r="F55" i="47"/>
  <c r="G17" i="47" s="1"/>
  <c r="K45" i="68"/>
  <c r="E51" i="74"/>
  <c r="E68" i="70"/>
  <c r="F14" i="48"/>
  <c r="F38" i="48" s="1"/>
  <c r="I790" i="5"/>
  <c r="I793" i="5" s="1"/>
  <c r="I794" i="5" s="1"/>
  <c r="I821" i="5"/>
  <c r="F14" i="75"/>
  <c r="F36" i="75" s="1"/>
  <c r="F50" i="75" s="1"/>
  <c r="F52" i="75" s="1"/>
  <c r="F53" i="75" s="1"/>
  <c r="J101" i="47"/>
  <c r="I115" i="47"/>
  <c r="F85" i="47"/>
  <c r="I807" i="5"/>
  <c r="I808" i="5" s="1"/>
  <c r="F124" i="47"/>
  <c r="E83" i="69"/>
  <c r="J15" i="75"/>
  <c r="J15" i="71"/>
  <c r="I434" i="5"/>
  <c r="I810" i="5"/>
  <c r="I811" i="5" s="1"/>
  <c r="I812" i="5" s="1"/>
  <c r="E70" i="73"/>
  <c r="I800" i="5"/>
  <c r="I813" i="5"/>
  <c r="I815" i="5" s="1"/>
  <c r="I816" i="5" s="1"/>
  <c r="M63" i="46"/>
  <c r="N63" i="46" s="1"/>
  <c r="F83" i="48"/>
  <c r="F24" i="48" s="1"/>
  <c r="F40" i="48"/>
  <c r="F31" i="48"/>
  <c r="Q50" i="75"/>
  <c r="Q52" i="75" s="1"/>
  <c r="Q53" i="75" s="1"/>
  <c r="Q44" i="75"/>
  <c r="H37" i="71"/>
  <c r="H51" i="71" s="1"/>
  <c r="H53" i="71" s="1"/>
  <c r="H54" i="71" s="1"/>
  <c r="H36" i="75"/>
  <c r="S51" i="71"/>
  <c r="S53" i="71" s="1"/>
  <c r="S54" i="71" s="1"/>
  <c r="S45" i="71"/>
  <c r="S46" i="71" s="1"/>
  <c r="S47" i="71" s="1"/>
  <c r="M84" i="46"/>
  <c r="N84" i="46" s="1"/>
  <c r="J848" i="5"/>
  <c r="F105" i="74"/>
  <c r="F107" i="74" s="1"/>
  <c r="F108" i="74" s="1"/>
  <c r="I5135" i="18"/>
  <c r="Q5128" i="18" s="1"/>
  <c r="G65" i="46"/>
  <c r="L54" i="46"/>
  <c r="G67" i="46"/>
  <c r="L55" i="46"/>
  <c r="G69" i="46"/>
  <c r="L57" i="46"/>
  <c r="G71" i="46"/>
  <c r="L14" i="46"/>
  <c r="L56" i="46"/>
  <c r="G49" i="46"/>
  <c r="H326" i="50"/>
  <c r="G66" i="46"/>
  <c r="G79" i="46"/>
  <c r="L83" i="46"/>
  <c r="G64" i="46"/>
  <c r="G52" i="46"/>
  <c r="G57" i="46"/>
  <c r="L75" i="46"/>
  <c r="G82" i="46"/>
  <c r="L79" i="46"/>
  <c r="G68" i="46"/>
  <c r="M54" i="46" l="1"/>
  <c r="N54" i="46" s="1"/>
  <c r="M65" i="46"/>
  <c r="N65" i="46" s="1"/>
  <c r="L53" i="68"/>
  <c r="G289" i="50"/>
  <c r="I289" i="50" s="1"/>
  <c r="J289" i="50" s="1"/>
  <c r="F91" i="47"/>
  <c r="I853" i="5"/>
  <c r="AB51" i="71"/>
  <c r="AB53" i="71" s="1"/>
  <c r="AB54" i="71" s="1"/>
  <c r="L44" i="72"/>
  <c r="L49" i="72" s="1"/>
  <c r="M122" i="5"/>
  <c r="M124" i="5" s="1"/>
  <c r="M125" i="5" s="1"/>
  <c r="M787" i="5" s="1"/>
  <c r="M788" i="5" s="1"/>
  <c r="M789" i="5" s="1"/>
  <c r="V50" i="75"/>
  <c r="V52" i="75" s="1"/>
  <c r="V53" i="75" s="1"/>
  <c r="E67" i="47"/>
  <c r="I121" i="47"/>
  <c r="J121" i="47" s="1"/>
  <c r="D91" i="51"/>
  <c r="N4366" i="18"/>
  <c r="O4367" i="18" s="1"/>
  <c r="K289" i="50"/>
  <c r="M289" i="50" s="1"/>
  <c r="N289" i="50" s="1"/>
  <c r="T45" i="71"/>
  <c r="T46" i="71" s="1"/>
  <c r="T47" i="71" s="1"/>
  <c r="AC13" i="75"/>
  <c r="I803" i="5"/>
  <c r="I804" i="5" s="1"/>
  <c r="M71" i="46"/>
  <c r="N71" i="46" s="1"/>
  <c r="M55" i="46"/>
  <c r="N55" i="46" s="1"/>
  <c r="M67" i="46"/>
  <c r="N67" i="46" s="1"/>
  <c r="Y50" i="75"/>
  <c r="Y52" i="75" s="1"/>
  <c r="Y53" i="75" s="1"/>
  <c r="F90" i="74"/>
  <c r="F91" i="74" s="1"/>
  <c r="E68" i="47"/>
  <c r="E76" i="47"/>
  <c r="X50" i="75"/>
  <c r="X52" i="75" s="1"/>
  <c r="X53" i="75" s="1"/>
  <c r="I85" i="47"/>
  <c r="F66" i="73"/>
  <c r="F67" i="73" s="1"/>
  <c r="M83" i="46"/>
  <c r="N83" i="46" s="1"/>
  <c r="E106" i="74"/>
  <c r="E107" i="74" s="1"/>
  <c r="E108" i="74" s="1"/>
  <c r="E58" i="47"/>
  <c r="E83" i="47"/>
  <c r="E71" i="47"/>
  <c r="E65" i="47"/>
  <c r="E78" i="47"/>
  <c r="E80" i="47"/>
  <c r="T50" i="75"/>
  <c r="T52" i="75" s="1"/>
  <c r="T53" i="75" s="1"/>
  <c r="E61" i="47"/>
  <c r="E59" i="47"/>
  <c r="E81" i="47"/>
  <c r="E71" i="51"/>
  <c r="H71" i="51" s="1"/>
  <c r="E59" i="51"/>
  <c r="H59" i="51" s="1"/>
  <c r="E75" i="47"/>
  <c r="E69" i="47"/>
  <c r="E82" i="47"/>
  <c r="E70" i="47"/>
  <c r="E77" i="47"/>
  <c r="E62" i="47"/>
  <c r="E79" i="47"/>
  <c r="E69" i="73"/>
  <c r="E31" i="73"/>
  <c r="E65" i="73" s="1"/>
  <c r="E70" i="51"/>
  <c r="H70" i="51" s="1"/>
  <c r="E57" i="51"/>
  <c r="H57" i="51" s="1"/>
  <c r="E63" i="47"/>
  <c r="E60" i="47"/>
  <c r="E74" i="47"/>
  <c r="E57" i="47"/>
  <c r="E66" i="47"/>
  <c r="M68" i="46"/>
  <c r="N68" i="46" s="1"/>
  <c r="E74" i="51"/>
  <c r="H74" i="51" s="1"/>
  <c r="E80" i="51"/>
  <c r="H80" i="51" s="1"/>
  <c r="E82" i="51"/>
  <c r="H82" i="51" s="1"/>
  <c r="E75" i="51"/>
  <c r="H75" i="51" s="1"/>
  <c r="E76" i="51"/>
  <c r="H76" i="51" s="1"/>
  <c r="E68" i="51"/>
  <c r="H68" i="51" s="1"/>
  <c r="E63" i="51"/>
  <c r="H63" i="51" s="1"/>
  <c r="E79" i="51"/>
  <c r="H79" i="51" s="1"/>
  <c r="E62" i="51"/>
  <c r="H62" i="51" s="1"/>
  <c r="E81" i="51"/>
  <c r="H81" i="51" s="1"/>
  <c r="E60" i="51"/>
  <c r="H60" i="51" s="1"/>
  <c r="E65" i="51"/>
  <c r="H65" i="51" s="1"/>
  <c r="E58" i="51"/>
  <c r="H58" i="51" s="1"/>
  <c r="G457" i="5"/>
  <c r="G234" i="5" s="1"/>
  <c r="G209" i="5"/>
  <c r="J84" i="47"/>
  <c r="K50" i="75"/>
  <c r="K52" i="75" s="1"/>
  <c r="K53" i="75" s="1"/>
  <c r="G51" i="47"/>
  <c r="H51" i="47" s="1"/>
  <c r="J85" i="51"/>
  <c r="E83" i="51"/>
  <c r="H83" i="51" s="1"/>
  <c r="E77" i="51"/>
  <c r="H77" i="51" s="1"/>
  <c r="E61" i="51"/>
  <c r="H61" i="51" s="1"/>
  <c r="E69" i="51"/>
  <c r="H69" i="51" s="1"/>
  <c r="E67" i="51"/>
  <c r="H67" i="51" s="1"/>
  <c r="Q51" i="71"/>
  <c r="Q53" i="71" s="1"/>
  <c r="Q54" i="71" s="1"/>
  <c r="G27" i="47"/>
  <c r="AA51" i="75"/>
  <c r="H17" i="47"/>
  <c r="N14" i="75"/>
  <c r="D124" i="51"/>
  <c r="I124" i="51" s="1"/>
  <c r="J124" i="51" s="1"/>
  <c r="X51" i="71"/>
  <c r="X53" i="71" s="1"/>
  <c r="X54" i="71" s="1"/>
  <c r="I91" i="47"/>
  <c r="J91" i="47" s="1"/>
  <c r="S50" i="75"/>
  <c r="S52" i="75" s="1"/>
  <c r="S53" i="75" s="1"/>
  <c r="F77" i="73"/>
  <c r="U45" i="71"/>
  <c r="U46" i="71" s="1"/>
  <c r="U47" i="71" s="1"/>
  <c r="E84" i="69"/>
  <c r="E85" i="69" s="1"/>
  <c r="F96" i="47"/>
  <c r="F98" i="47" s="1"/>
  <c r="G92" i="47" s="1"/>
  <c r="E89" i="74"/>
  <c r="M56" i="46"/>
  <c r="N56" i="46" s="1"/>
  <c r="M69" i="46"/>
  <c r="N69" i="46" s="1"/>
  <c r="K49" i="72"/>
  <c r="P51" i="75" s="1"/>
  <c r="I827" i="5"/>
  <c r="I828" i="5" s="1"/>
  <c r="H54" i="51"/>
  <c r="I123" i="47"/>
  <c r="J123" i="47" s="1"/>
  <c r="H13" i="51"/>
  <c r="H28" i="51" s="1"/>
  <c r="E28" i="51"/>
  <c r="E54" i="51"/>
  <c r="Q4966" i="18"/>
  <c r="L4966" i="18"/>
  <c r="I55" i="47"/>
  <c r="J55" i="47" s="1"/>
  <c r="F19" i="48"/>
  <c r="N14" i="71"/>
  <c r="K58" i="68"/>
  <c r="P52" i="71" s="1"/>
  <c r="E64" i="73"/>
  <c r="L36" i="75"/>
  <c r="L50" i="75" s="1"/>
  <c r="L52" i="75" s="1"/>
  <c r="L53" i="75" s="1"/>
  <c r="M66" i="46"/>
  <c r="N66" i="46" s="1"/>
  <c r="F117" i="70"/>
  <c r="F126" i="70"/>
  <c r="G38" i="47"/>
  <c r="H38" i="47" s="1"/>
  <c r="N4457" i="18"/>
  <c r="O4457" i="18" s="1"/>
  <c r="I7" i="18" s="1"/>
  <c r="H4460" i="18"/>
  <c r="H27" i="47"/>
  <c r="E52" i="73"/>
  <c r="M14" i="46"/>
  <c r="N14" i="46" s="1"/>
  <c r="M57" i="46"/>
  <c r="N57" i="46" s="1"/>
  <c r="M82" i="46"/>
  <c r="N82" i="46" s="1"/>
  <c r="AB40" i="2"/>
  <c r="AB54" i="2" s="1"/>
  <c r="AB56" i="2" s="1"/>
  <c r="AB57" i="2" s="1"/>
  <c r="AE15" i="2"/>
  <c r="AE40" i="2" s="1"/>
  <c r="F834" i="5"/>
  <c r="F835" i="5" s="1"/>
  <c r="V37" i="71"/>
  <c r="E71" i="73"/>
  <c r="E72" i="73" s="1"/>
  <c r="I823" i="5"/>
  <c r="I824" i="5" s="1"/>
  <c r="G14" i="47"/>
  <c r="H14" i="47" s="1"/>
  <c r="G39" i="47"/>
  <c r="H39" i="47" s="1"/>
  <c r="I267" i="5"/>
  <c r="I834" i="5" s="1"/>
  <c r="I835" i="5" s="1"/>
  <c r="I836" i="5" s="1"/>
  <c r="R44" i="75"/>
  <c r="R45" i="75" s="1"/>
  <c r="R46" i="75" s="1"/>
  <c r="R50" i="75"/>
  <c r="R52" i="75" s="1"/>
  <c r="R53" i="75" s="1"/>
  <c r="M36" i="75"/>
  <c r="Z43" i="75"/>
  <c r="E54" i="47"/>
  <c r="Z44" i="71"/>
  <c r="Z46" i="71" s="1"/>
  <c r="Z47" i="71" s="1"/>
  <c r="M37" i="71"/>
  <c r="M51" i="71" s="1"/>
  <c r="M53" i="71" s="1"/>
  <c r="M54" i="71" s="1"/>
  <c r="F87" i="69"/>
  <c r="F88" i="69" s="1"/>
  <c r="F89" i="69" s="1"/>
  <c r="W14" i="71"/>
  <c r="W37" i="71" s="1"/>
  <c r="D96" i="51"/>
  <c r="D98" i="51" s="1"/>
  <c r="I91" i="51"/>
  <c r="F20" i="48"/>
  <c r="G46" i="47"/>
  <c r="H46" i="47" s="1"/>
  <c r="G25" i="47"/>
  <c r="H25" i="47" s="1"/>
  <c r="E90" i="47"/>
  <c r="E93" i="47"/>
  <c r="E94" i="47"/>
  <c r="E88" i="47"/>
  <c r="E96" i="47"/>
  <c r="D99" i="47"/>
  <c r="E97" i="47"/>
  <c r="E95" i="47"/>
  <c r="E87" i="47"/>
  <c r="E89" i="47"/>
  <c r="E92" i="47"/>
  <c r="E91" i="47"/>
  <c r="D13" i="71"/>
  <c r="E28" i="47"/>
  <c r="R45" i="71"/>
  <c r="R46" i="71" s="1"/>
  <c r="R47" i="71" s="1"/>
  <c r="R51" i="71"/>
  <c r="R53" i="71" s="1"/>
  <c r="R54" i="71" s="1"/>
  <c r="I124" i="47"/>
  <c r="J124" i="47" s="1"/>
  <c r="G26" i="47"/>
  <c r="H26" i="47" s="1"/>
  <c r="G32" i="47"/>
  <c r="H32" i="47" s="1"/>
  <c r="G31" i="47"/>
  <c r="H31" i="47" s="1"/>
  <c r="Y43" i="75"/>
  <c r="Y45" i="75" s="1"/>
  <c r="Y46" i="75" s="1"/>
  <c r="F93" i="74"/>
  <c r="F95" i="74" s="1"/>
  <c r="F96" i="74" s="1"/>
  <c r="F74" i="73"/>
  <c r="F75" i="73" s="1"/>
  <c r="F76" i="73" s="1"/>
  <c r="W14" i="75"/>
  <c r="D13" i="75"/>
  <c r="L37" i="71"/>
  <c r="L51" i="71" s="1"/>
  <c r="L53" i="71" s="1"/>
  <c r="L54" i="71" s="1"/>
  <c r="E106" i="8"/>
  <c r="J212" i="5"/>
  <c r="J814" i="5" s="1"/>
  <c r="J815" i="5" s="1"/>
  <c r="J816" i="5" s="1"/>
  <c r="J806" i="5"/>
  <c r="J807" i="5" s="1"/>
  <c r="M567" i="5"/>
  <c r="J564" i="5"/>
  <c r="I118" i="51"/>
  <c r="J118" i="51" s="1"/>
  <c r="J115" i="51"/>
  <c r="L58" i="68"/>
  <c r="W52" i="71"/>
  <c r="D87" i="48"/>
  <c r="D20" i="48" s="1"/>
  <c r="D60" i="52"/>
  <c r="J210" i="5"/>
  <c r="M565" i="5"/>
  <c r="M210" i="5" s="1"/>
  <c r="F122" i="21"/>
  <c r="F123" i="21" s="1"/>
  <c r="F124" i="21" s="1"/>
  <c r="F118" i="21"/>
  <c r="F119" i="21" s="1"/>
  <c r="F120" i="21" s="1"/>
  <c r="E118" i="8"/>
  <c r="E119" i="8" s="1"/>
  <c r="E120" i="8" s="1"/>
  <c r="E67" i="8"/>
  <c r="I712" i="5"/>
  <c r="I713" i="5" s="1"/>
  <c r="F109" i="48" s="1"/>
  <c r="F29" i="48" s="1"/>
  <c r="F713" i="5"/>
  <c r="F70" i="52" s="1"/>
  <c r="F22" i="52" s="1"/>
  <c r="G30" i="47"/>
  <c r="G21" i="47"/>
  <c r="H21" i="47" s="1"/>
  <c r="G44" i="47"/>
  <c r="H44" i="47" s="1"/>
  <c r="G53" i="47"/>
  <c r="H53" i="47" s="1"/>
  <c r="G16" i="47"/>
  <c r="H16" i="47" s="1"/>
  <c r="G36" i="47"/>
  <c r="H36" i="47" s="1"/>
  <c r="G48" i="47"/>
  <c r="H48" i="47" s="1"/>
  <c r="G24" i="47"/>
  <c r="H24" i="47" s="1"/>
  <c r="G49" i="47"/>
  <c r="H49" i="47" s="1"/>
  <c r="G34" i="47"/>
  <c r="H34" i="47" s="1"/>
  <c r="I125" i="5"/>
  <c r="I787" i="5" s="1"/>
  <c r="I788" i="5" s="1"/>
  <c r="I789" i="5" s="1"/>
  <c r="G18" i="47"/>
  <c r="H18" i="47" s="1"/>
  <c r="G33" i="47"/>
  <c r="H33" i="47" s="1"/>
  <c r="G37" i="47"/>
  <c r="H37" i="47" s="1"/>
  <c r="G47" i="47"/>
  <c r="H47" i="47" s="1"/>
  <c r="G19" i="47"/>
  <c r="H19" i="47" s="1"/>
  <c r="G43" i="47"/>
  <c r="H43" i="47" s="1"/>
  <c r="G52" i="47"/>
  <c r="H52" i="47" s="1"/>
  <c r="G15" i="47"/>
  <c r="H15" i="47" s="1"/>
  <c r="G23" i="47"/>
  <c r="H23" i="47" s="1"/>
  <c r="G40" i="47"/>
  <c r="H40" i="47" s="1"/>
  <c r="G42" i="47"/>
  <c r="H42" i="47" s="1"/>
  <c r="G20" i="47"/>
  <c r="H20" i="47" s="1"/>
  <c r="G13" i="47"/>
  <c r="G45" i="47"/>
  <c r="H45" i="47" s="1"/>
  <c r="G35" i="47"/>
  <c r="H35" i="47" s="1"/>
  <c r="G41" i="47"/>
  <c r="H41" i="47" s="1"/>
  <c r="G50" i="47"/>
  <c r="H50" i="47" s="1"/>
  <c r="G22" i="47"/>
  <c r="H22" i="47" s="1"/>
  <c r="M79" i="46"/>
  <c r="N79" i="46" s="1"/>
  <c r="J115" i="47"/>
  <c r="I118" i="47"/>
  <c r="J118" i="47" s="1"/>
  <c r="H5100" i="18"/>
  <c r="E68" i="74"/>
  <c r="E88" i="74"/>
  <c r="E90" i="74" s="1"/>
  <c r="G75" i="47"/>
  <c r="G57" i="47"/>
  <c r="G60" i="47"/>
  <c r="G67" i="47"/>
  <c r="G59" i="47"/>
  <c r="H59" i="47" s="1"/>
  <c r="G79" i="47"/>
  <c r="H79" i="47" s="1"/>
  <c r="G65" i="47"/>
  <c r="G83" i="47"/>
  <c r="G68" i="47"/>
  <c r="G76" i="47"/>
  <c r="H76" i="47" s="1"/>
  <c r="G66" i="47"/>
  <c r="G80" i="47"/>
  <c r="G70" i="47"/>
  <c r="H70" i="47" s="1"/>
  <c r="G77" i="47"/>
  <c r="G78" i="47"/>
  <c r="G81" i="47"/>
  <c r="G62" i="47"/>
  <c r="G74" i="47"/>
  <c r="G71" i="47"/>
  <c r="H71" i="47" s="1"/>
  <c r="G69" i="47"/>
  <c r="G61" i="47"/>
  <c r="H61" i="47" s="1"/>
  <c r="G63" i="47"/>
  <c r="H63" i="47" s="1"/>
  <c r="G82" i="47"/>
  <c r="H82" i="47" s="1"/>
  <c r="G58" i="47"/>
  <c r="G64" i="47"/>
  <c r="H64" i="47" s="1"/>
  <c r="E105" i="70"/>
  <c r="E107" i="70" s="1"/>
  <c r="E85" i="70"/>
  <c r="E110" i="70" s="1"/>
  <c r="E112" i="70" s="1"/>
  <c r="E113" i="70" s="1"/>
  <c r="P15" i="75"/>
  <c r="J14" i="75"/>
  <c r="E74" i="73"/>
  <c r="E75" i="73" s="1"/>
  <c r="I457" i="5"/>
  <c r="I209" i="5"/>
  <c r="J85" i="47"/>
  <c r="E87" i="69"/>
  <c r="E88" i="69" s="1"/>
  <c r="E89" i="69" s="1"/>
  <c r="P15" i="71"/>
  <c r="E91" i="69" s="1"/>
  <c r="E92" i="69" s="1"/>
  <c r="E93" i="69" s="1"/>
  <c r="J14" i="71"/>
  <c r="M64" i="46"/>
  <c r="N64" i="46" s="1"/>
  <c r="H50" i="75"/>
  <c r="H52" i="75" s="1"/>
  <c r="H53" i="75" s="1"/>
  <c r="G39" i="46"/>
  <c r="G81" i="46"/>
  <c r="G53" i="46"/>
  <c r="G51" i="46"/>
  <c r="L77" i="46"/>
  <c r="G70" i="46"/>
  <c r="G72" i="46"/>
  <c r="L51" i="46"/>
  <c r="L293" i="50"/>
  <c r="L76" i="46"/>
  <c r="G41" i="46"/>
  <c r="L25" i="46"/>
  <c r="L23" i="46"/>
  <c r="W51" i="75" l="1"/>
  <c r="H67" i="47"/>
  <c r="H68" i="47"/>
  <c r="H66" i="47"/>
  <c r="H65" i="47"/>
  <c r="I96" i="47"/>
  <c r="I98" i="47" s="1"/>
  <c r="H78" i="47"/>
  <c r="E66" i="73"/>
  <c r="E67" i="73" s="1"/>
  <c r="H58" i="47"/>
  <c r="H60" i="47"/>
  <c r="H77" i="47"/>
  <c r="E84" i="47"/>
  <c r="G87" i="47"/>
  <c r="H87" i="47" s="1"/>
  <c r="H69" i="47"/>
  <c r="H81" i="47"/>
  <c r="H80" i="47"/>
  <c r="H83" i="47"/>
  <c r="E72" i="51"/>
  <c r="F99" i="47"/>
  <c r="E72" i="47"/>
  <c r="G97" i="47"/>
  <c r="H97" i="47" s="1"/>
  <c r="H62" i="47"/>
  <c r="H75" i="47"/>
  <c r="H72" i="51"/>
  <c r="E84" i="51"/>
  <c r="K59" i="68"/>
  <c r="K68" i="68" s="1"/>
  <c r="L68" i="68" s="1"/>
  <c r="M68" i="68" s="1"/>
  <c r="K50" i="72"/>
  <c r="K59" i="72" s="1"/>
  <c r="L59" i="72" s="1"/>
  <c r="M59" i="72" s="1"/>
  <c r="G89" i="47"/>
  <c r="H89" i="47" s="1"/>
  <c r="G95" i="47"/>
  <c r="H95" i="47" s="1"/>
  <c r="G90" i="47"/>
  <c r="H90" i="47" s="1"/>
  <c r="G94" i="47"/>
  <c r="H94" i="47" s="1"/>
  <c r="G96" i="47"/>
  <c r="H96" i="47" s="1"/>
  <c r="G91" i="47"/>
  <c r="H91" i="47" s="1"/>
  <c r="G93" i="47"/>
  <c r="H93" i="47" s="1"/>
  <c r="G88" i="47"/>
  <c r="H88" i="47" s="1"/>
  <c r="E85" i="47"/>
  <c r="H92" i="47"/>
  <c r="H55" i="51"/>
  <c r="E55" i="51"/>
  <c r="E98" i="47"/>
  <c r="M70" i="46"/>
  <c r="N70" i="46" s="1"/>
  <c r="M293" i="50"/>
  <c r="N293" i="50" s="1"/>
  <c r="H4462" i="18"/>
  <c r="H4472" i="18" s="1"/>
  <c r="K4457" i="18" s="1"/>
  <c r="E77" i="73"/>
  <c r="F109" i="74"/>
  <c r="M53" i="46"/>
  <c r="N53" i="46" s="1"/>
  <c r="M39" i="46"/>
  <c r="N39" i="46" s="1"/>
  <c r="M72" i="46"/>
  <c r="N72" i="46" s="1"/>
  <c r="M41" i="46"/>
  <c r="N41" i="46" s="1"/>
  <c r="J808" i="5"/>
  <c r="Q43" i="75"/>
  <c r="Q45" i="75" s="1"/>
  <c r="Q46" i="75" s="1"/>
  <c r="D36" i="75"/>
  <c r="W51" i="71"/>
  <c r="W53" i="71" s="1"/>
  <c r="W54" i="71" s="1"/>
  <c r="W45" i="71"/>
  <c r="W46" i="71" s="1"/>
  <c r="W47" i="71" s="1"/>
  <c r="V51" i="71"/>
  <c r="V53" i="71" s="1"/>
  <c r="V54" i="71" s="1"/>
  <c r="V45" i="71"/>
  <c r="V46" i="71" s="1"/>
  <c r="V47" i="71" s="1"/>
  <c r="N9" i="2"/>
  <c r="Q9" i="2" s="1"/>
  <c r="AB48" i="2"/>
  <c r="E55" i="47"/>
  <c r="F39" i="48"/>
  <c r="F836" i="5"/>
  <c r="AC52" i="71"/>
  <c r="L59" i="68"/>
  <c r="K70" i="68" s="1"/>
  <c r="L70" i="68" s="1"/>
  <c r="M70" i="68" s="1"/>
  <c r="J589" i="5"/>
  <c r="J209" i="5"/>
  <c r="E129" i="8"/>
  <c r="H129" i="8" s="1"/>
  <c r="L50" i="72"/>
  <c r="AC51" i="75"/>
  <c r="Q44" i="71"/>
  <c r="Q46" i="71" s="1"/>
  <c r="Q47" i="71" s="1"/>
  <c r="D37" i="71"/>
  <c r="D51" i="71" s="1"/>
  <c r="D53" i="71" s="1"/>
  <c r="D54" i="71" s="1"/>
  <c r="I96" i="51"/>
  <c r="J91" i="51"/>
  <c r="F129" i="21"/>
  <c r="H129" i="21" s="1"/>
  <c r="F29" i="52"/>
  <c r="D13" i="52"/>
  <c r="M564" i="5"/>
  <c r="M212" i="5"/>
  <c r="M814" i="5" s="1"/>
  <c r="M815" i="5" s="1"/>
  <c r="M816" i="5" s="1"/>
  <c r="W36" i="75"/>
  <c r="E92" i="51"/>
  <c r="H92" i="51" s="1"/>
  <c r="E96" i="51"/>
  <c r="E89" i="51"/>
  <c r="H89" i="51" s="1"/>
  <c r="E91" i="51"/>
  <c r="H91" i="51" s="1"/>
  <c r="E87" i="51"/>
  <c r="H87" i="51" s="1"/>
  <c r="D99" i="51"/>
  <c r="E97" i="51"/>
  <c r="H97" i="51" s="1"/>
  <c r="E93" i="51"/>
  <c r="H93" i="51" s="1"/>
  <c r="E94" i="51"/>
  <c r="H94" i="51" s="1"/>
  <c r="E88" i="51"/>
  <c r="H88" i="51" s="1"/>
  <c r="E95" i="51"/>
  <c r="H95" i="51" s="1"/>
  <c r="E90" i="51"/>
  <c r="H90" i="51" s="1"/>
  <c r="M50" i="75"/>
  <c r="M52" i="75" s="1"/>
  <c r="M53" i="75" s="1"/>
  <c r="AE48" i="2"/>
  <c r="AE54" i="2"/>
  <c r="AE56" i="2" s="1"/>
  <c r="AE57" i="2" s="1"/>
  <c r="M806" i="5"/>
  <c r="M807" i="5" s="1"/>
  <c r="AA15" i="71"/>
  <c r="AA15" i="75"/>
  <c r="E43" i="74"/>
  <c r="E60" i="70"/>
  <c r="E61" i="70" s="1"/>
  <c r="E115" i="70" s="1"/>
  <c r="E116" i="70" s="1"/>
  <c r="E117" i="70" s="1"/>
  <c r="H13" i="47"/>
  <c r="H28" i="47" s="1"/>
  <c r="G28" i="47"/>
  <c r="H30" i="47"/>
  <c r="H54" i="47" s="1"/>
  <c r="G54" i="47"/>
  <c r="M81" i="46"/>
  <c r="N81" i="46" s="1"/>
  <c r="E91" i="74"/>
  <c r="E108" i="70"/>
  <c r="H74" i="47"/>
  <c r="G84" i="47"/>
  <c r="G72" i="47"/>
  <c r="H57" i="47"/>
  <c r="E93" i="74"/>
  <c r="E95" i="74" s="1"/>
  <c r="E96" i="74" s="1"/>
  <c r="H5117" i="18"/>
  <c r="Q5097" i="18" s="1"/>
  <c r="E94" i="69"/>
  <c r="M51" i="46"/>
  <c r="N51" i="46" s="1"/>
  <c r="I854" i="5"/>
  <c r="I855" i="5" s="1"/>
  <c r="J36" i="75"/>
  <c r="J50" i="75" s="1"/>
  <c r="J52" i="75" s="1"/>
  <c r="P14" i="75"/>
  <c r="E78" i="73"/>
  <c r="J37" i="71"/>
  <c r="J51" i="71" s="1"/>
  <c r="J53" i="71" s="1"/>
  <c r="P14" i="71"/>
  <c r="E76" i="73"/>
  <c r="J96" i="47"/>
  <c r="H293" i="50"/>
  <c r="G78" i="46"/>
  <c r="L50" i="46"/>
  <c r="G62" i="46"/>
  <c r="L49" i="46"/>
  <c r="G98" i="47" l="1"/>
  <c r="H72" i="47"/>
  <c r="E85" i="51"/>
  <c r="H98" i="47"/>
  <c r="M49" i="46"/>
  <c r="N49" i="46" s="1"/>
  <c r="N14" i="2"/>
  <c r="AB47" i="2" s="1"/>
  <c r="AB49" i="2" s="1"/>
  <c r="F558" i="5"/>
  <c r="F203" i="5" s="1"/>
  <c r="P8" i="18"/>
  <c r="E79" i="73"/>
  <c r="E80" i="73" s="1"/>
  <c r="Q4457" i="18"/>
  <c r="I293" i="50"/>
  <c r="J293" i="50" s="1"/>
  <c r="L4457" i="18"/>
  <c r="H55" i="47"/>
  <c r="M78" i="46"/>
  <c r="N78" i="46" s="1"/>
  <c r="M50" i="46"/>
  <c r="N50" i="46" s="1"/>
  <c r="M62" i="46"/>
  <c r="N62" i="46" s="1"/>
  <c r="F83" i="69"/>
  <c r="F84" i="69" s="1"/>
  <c r="AA14" i="71"/>
  <c r="AC15" i="71"/>
  <c r="F91" i="69" s="1"/>
  <c r="F92" i="69" s="1"/>
  <c r="F93" i="69" s="1"/>
  <c r="M589" i="5"/>
  <c r="M209" i="5"/>
  <c r="I98" i="51"/>
  <c r="J96" i="51"/>
  <c r="J870" i="5"/>
  <c r="J871" i="5" s="1"/>
  <c r="J234" i="5"/>
  <c r="AA14" i="75"/>
  <c r="AA36" i="75" s="1"/>
  <c r="F70" i="73"/>
  <c r="F71" i="73" s="1"/>
  <c r="E44" i="74"/>
  <c r="E98" i="74" s="1"/>
  <c r="E99" i="74" s="1"/>
  <c r="E100" i="74" s="1"/>
  <c r="M808" i="5"/>
  <c r="K61" i="72"/>
  <c r="L61" i="72" s="1"/>
  <c r="M61" i="72" s="1"/>
  <c r="W44" i="75"/>
  <c r="W45" i="75" s="1"/>
  <c r="W46" i="75" s="1"/>
  <c r="W50" i="75"/>
  <c r="W52" i="75" s="1"/>
  <c r="W53" i="75" s="1"/>
  <c r="AC15" i="75"/>
  <c r="H96" i="51"/>
  <c r="H98" i="51" s="1"/>
  <c r="E98" i="51"/>
  <c r="D50" i="75"/>
  <c r="D52" i="75" s="1"/>
  <c r="D53" i="75" s="1"/>
  <c r="E100" i="70"/>
  <c r="E102" i="70" s="1"/>
  <c r="E119" i="70"/>
  <c r="E120" i="70" s="1"/>
  <c r="E121" i="70" s="1"/>
  <c r="N40" i="2"/>
  <c r="E102" i="74"/>
  <c r="E103" i="74" s="1"/>
  <c r="E104" i="74" s="1"/>
  <c r="E83" i="74"/>
  <c r="E85" i="74" s="1"/>
  <c r="E86" i="74" s="1"/>
  <c r="G85" i="47"/>
  <c r="G55" i="47"/>
  <c r="J54" i="71"/>
  <c r="J53" i="75"/>
  <c r="I856" i="5"/>
  <c r="J98" i="47"/>
  <c r="I99" i="47"/>
  <c r="J99" i="47" s="1"/>
  <c r="L52" i="46"/>
  <c r="G23" i="46"/>
  <c r="L59" i="46"/>
  <c r="G38" i="46"/>
  <c r="G75" i="46"/>
  <c r="E81" i="73" l="1"/>
  <c r="F563" i="5"/>
  <c r="F589" i="5" s="1"/>
  <c r="I558" i="5"/>
  <c r="I203" i="5" s="1"/>
  <c r="M23" i="46"/>
  <c r="N23" i="46" s="1"/>
  <c r="Q14" i="2"/>
  <c r="K7" i="18"/>
  <c r="P7" i="18" s="1"/>
  <c r="H7" i="18"/>
  <c r="M38" i="46"/>
  <c r="N38" i="46" s="1"/>
  <c r="M75" i="46"/>
  <c r="N75" i="46" s="1"/>
  <c r="M52" i="46"/>
  <c r="N52" i="46" s="1"/>
  <c r="AB50" i="2"/>
  <c r="AC14" i="75"/>
  <c r="AC36" i="75" s="1"/>
  <c r="F72" i="73"/>
  <c r="E109" i="74"/>
  <c r="H109" i="74" s="1"/>
  <c r="N54" i="2"/>
  <c r="N56" i="2" s="1"/>
  <c r="N57" i="2" s="1"/>
  <c r="AA44" i="75"/>
  <c r="AA50" i="75"/>
  <c r="AA52" i="75" s="1"/>
  <c r="AA53" i="75" s="1"/>
  <c r="I99" i="51"/>
  <c r="J99" i="51" s="1"/>
  <c r="J98" i="51"/>
  <c r="AA37" i="71"/>
  <c r="AC14" i="71"/>
  <c r="AC37" i="71" s="1"/>
  <c r="F85" i="69"/>
  <c r="F94" i="69"/>
  <c r="H94" i="69" s="1"/>
  <c r="E103" i="70"/>
  <c r="E126" i="70"/>
  <c r="H126" i="70" s="1"/>
  <c r="F78" i="73"/>
  <c r="F79" i="73" s="1"/>
  <c r="F80" i="73" s="1"/>
  <c r="J872" i="5"/>
  <c r="J877" i="5"/>
  <c r="M870" i="5"/>
  <c r="M871" i="5" s="1"/>
  <c r="M234" i="5"/>
  <c r="L61" i="46"/>
  <c r="G73" i="46"/>
  <c r="G77" i="46"/>
  <c r="L58" i="46"/>
  <c r="G25" i="46"/>
  <c r="F208" i="5" l="1"/>
  <c r="N9" i="75"/>
  <c r="N13" i="75" s="1"/>
  <c r="N9" i="71"/>
  <c r="P9" i="71" s="1"/>
  <c r="I563" i="5"/>
  <c r="I589" i="5" s="1"/>
  <c r="M25" i="46"/>
  <c r="N25" i="46" s="1"/>
  <c r="Q40" i="2"/>
  <c r="AE47" i="2"/>
  <c r="AE49" i="2" s="1"/>
  <c r="AE50" i="2" s="1"/>
  <c r="M77" i="46"/>
  <c r="N77" i="46" s="1"/>
  <c r="M58" i="46"/>
  <c r="N58" i="46" s="1"/>
  <c r="M73" i="46"/>
  <c r="N73" i="46" s="1"/>
  <c r="AC50" i="75"/>
  <c r="AC52" i="75" s="1"/>
  <c r="AC53" i="75" s="1"/>
  <c r="AC44" i="75"/>
  <c r="Z44" i="75"/>
  <c r="Z45" i="75" s="1"/>
  <c r="Z50" i="75"/>
  <c r="Z52" i="75" s="1"/>
  <c r="Z53" i="75" s="1"/>
  <c r="M872" i="5"/>
  <c r="M877" i="5"/>
  <c r="AC45" i="71"/>
  <c r="AC51" i="71"/>
  <c r="AC53" i="71" s="1"/>
  <c r="AC54" i="71" s="1"/>
  <c r="F81" i="73"/>
  <c r="H81" i="73" s="1"/>
  <c r="C47" i="2"/>
  <c r="C48" i="2" s="1"/>
  <c r="F870" i="5"/>
  <c r="F871" i="5" s="1"/>
  <c r="F234" i="5"/>
  <c r="AA45" i="71"/>
  <c r="AA51" i="71"/>
  <c r="AA53" i="71" s="1"/>
  <c r="AA54" i="71" s="1"/>
  <c r="G59" i="46"/>
  <c r="G40" i="46"/>
  <c r="I208" i="5" l="1"/>
  <c r="P9" i="75"/>
  <c r="N13" i="71"/>
  <c r="P13" i="71" s="1"/>
  <c r="M40" i="46"/>
  <c r="N40" i="46" s="1"/>
  <c r="Q54" i="2"/>
  <c r="Q56" i="2" s="1"/>
  <c r="Q57" i="2" s="1"/>
  <c r="M59" i="46"/>
  <c r="N59" i="46" s="1"/>
  <c r="F872" i="5"/>
  <c r="F877" i="5"/>
  <c r="I870" i="5"/>
  <c r="I871" i="5" s="1"/>
  <c r="I234" i="5"/>
  <c r="AA44" i="71"/>
  <c r="AA46" i="71" s="1"/>
  <c r="AA43" i="75"/>
  <c r="AA45" i="75" s="1"/>
  <c r="AA46" i="75" s="1"/>
  <c r="N36" i="75"/>
  <c r="P13" i="75"/>
  <c r="Z46" i="75"/>
  <c r="G74" i="46"/>
  <c r="G61" i="46"/>
  <c r="N37" i="71" l="1"/>
  <c r="N51" i="71" s="1"/>
  <c r="N53" i="71" s="1"/>
  <c r="N54" i="71" s="1"/>
  <c r="M61" i="46"/>
  <c r="N61" i="46" s="1"/>
  <c r="M74" i="46"/>
  <c r="N74" i="46" s="1"/>
  <c r="AC44" i="71"/>
  <c r="AC46" i="71" s="1"/>
  <c r="AC47" i="71" s="1"/>
  <c r="P37" i="71"/>
  <c r="P51" i="71" s="1"/>
  <c r="P53" i="71" s="1"/>
  <c r="P54" i="71" s="1"/>
  <c r="AC43" i="75"/>
  <c r="AC45" i="75" s="1"/>
  <c r="AC46" i="75" s="1"/>
  <c r="P36" i="75"/>
  <c r="N50" i="75"/>
  <c r="N52" i="75" s="1"/>
  <c r="AA47" i="71"/>
  <c r="I872" i="5"/>
  <c r="I877" i="5"/>
  <c r="G76" i="46"/>
  <c r="C44" i="71" l="1"/>
  <c r="C45" i="71" s="1"/>
  <c r="M76" i="46"/>
  <c r="N76" i="46" s="1"/>
  <c r="N53" i="75"/>
  <c r="C43" i="75"/>
  <c r="C44" i="75" s="1"/>
  <c r="P50" i="75"/>
  <c r="P52" i="75" s="1"/>
  <c r="P53" i="75"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2" authorId="1" shapeId="0">
      <text>
        <r>
          <rPr>
            <b/>
            <sz val="9"/>
            <rFont val="Tahoma"/>
            <family val="2"/>
          </rPr>
          <t>未解决注释间差异合计。
注：本表中的“差异”，如未 √ 以示确认，则为“未解决注释间差异（存疑差异）”。</t>
        </r>
      </text>
    </comment>
    <comment ref="K4999" authorId="2" shapeId="0">
      <text>
        <r>
          <rPr>
            <b/>
            <sz val="9"/>
            <color indexed="81"/>
            <rFont val="宋体"/>
            <family val="3"/>
            <charset val="134"/>
          </rPr>
          <t>胡晓明:
如需要，请在此设置公式，引用至注释小表中期末/本期数的单元格。</t>
        </r>
      </text>
    </comment>
    <comment ref="N4999" authorId="2" shapeId="0">
      <text>
        <r>
          <rPr>
            <b/>
            <sz val="9"/>
            <color indexed="81"/>
            <rFont val="宋体"/>
            <family val="3"/>
            <charset val="134"/>
          </rPr>
          <t>胡晓明:
如需要，请在此设置公式，引用至注释小表中期初/上期数的单元格。</t>
        </r>
      </text>
    </comment>
    <comment ref="K5009" authorId="2" shapeId="0">
      <text>
        <r>
          <rPr>
            <b/>
            <sz val="9"/>
            <color indexed="81"/>
            <rFont val="宋体"/>
            <family val="3"/>
            <charset val="134"/>
          </rPr>
          <t>胡晓明:
如需要，请在此设置公式，引用至注释小表中期末/本期数的单元格。</t>
        </r>
      </text>
    </comment>
    <comment ref="N5009" authorId="2" shapeId="0">
      <text>
        <r>
          <rPr>
            <b/>
            <sz val="9"/>
            <color indexed="81"/>
            <rFont val="宋体"/>
            <family val="3"/>
            <charset val="134"/>
          </rPr>
          <t>胡晓明:
如需要，请在此设置公式，引用至注释小表中期初/上期数的单元格。</t>
        </r>
      </text>
    </comment>
    <comment ref="K5097" authorId="2" shapeId="0">
      <text>
        <r>
          <rPr>
            <b/>
            <sz val="9"/>
            <color indexed="81"/>
            <rFont val="宋体"/>
            <family val="3"/>
            <charset val="134"/>
          </rPr>
          <t>胡晓明:
如需要，请在此设置公式，引用至注释小表中期末/本期数的单元格。</t>
        </r>
      </text>
    </comment>
    <comment ref="N5097" authorId="2" shapeId="0">
      <text>
        <r>
          <rPr>
            <b/>
            <sz val="9"/>
            <color indexed="81"/>
            <rFont val="宋体"/>
            <family val="3"/>
            <charset val="134"/>
          </rPr>
          <t>胡晓明:
如需要，请在此设置公式，引用至注释小表中期初/上期数的单元格。</t>
        </r>
      </text>
    </comment>
    <comment ref="K5120" authorId="2" shapeId="0">
      <text>
        <r>
          <rPr>
            <b/>
            <sz val="9"/>
            <color indexed="81"/>
            <rFont val="宋体"/>
            <family val="3"/>
            <charset val="134"/>
          </rPr>
          <t>胡晓明:
如需要，请在此设置公式，引用至注释小表中期末/本期数的单元格。</t>
        </r>
      </text>
    </comment>
    <comment ref="N5120" authorId="2" shapeId="0">
      <text>
        <r>
          <rPr>
            <b/>
            <sz val="9"/>
            <color indexed="81"/>
            <rFont val="宋体"/>
            <family val="3"/>
            <charset val="134"/>
          </rPr>
          <t>胡晓明:
如需要，请在此设置公式，引用至注释小表中期初/上期数的单元格。</t>
        </r>
      </text>
    </comment>
    <comment ref="K5128" authorId="2" shapeId="0">
      <text>
        <r>
          <rPr>
            <b/>
            <sz val="9"/>
            <color indexed="81"/>
            <rFont val="宋体"/>
            <family val="3"/>
            <charset val="134"/>
          </rPr>
          <t>胡晓明:
如需要，请在此设置公式，引用至注释小表中期末/本期数的单元格。</t>
        </r>
      </text>
    </comment>
    <comment ref="N5128" authorId="2" shapeId="0">
      <text>
        <r>
          <rPr>
            <b/>
            <sz val="9"/>
            <color indexed="81"/>
            <rFont val="宋体"/>
            <family val="3"/>
            <charset val="134"/>
          </rPr>
          <t>胡晓明:
如需要，请在此设置公式，引用至注释小表中期初/上期数的单元格。</t>
        </r>
      </text>
    </comment>
    <comment ref="K5137" authorId="2" shapeId="0">
      <text>
        <r>
          <rPr>
            <b/>
            <sz val="9"/>
            <color indexed="81"/>
            <rFont val="宋体"/>
            <family val="3"/>
            <charset val="134"/>
          </rPr>
          <t>胡晓明:
如需要，请在此设置公式，引用至注释小表中期末/本期数的单元格。</t>
        </r>
      </text>
    </comment>
    <comment ref="N5137" authorId="2" shapeId="0">
      <text>
        <r>
          <rPr>
            <b/>
            <sz val="9"/>
            <color indexed="81"/>
            <rFont val="宋体"/>
            <family val="3"/>
            <charset val="134"/>
          </rPr>
          <t>胡晓明:
如需要，请在此设置公式，引用至注释小表中期初/上期数的单元格。</t>
        </r>
      </text>
    </comment>
    <comment ref="K5147" authorId="2" shapeId="0">
      <text>
        <r>
          <rPr>
            <b/>
            <sz val="9"/>
            <color indexed="81"/>
            <rFont val="宋体"/>
            <family val="3"/>
            <charset val="134"/>
          </rPr>
          <t>胡晓明:
如需要，请在此设置公式，引用至注释小表中期末/本期数的单元格。</t>
        </r>
      </text>
    </comment>
    <comment ref="N5147" authorId="2" shapeId="0">
      <text>
        <r>
          <rPr>
            <b/>
            <sz val="9"/>
            <color indexed="81"/>
            <rFont val="宋体"/>
            <family val="3"/>
            <charset val="134"/>
          </rPr>
          <t>胡晓明:
如需要，请在此设置公式，引用至注释小表中期初/上期数的单元格。</t>
        </r>
      </text>
    </comment>
    <comment ref="K5157" authorId="2" shapeId="0">
      <text>
        <r>
          <rPr>
            <b/>
            <sz val="9"/>
            <color indexed="81"/>
            <rFont val="宋体"/>
            <family val="3"/>
            <charset val="134"/>
          </rPr>
          <t>胡晓明:
如需要，请在此设置公式，引用至注释小表中期末/本期数的单元格。</t>
        </r>
      </text>
    </comment>
    <comment ref="N5157" authorId="2" shapeId="0">
      <text>
        <r>
          <rPr>
            <b/>
            <sz val="9"/>
            <color indexed="81"/>
            <rFont val="宋体"/>
            <family val="3"/>
            <charset val="134"/>
          </rPr>
          <t>胡晓明:
如需要，请在此设置公式，引用至注释小表中期初/上期数的单元格。</t>
        </r>
      </text>
    </comment>
    <comment ref="S5157"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3" authorId="2" shapeId="0">
      <text>
        <r>
          <rPr>
            <b/>
            <sz val="9"/>
            <color indexed="81"/>
            <rFont val="宋体"/>
            <family val="3"/>
            <charset val="134"/>
          </rPr>
          <t>胡晓明:
如需要，请在此设置公式，引用至注释小表中期末/本期数的单元格。</t>
        </r>
      </text>
    </comment>
    <comment ref="N5173" authorId="2" shapeId="0">
      <text>
        <r>
          <rPr>
            <b/>
            <sz val="9"/>
            <color indexed="81"/>
            <rFont val="宋体"/>
            <family val="3"/>
            <charset val="134"/>
          </rPr>
          <t>胡晓明:
如需要，请在此设置公式，引用至注释小表中期初/上期数的单元格。</t>
        </r>
      </text>
    </comment>
    <comment ref="K5184" authorId="2" shapeId="0">
      <text>
        <r>
          <rPr>
            <b/>
            <sz val="9"/>
            <color indexed="81"/>
            <rFont val="宋体"/>
            <family val="3"/>
            <charset val="134"/>
          </rPr>
          <t>胡晓明:
如需要，请在此设置公式，引用至注释小表中期末/本期数的单元格。</t>
        </r>
      </text>
    </comment>
    <comment ref="N5184" authorId="2" shapeId="0">
      <text>
        <r>
          <rPr>
            <b/>
            <sz val="9"/>
            <color indexed="81"/>
            <rFont val="宋体"/>
            <family val="3"/>
            <charset val="134"/>
          </rPr>
          <t>胡晓明:
如需要，请在此设置公式，引用至注释小表中期初/上期数的单元格。</t>
        </r>
      </text>
    </comment>
    <comment ref="S5184"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5" authorId="2" shapeId="0">
      <text>
        <r>
          <rPr>
            <b/>
            <sz val="9"/>
            <color indexed="81"/>
            <rFont val="宋体"/>
            <family val="3"/>
            <charset val="134"/>
          </rPr>
          <t>胡晓明:
如需要，请在此设置公式，引用至注释小表中期末/本期数的单元格。</t>
        </r>
      </text>
    </comment>
    <comment ref="N5195" authorId="2" shapeId="0">
      <text>
        <r>
          <rPr>
            <b/>
            <sz val="9"/>
            <color indexed="81"/>
            <rFont val="宋体"/>
            <family val="3"/>
            <charset val="134"/>
          </rPr>
          <t>胡晓明:
如需要，请在此设置公式，引用至注释小表中期初/上期数的单元格。</t>
        </r>
      </text>
    </comment>
    <comment ref="K5209" authorId="2" shapeId="0">
      <text>
        <r>
          <rPr>
            <b/>
            <sz val="9"/>
            <color indexed="81"/>
            <rFont val="宋体"/>
            <family val="3"/>
            <charset val="134"/>
          </rPr>
          <t>胡晓明:
如需要，请在此设置公式，引用至注释小表中期末/本期数的单元格。</t>
        </r>
      </text>
    </comment>
    <comment ref="N5209" authorId="2" shapeId="0">
      <text>
        <r>
          <rPr>
            <b/>
            <sz val="9"/>
            <color indexed="81"/>
            <rFont val="宋体"/>
            <family val="3"/>
            <charset val="134"/>
          </rPr>
          <t>胡晓明:
如需要，请在此设置公式，引用至注释小表中期初/上期数的单元格。</t>
        </r>
      </text>
    </comment>
    <comment ref="S5209"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5" authorId="2" shapeId="0">
      <text>
        <r>
          <rPr>
            <b/>
            <sz val="9"/>
            <color indexed="81"/>
            <rFont val="宋体"/>
            <family val="3"/>
            <charset val="134"/>
          </rPr>
          <t>胡晓明:
如需要，请在此设置公式，引用至注释小表中期末/本期数的单元格。</t>
        </r>
      </text>
    </comment>
    <comment ref="N5455" authorId="2" shapeId="0">
      <text>
        <r>
          <rPr>
            <b/>
            <sz val="9"/>
            <color indexed="81"/>
            <rFont val="宋体"/>
            <family val="3"/>
            <charset val="134"/>
          </rPr>
          <t>胡晓明:
如需要，请在此设置公式，引用至注释小表中期初/上期数的单元格。</t>
        </r>
      </text>
    </comment>
    <comment ref="S5455"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9" authorId="2" shapeId="0">
      <text>
        <r>
          <rPr>
            <b/>
            <sz val="9"/>
            <color indexed="81"/>
            <rFont val="宋体"/>
            <family val="3"/>
            <charset val="134"/>
          </rPr>
          <t>胡晓明:
如需要，请在此设置公式，引用至注释小表中期初/上期数的单元格。</t>
        </r>
      </text>
    </comment>
    <comment ref="N5558" authorId="2" shapeId="0">
      <text>
        <r>
          <rPr>
            <b/>
            <sz val="9"/>
            <color indexed="81"/>
            <rFont val="宋体"/>
            <family val="3"/>
            <charset val="134"/>
          </rPr>
          <t>胡晓明:
如需要，请在此设置公式，引用至注释小表中期初/上期数的单元格。</t>
        </r>
      </text>
    </comment>
    <comment ref="K5576" authorId="2" shapeId="0">
      <text>
        <r>
          <rPr>
            <b/>
            <sz val="9"/>
            <color indexed="81"/>
            <rFont val="宋体"/>
            <family val="3"/>
            <charset val="134"/>
          </rPr>
          <t>胡晓明:
如需要，请在此设置公式，引用至注释小表中期末/本期数的单元格。</t>
        </r>
      </text>
    </comment>
    <comment ref="N5576" authorId="2" shapeId="0">
      <text>
        <r>
          <rPr>
            <b/>
            <sz val="9"/>
            <color indexed="81"/>
            <rFont val="宋体"/>
            <family val="3"/>
            <charset val="134"/>
          </rPr>
          <t>胡晓明:
如需要，请在此设置公式，引用至注释小表中期初/上期数的单元格。</t>
        </r>
      </text>
    </comment>
    <comment ref="K5602" authorId="2" shapeId="0">
      <text>
        <r>
          <rPr>
            <b/>
            <sz val="9"/>
            <color indexed="81"/>
            <rFont val="宋体"/>
            <family val="3"/>
            <charset val="134"/>
          </rPr>
          <t>胡晓明:
如需要，请在此设置公式，引用至注释小表中期末/本期数的单元格。</t>
        </r>
      </text>
    </comment>
    <comment ref="N5602" authorId="2" shapeId="0">
      <text>
        <r>
          <rPr>
            <b/>
            <sz val="9"/>
            <color indexed="81"/>
            <rFont val="宋体"/>
            <family val="3"/>
            <charset val="134"/>
          </rPr>
          <t>胡晓明:
如需要，请在此设置公式，引用至注释小表中期初/上期数的单元格。</t>
        </r>
      </text>
    </comment>
    <comment ref="S5602"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8" authorId="2" shapeId="0">
      <text>
        <r>
          <rPr>
            <b/>
            <sz val="9"/>
            <color indexed="81"/>
            <rFont val="宋体"/>
            <family val="3"/>
            <charset val="134"/>
          </rPr>
          <t>胡晓明:
如需要，请在此设置公式，引用至注释小表中期末/本期数的单元格。</t>
        </r>
      </text>
    </comment>
    <comment ref="N5648" authorId="2" shapeId="0">
      <text>
        <r>
          <rPr>
            <b/>
            <sz val="9"/>
            <color indexed="81"/>
            <rFont val="宋体"/>
            <family val="3"/>
            <charset val="134"/>
          </rPr>
          <t>胡晓明:
如需要，请在此设置公式，引用至注释小表中期初/上期数的单元格。</t>
        </r>
      </text>
    </comment>
    <comment ref="K5658" authorId="2" shapeId="0">
      <text>
        <r>
          <rPr>
            <b/>
            <sz val="9"/>
            <color indexed="81"/>
            <rFont val="宋体"/>
            <family val="3"/>
            <charset val="134"/>
          </rPr>
          <t>胡晓明:
如需要，请在此设置公式，引用至注释小表中期末/本期数的单元格。</t>
        </r>
      </text>
    </comment>
    <comment ref="N5658" authorId="2" shapeId="0">
      <text>
        <r>
          <rPr>
            <b/>
            <sz val="9"/>
            <color indexed="81"/>
            <rFont val="宋体"/>
            <family val="3"/>
            <charset val="134"/>
          </rPr>
          <t>胡晓明:
如需要，请在此设置公式，引用至注释小表中期初/上期数的单元格。</t>
        </r>
      </text>
    </comment>
    <comment ref="K5668" authorId="2" shapeId="0">
      <text>
        <r>
          <rPr>
            <b/>
            <sz val="9"/>
            <color indexed="81"/>
            <rFont val="宋体"/>
            <family val="3"/>
            <charset val="134"/>
          </rPr>
          <t>胡晓明:
如需要，请在此设置公式，引用至注释小表中期末/本期数的单元格。</t>
        </r>
      </text>
    </comment>
    <comment ref="N5668" authorId="2" shapeId="0">
      <text>
        <r>
          <rPr>
            <b/>
            <sz val="9"/>
            <color indexed="81"/>
            <rFont val="宋体"/>
            <family val="3"/>
            <charset val="134"/>
          </rPr>
          <t>胡晓明:
如需要，请在此设置公式，引用至注释小表中期初/上期数的单元格。</t>
        </r>
      </text>
    </comment>
    <comment ref="K5678" authorId="2" shapeId="0">
      <text>
        <r>
          <rPr>
            <b/>
            <sz val="9"/>
            <color indexed="81"/>
            <rFont val="宋体"/>
            <family val="3"/>
            <charset val="134"/>
          </rPr>
          <t>胡晓明:
如需要，请在此设置公式，引用至注释小表中期末/本期数的单元格。</t>
        </r>
      </text>
    </comment>
    <comment ref="N5678" authorId="2" shapeId="0">
      <text>
        <r>
          <rPr>
            <b/>
            <sz val="9"/>
            <color indexed="81"/>
            <rFont val="宋体"/>
            <family val="3"/>
            <charset val="134"/>
          </rPr>
          <t>胡晓明:
如需要，请在此设置公式，引用至注释小表中期初/上期数的单元格。</t>
        </r>
      </text>
    </comment>
    <comment ref="K5688" authorId="2" shapeId="0">
      <text>
        <r>
          <rPr>
            <b/>
            <sz val="9"/>
            <color indexed="81"/>
            <rFont val="宋体"/>
            <family val="3"/>
            <charset val="134"/>
          </rPr>
          <t>胡晓明:
如需要，请在此设置公式，引用至注释小表中期末/本期数的单元格。</t>
        </r>
      </text>
    </comment>
    <comment ref="N5688" authorId="2" shapeId="0">
      <text>
        <r>
          <rPr>
            <b/>
            <sz val="9"/>
            <color indexed="81"/>
            <rFont val="宋体"/>
            <family val="3"/>
            <charset val="134"/>
          </rPr>
          <t>胡晓明:
如需要，请在此设置公式，引用至注释小表中期初/上期数的单元格。</t>
        </r>
      </text>
    </comment>
    <comment ref="K5698" authorId="2" shapeId="0">
      <text>
        <r>
          <rPr>
            <b/>
            <sz val="9"/>
            <color indexed="81"/>
            <rFont val="宋体"/>
            <family val="3"/>
            <charset val="134"/>
          </rPr>
          <t>胡晓明:
如需要，请在此设置公式，引用至注释小表中期末/本期数的单元格。</t>
        </r>
      </text>
    </comment>
    <comment ref="N5698" authorId="2" shapeId="0">
      <text>
        <r>
          <rPr>
            <b/>
            <sz val="9"/>
            <color indexed="81"/>
            <rFont val="宋体"/>
            <family val="3"/>
            <charset val="134"/>
          </rPr>
          <t>胡晓明:
如需要，请在此设置公式，引用至注释小表中期初/上期数的单元格。</t>
        </r>
      </text>
    </comment>
    <comment ref="K5708" authorId="2" shapeId="0">
      <text>
        <r>
          <rPr>
            <b/>
            <sz val="9"/>
            <color indexed="81"/>
            <rFont val="宋体"/>
            <family val="3"/>
            <charset val="134"/>
          </rPr>
          <t>胡晓明:
如需要，请在此设置公式，引用至注释小表中期末/本期数的单元格。</t>
        </r>
      </text>
    </comment>
    <comment ref="N5708" authorId="2" shapeId="0">
      <text>
        <r>
          <rPr>
            <b/>
            <sz val="9"/>
            <color indexed="81"/>
            <rFont val="宋体"/>
            <family val="3"/>
            <charset val="134"/>
          </rPr>
          <t>胡晓明:
如需要，请在此设置公式，引用至注释小表中期初/上期数的单元格。</t>
        </r>
      </text>
    </comment>
    <comment ref="K5718" authorId="2" shapeId="0">
      <text>
        <r>
          <rPr>
            <b/>
            <sz val="9"/>
            <color indexed="81"/>
            <rFont val="宋体"/>
            <family val="3"/>
            <charset val="134"/>
          </rPr>
          <t>胡晓明:
如需要，请在此设置公式，引用至注释小表中期末/本期数的单元格。</t>
        </r>
      </text>
    </comment>
    <comment ref="N5718" authorId="2" shapeId="0">
      <text>
        <r>
          <rPr>
            <b/>
            <sz val="9"/>
            <color indexed="81"/>
            <rFont val="宋体"/>
            <family val="3"/>
            <charset val="134"/>
          </rPr>
          <t>胡晓明:
如需要，请在此设置公式，引用至注释小表中期初/上期数的单元格。</t>
        </r>
      </text>
    </comment>
    <comment ref="K5728" authorId="2" shapeId="0">
      <text>
        <r>
          <rPr>
            <b/>
            <sz val="9"/>
            <color indexed="81"/>
            <rFont val="宋体"/>
            <family val="3"/>
            <charset val="134"/>
          </rPr>
          <t>胡晓明:
如需要，请在此设置公式，引用至注释小表中期末/本期数的单元格。</t>
        </r>
      </text>
    </comment>
    <comment ref="N5728" authorId="2" shapeId="0">
      <text>
        <r>
          <rPr>
            <b/>
            <sz val="9"/>
            <color indexed="81"/>
            <rFont val="宋体"/>
            <family val="3"/>
            <charset val="134"/>
          </rPr>
          <t>胡晓明:
如需要，请在此设置公式，引用至注释小表中期初/上期数的单元格。</t>
        </r>
      </text>
    </comment>
    <comment ref="K5738" authorId="2" shapeId="0">
      <text>
        <r>
          <rPr>
            <b/>
            <sz val="9"/>
            <color indexed="81"/>
            <rFont val="宋体"/>
            <family val="3"/>
            <charset val="134"/>
          </rPr>
          <t>胡晓明:
如需要，请在此设置公式，引用至注释小表中期末/本期数的单元格。</t>
        </r>
      </text>
    </comment>
    <comment ref="N5738" authorId="2" shapeId="0">
      <text>
        <r>
          <rPr>
            <b/>
            <sz val="9"/>
            <color indexed="81"/>
            <rFont val="宋体"/>
            <family val="3"/>
            <charset val="134"/>
          </rPr>
          <t>胡晓明:
如需要，请在此设置公式，引用至注释小表中期初/上期数的单元格。</t>
        </r>
      </text>
    </comment>
    <comment ref="G5741" authorId="1" shapeId="0">
      <text>
        <r>
          <rPr>
            <sz val="9"/>
            <rFont val="Tahoma"/>
            <family val="2"/>
          </rPr>
          <t xml:space="preserve">
</t>
        </r>
        <r>
          <rPr>
            <sz val="9"/>
            <rFont val="宋体"/>
            <family val="3"/>
            <charset val="134"/>
          </rPr>
          <t>注：一般不按具体人列示</t>
        </r>
      </text>
    </comment>
    <comment ref="K5775" authorId="2" shapeId="0">
      <text>
        <r>
          <rPr>
            <b/>
            <sz val="9"/>
            <color indexed="81"/>
            <rFont val="宋体"/>
            <family val="3"/>
            <charset val="134"/>
          </rPr>
          <t>胡晓明:
如需要，请在此设置公式，引用至注释小表中期末/本期数的单元格。</t>
        </r>
      </text>
    </comment>
    <comment ref="N5775" authorId="2" shapeId="0">
      <text>
        <r>
          <rPr>
            <b/>
            <sz val="9"/>
            <color indexed="81"/>
            <rFont val="宋体"/>
            <family val="3"/>
            <charset val="134"/>
          </rPr>
          <t>胡晓明:
如需要，请在此设置公式，引用至注释小表中期初/上期数的单元格。</t>
        </r>
      </text>
    </comment>
    <comment ref="S5805"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7" authorId="2" shapeId="0">
      <text>
        <r>
          <rPr>
            <b/>
            <sz val="9"/>
            <color indexed="81"/>
            <rFont val="宋体"/>
            <family val="3"/>
            <charset val="134"/>
          </rPr>
          <t>胡晓明:
如需要，请在此设置公式，引用至注释小表中期末/本期数的单元格。</t>
        </r>
      </text>
    </comment>
    <comment ref="N5837" authorId="2" shapeId="0">
      <text>
        <r>
          <rPr>
            <b/>
            <sz val="9"/>
            <color indexed="81"/>
            <rFont val="宋体"/>
            <family val="3"/>
            <charset val="134"/>
          </rPr>
          <t>胡晓明:
如需要，请在此设置公式，引用至注释小表中期初/上期数的单元格。</t>
        </r>
      </text>
    </comment>
    <comment ref="S5837"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7" authorId="2" shapeId="0">
      <text>
        <r>
          <rPr>
            <b/>
            <sz val="9"/>
            <color indexed="81"/>
            <rFont val="宋体"/>
            <family val="3"/>
            <charset val="134"/>
          </rPr>
          <t>胡晓明:
如需要，请在此设置公式，引用至注释小表中期末/本期数的单元格。</t>
        </r>
      </text>
    </comment>
    <comment ref="N5847" authorId="2" shapeId="0">
      <text>
        <r>
          <rPr>
            <b/>
            <sz val="9"/>
            <color indexed="81"/>
            <rFont val="宋体"/>
            <family val="3"/>
            <charset val="134"/>
          </rPr>
          <t>胡晓明:
如需要，请在此设置公式，引用至注释小表中期初/上期数的单元格。</t>
        </r>
      </text>
    </comment>
    <comment ref="K5857" authorId="2" shapeId="0">
      <text>
        <r>
          <rPr>
            <b/>
            <sz val="9"/>
            <color indexed="81"/>
            <rFont val="宋体"/>
            <family val="3"/>
            <charset val="134"/>
          </rPr>
          <t>胡晓明:
如需要，请在此设置公式，引用至注释小表中期末/本期数的单元格。</t>
        </r>
      </text>
    </comment>
    <comment ref="N5857" authorId="2" shapeId="0">
      <text>
        <r>
          <rPr>
            <b/>
            <sz val="9"/>
            <color indexed="81"/>
            <rFont val="宋体"/>
            <family val="3"/>
            <charset val="134"/>
          </rPr>
          <t>胡晓明:
如需要，请在此设置公式，引用至注释小表中期初/上期数的单元格。</t>
        </r>
      </text>
    </comment>
    <comment ref="S5857"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9" authorId="2" shapeId="0">
      <text>
        <r>
          <rPr>
            <b/>
            <sz val="9"/>
            <color indexed="81"/>
            <rFont val="宋体"/>
            <family val="3"/>
            <charset val="134"/>
          </rPr>
          <t>胡晓明:
如需要，请在此设置公式，引用至注释小表中期初/上期数的单元格。</t>
        </r>
      </text>
    </comment>
    <comment ref="N5880" authorId="2" shapeId="0">
      <text>
        <r>
          <rPr>
            <b/>
            <sz val="9"/>
            <color indexed="81"/>
            <rFont val="宋体"/>
            <family val="3"/>
            <charset val="134"/>
          </rPr>
          <t>胡晓明:
如需要，请在此设置公式，引用至注释小表中期初/上期数的单元格。</t>
        </r>
      </text>
    </comment>
    <comment ref="N5891" authorId="2" shapeId="0">
      <text>
        <r>
          <rPr>
            <b/>
            <sz val="9"/>
            <color indexed="81"/>
            <rFont val="宋体"/>
            <family val="3"/>
            <charset val="134"/>
          </rPr>
          <t>胡晓明:
如需要，请在此设置公式，引用至注释小表中期初/上期数的单元格。</t>
        </r>
      </text>
    </comment>
    <comment ref="N5902" authorId="2" shapeId="0">
      <text>
        <r>
          <rPr>
            <b/>
            <sz val="9"/>
            <color indexed="81"/>
            <rFont val="宋体"/>
            <family val="3"/>
            <charset val="134"/>
          </rPr>
          <t>胡晓明:
如需要，请在此设置公式，引用至注释小表中期初/上期数的单元格。</t>
        </r>
      </text>
    </comment>
    <comment ref="N5913" authorId="2" shapeId="0">
      <text>
        <r>
          <rPr>
            <b/>
            <sz val="9"/>
            <color indexed="81"/>
            <rFont val="宋体"/>
            <family val="3"/>
            <charset val="134"/>
          </rPr>
          <t>胡晓明:
如需要，请在此设置公式，引用至注释小表中期初/上期数的单元格。</t>
        </r>
      </text>
    </comment>
    <comment ref="N5924" authorId="2" shapeId="0">
      <text>
        <r>
          <rPr>
            <b/>
            <sz val="9"/>
            <color indexed="81"/>
            <rFont val="宋体"/>
            <family val="3"/>
            <charset val="134"/>
          </rPr>
          <t>胡晓明:
如需要，请在此设置公式，引用至注释小表中期初/上期数的单元格。</t>
        </r>
      </text>
    </comment>
    <comment ref="N5935" authorId="2" shapeId="0">
      <text>
        <r>
          <rPr>
            <b/>
            <sz val="9"/>
            <color indexed="81"/>
            <rFont val="宋体"/>
            <family val="3"/>
            <charset val="134"/>
          </rPr>
          <t>胡晓明:
如需要，请在此设置公式，引用至注释小表中期初/上期数的单元格。</t>
        </r>
      </text>
    </comment>
    <comment ref="N5946" authorId="2" shapeId="0">
      <text>
        <r>
          <rPr>
            <b/>
            <sz val="9"/>
            <color indexed="81"/>
            <rFont val="宋体"/>
            <family val="3"/>
            <charset val="134"/>
          </rPr>
          <t>胡晓明:
如需要，请在此设置公式，引用至注释小表中期初/上期数的单元格。</t>
        </r>
      </text>
    </comment>
    <comment ref="N5957" authorId="2" shapeId="0">
      <text>
        <r>
          <rPr>
            <b/>
            <sz val="9"/>
            <color indexed="81"/>
            <rFont val="宋体"/>
            <family val="3"/>
            <charset val="134"/>
          </rPr>
          <t>胡晓明:
如需要，请在此设置公式，引用至注释小表中期初/上期数的单元格。</t>
        </r>
      </text>
    </comment>
    <comment ref="N5976" authorId="2" shapeId="0">
      <text>
        <r>
          <rPr>
            <b/>
            <sz val="9"/>
            <color indexed="81"/>
            <rFont val="宋体"/>
            <family val="3"/>
            <charset val="134"/>
          </rPr>
          <t>胡晓明:
如需要，请在此设置公式，引用至注释小表中期初/上期数的单元格。</t>
        </r>
      </text>
    </comment>
    <comment ref="N5997" authorId="2" shapeId="0">
      <text>
        <r>
          <rPr>
            <b/>
            <sz val="9"/>
            <color indexed="81"/>
            <rFont val="宋体"/>
            <family val="3"/>
            <charset val="134"/>
          </rPr>
          <t>胡晓明:
如需要，请在此设置公式，引用至注释小表中期初/上期数的单元格。</t>
        </r>
      </text>
    </comment>
    <comment ref="N6008" authorId="2" shapeId="0">
      <text>
        <r>
          <rPr>
            <b/>
            <sz val="9"/>
            <color indexed="81"/>
            <rFont val="宋体"/>
            <family val="3"/>
            <charset val="134"/>
          </rPr>
          <t>胡晓明:
如需要，请在此设置公式，引用至注释小表中期初/上期数的单元格。</t>
        </r>
      </text>
    </comment>
    <comment ref="N6020" authorId="2" shapeId="0">
      <text>
        <r>
          <rPr>
            <b/>
            <sz val="9"/>
            <color indexed="81"/>
            <rFont val="宋体"/>
            <family val="3"/>
            <charset val="134"/>
          </rPr>
          <t>胡晓明:
如需要，请在此设置公式，引用至注释小表中期初/上期数的单元格。</t>
        </r>
      </text>
    </comment>
    <comment ref="N6032" authorId="2" shapeId="0">
      <text>
        <r>
          <rPr>
            <b/>
            <sz val="9"/>
            <color indexed="81"/>
            <rFont val="宋体"/>
            <family val="3"/>
            <charset val="134"/>
          </rPr>
          <t>胡晓明:
如需要，请在此设置公式，引用至注释小表中期初/上期数的单元格。</t>
        </r>
      </text>
    </comment>
    <comment ref="N6055" authorId="2" shapeId="0">
      <text>
        <r>
          <rPr>
            <b/>
            <sz val="9"/>
            <color indexed="81"/>
            <rFont val="宋体"/>
            <family val="3"/>
            <charset val="134"/>
          </rPr>
          <t>胡晓明:
如需要，请在此设置公式，引用至注释小表中期初/上期数的单元格。</t>
        </r>
      </text>
    </comment>
    <comment ref="N6064" authorId="2" shapeId="0">
      <text>
        <r>
          <rPr>
            <b/>
            <sz val="9"/>
            <color indexed="81"/>
            <rFont val="宋体"/>
            <family val="3"/>
            <charset val="134"/>
          </rPr>
          <t>胡晓明:
如需要，请在此设置公式，引用至注释小表中期初/上期数的单元格。</t>
        </r>
      </text>
    </comment>
    <comment ref="N6075" authorId="2" shapeId="0">
      <text>
        <r>
          <rPr>
            <b/>
            <sz val="9"/>
            <color indexed="81"/>
            <rFont val="宋体"/>
            <family val="3"/>
            <charset val="134"/>
          </rPr>
          <t>胡晓明:
如需要，请在此设置公式，引用至注释小表中期初/上期数的单元格。</t>
        </r>
      </text>
    </comment>
    <comment ref="N6084" authorId="2" shapeId="0">
      <text>
        <r>
          <rPr>
            <b/>
            <sz val="9"/>
            <color indexed="81"/>
            <rFont val="宋体"/>
            <family val="3"/>
            <charset val="134"/>
          </rPr>
          <t>胡晓明:
如需要，请在此设置公式，引用至注释小表中期初/上期数的单元格。</t>
        </r>
      </text>
    </comment>
    <comment ref="N6093" authorId="2" shapeId="0">
      <text>
        <r>
          <rPr>
            <b/>
            <sz val="9"/>
            <color indexed="81"/>
            <rFont val="宋体"/>
            <family val="3"/>
            <charset val="134"/>
          </rPr>
          <t>胡晓明:
如需要，请在此设置公式，引用至注释小表中期初/上期数的单元格。</t>
        </r>
      </text>
    </comment>
    <comment ref="N6107" authorId="2" shapeId="0">
      <text>
        <r>
          <rPr>
            <b/>
            <sz val="9"/>
            <color indexed="81"/>
            <rFont val="宋体"/>
            <family val="3"/>
            <charset val="134"/>
          </rPr>
          <t>胡晓明:
如需要，请在此设置公式，引用至注释小表中期初/上期数的单元格。</t>
        </r>
      </text>
    </comment>
    <comment ref="N6117" authorId="2" shapeId="0">
      <text>
        <r>
          <rPr>
            <b/>
            <sz val="9"/>
            <color indexed="81"/>
            <rFont val="宋体"/>
            <family val="3"/>
            <charset val="134"/>
          </rPr>
          <t>胡晓明:
如需要，请在此设置公式，引用至注释小表中期初/上期数的单元格。</t>
        </r>
      </text>
    </comment>
    <comment ref="N6126" authorId="2" shapeId="0">
      <text>
        <r>
          <rPr>
            <b/>
            <sz val="9"/>
            <color indexed="81"/>
            <rFont val="宋体"/>
            <family val="3"/>
            <charset val="134"/>
          </rPr>
          <t>胡晓明:
如需要，请在此设置公式，引用至注释小表中期初/上期数的单元格。</t>
        </r>
      </text>
    </comment>
    <comment ref="N6137" authorId="2" shapeId="0">
      <text>
        <r>
          <rPr>
            <b/>
            <sz val="9"/>
            <color indexed="81"/>
            <rFont val="宋体"/>
            <family val="3"/>
            <charset val="134"/>
          </rPr>
          <t>胡晓明:
如需要，请在此设置公式，引用至注释小表中期初/上期数的单元格。</t>
        </r>
      </text>
    </comment>
    <comment ref="N6146" authorId="2" shapeId="0">
      <text>
        <r>
          <rPr>
            <b/>
            <sz val="9"/>
            <color indexed="81"/>
            <rFont val="宋体"/>
            <family val="3"/>
            <charset val="134"/>
          </rPr>
          <t>胡晓明:
如需要，请在此设置公式，引用至注释小表中期初/上期数的单元格。</t>
        </r>
      </text>
    </comment>
    <comment ref="N6155" authorId="2" shapeId="0">
      <text>
        <r>
          <rPr>
            <b/>
            <sz val="9"/>
            <color indexed="81"/>
            <rFont val="宋体"/>
            <family val="3"/>
            <charset val="134"/>
          </rPr>
          <t>胡晓明:
如需要，请在此设置公式，引用至注释小表中期初/上期数的单元格。</t>
        </r>
      </text>
    </comment>
    <comment ref="N6164" authorId="2" shapeId="0">
      <text>
        <r>
          <rPr>
            <b/>
            <sz val="9"/>
            <color indexed="81"/>
            <rFont val="宋体"/>
            <family val="3"/>
            <charset val="134"/>
          </rPr>
          <t>胡晓明:
如需要，请在此设置公式，引用至注释小表中期初/上期数的单元格。</t>
        </r>
      </text>
    </comment>
    <comment ref="N6186" authorId="2" shapeId="0">
      <text>
        <r>
          <rPr>
            <b/>
            <sz val="9"/>
            <color indexed="81"/>
            <rFont val="宋体"/>
            <family val="3"/>
            <charset val="134"/>
          </rPr>
          <t>胡晓明:
如需要，请在此设置公式，引用至注释小表中期初/上期数的单元格。</t>
        </r>
      </text>
    </comment>
    <comment ref="N6213" authorId="2" shapeId="0">
      <text>
        <r>
          <rPr>
            <b/>
            <sz val="9"/>
            <color indexed="81"/>
            <rFont val="宋体"/>
            <family val="3"/>
            <charset val="134"/>
          </rPr>
          <t>胡晓明:
如需要，请在此设置公式，引用至注释小表中期初/上期数的单元格。</t>
        </r>
      </text>
    </comment>
    <comment ref="N6242" authorId="2" shapeId="0">
      <text>
        <r>
          <rPr>
            <b/>
            <sz val="9"/>
            <color indexed="81"/>
            <rFont val="宋体"/>
            <family val="3"/>
            <charset val="134"/>
          </rPr>
          <t>胡晓明:
如需要，请在此设置公式，引用至注释小表中期初/上期数的单元格。</t>
        </r>
      </text>
    </comment>
  </commentList>
</comments>
</file>

<file path=xl/comments7.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8.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9.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0.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1.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12.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3.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4.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5.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<sst xmlns="http://schemas.openxmlformats.org/spreadsheetml/2006/main" count="42434" uniqueCount="6945">
  <si>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</si>
  <si>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</si>
  <si>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</si>
  <si>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</si>
  <si>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</si>
  <si>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</si>
  <si>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</si>
  <si>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</si>
  <si>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</si>
  <si>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</si>
  <si>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</si>
  <si>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</si>
  <si>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</si>
  <si>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</si>
  <si>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</si>
  <si>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</si>
  <si>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</si>
  <si>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</si>
  <si>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</si>
  <si>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</si>
  <si>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</si>
  <si>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</si>
  <si>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</si>
  <si>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</si>
  <si>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</si>
  <si>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</si>
  <si>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</si>
  <si>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</si>
  <si>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</si>
  <si>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</si>
  <si>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</si>
  <si>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</si>
  <si>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</si>
  <si>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</si>
  <si>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</si>
  <si>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</si>
  <si>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</si>
  <si>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</si>
  <si>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</si>
  <si>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</si>
  <si>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</si>
  <si>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</si>
  <si>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</si>
  <si>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</si>
  <si>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</si>
  <si>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</si>
  <si>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</si>
  <si>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</si>
  <si>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</si>
  <si>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</si>
  <si>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</si>
  <si>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</si>
  <si>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</si>
  <si>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</si>
  <si>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</si>
  <si>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</si>
  <si>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</si>
  <si>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</si>
  <si>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</si>
  <si>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</si>
  <si>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</si>
  <si>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</si>
  <si>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</si>
  <si>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</si>
  <si>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</si>
  <si>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</si>
  <si>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</si>
  <si>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</si>
  <si>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</si>
  <si>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</si>
  <si>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</si>
  <si>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</si>
  <si>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</si>
  <si>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</si>
  <si>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</si>
  <si>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</si>
  <si>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</si>
  <si>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</si>
  <si>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</si>
  <si>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</si>
  <si>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</si>
  <si>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</si>
  <si>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</si>
  <si>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</si>
  <si>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</si>
  <si>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</si>
  <si>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</si>
  <si>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</si>
  <si>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</si>
  <si>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</si>
  <si>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</si>
  <si>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</si>
  <si>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</si>
  <si>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</si>
  <si>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</si>
  <si>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</si>
  <si>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</si>
  <si>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</si>
  <si>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</si>
  <si>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</si>
  <si>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</si>
  <si>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</si>
  <si>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</si>
  <si>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</si>
  <si>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</si>
  <si>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</si>
  <si>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</si>
  <si>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</si>
  <si>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</si>
  <si>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</si>
  <si>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</si>
  <si>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</si>
  <si>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</si>
  <si>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</si>
  <si>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</si>
  <si>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</si>
  <si>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</si>
  <si>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</si>
  <si>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</si>
  <si>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</si>
  <si>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</si>
  <si>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</si>
  <si>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</si>
  <si>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</si>
  <si>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</si>
  <si>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</si>
  <si>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</si>
  <si>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</si>
  <si>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</si>
  <si>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</si>
  <si>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</si>
  <si>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</si>
  <si>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</si>
  <si>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</si>
  <si>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</si>
  <si>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</si>
  <si>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</si>
  <si>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</si>
  <si>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</si>
  <si>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</si>
  <si>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</si>
  <si>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</si>
  <si>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</si>
  <si>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</si>
  <si>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</si>
  <si>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</si>
  <si>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</si>
  <si>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</si>
  <si>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</si>
  <si>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</si>
  <si>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</si>
  <si>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</si>
  <si>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</si>
  <si>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</si>
  <si>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</si>
  <si>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</si>
  <si>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</si>
  <si>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</si>
  <si>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</si>
  <si>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</si>
  <si>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</si>
  <si>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</si>
  <si>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</si>
  <si>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</si>
  <si>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</si>
  <si>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</si>
  <si>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</si>
  <si>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</si>
  <si>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</si>
  <si>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</si>
  <si>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</si>
  <si>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</si>
  <si>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</si>
  <si>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</si>
  <si>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</si>
  <si>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</si>
  <si>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</si>
  <si>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</si>
  <si>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</si>
  <si>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</si>
  <si>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</si>
  <si>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</si>
  <si>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</si>
  <si>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</si>
  <si>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</si>
  <si>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</si>
  <si>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</si>
  <si>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</si>
  <si>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</si>
  <si>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</si>
  <si>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</si>
  <si>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</si>
  <si>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</si>
  <si>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</si>
  <si>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</si>
  <si>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</si>
  <si>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</si>
  <si>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</si>
  <si>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</si>
  <si>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</si>
  <si>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</si>
  <si>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</si>
  <si>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</si>
  <si>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</si>
  <si>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</si>
  <si>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</si>
  <si>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</si>
  <si>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</si>
  <si>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</si>
  <si>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</si>
  <si>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</si>
  <si>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</si>
  <si>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</si>
  <si>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</si>
  <si>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</si>
  <si>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</si>
  <si>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</si>
  <si>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</si>
  <si>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</si>
  <si>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</si>
  <si>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</si>
  <si>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</si>
  <si>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</si>
  <si>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</si>
  <si>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</si>
  <si>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</si>
  <si>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</si>
  <si>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</si>
  <si>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</si>
  <si>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</si>
  <si>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</si>
  <si>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</si>
  <si>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</si>
  <si>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</si>
  <si>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</si>
  <si>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</si>
  <si>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</si>
  <si>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</si>
  <si>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</si>
  <si>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</si>
  <si>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</si>
  <si>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</si>
  <si>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</si>
  <si>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</si>
  <si>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</si>
  <si>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</si>
  <si>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</si>
  <si>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</si>
  <si>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</si>
  <si>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</si>
  <si>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</si>
  <si>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</si>
  <si>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</si>
  <si>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</si>
  <si>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</si>
  <si>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</si>
  <si>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</si>
  <si>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</si>
  <si>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</si>
  <si>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</si>
  <si>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</si>
  <si>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</si>
  <si>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</si>
  <si>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</si>
  <si>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</si>
  <si>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</si>
  <si>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</si>
  <si>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</si>
  <si>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</si>
  <si>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</si>
  <si>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</si>
  <si>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</si>
  <si>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</si>
  <si>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</si>
  <si>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</si>
  <si>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</si>
  <si>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</si>
  <si>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</si>
  <si>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</si>
  <si>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</si>
  <si>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</si>
  <si>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</si>
  <si>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</si>
  <si>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</si>
  <si>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</si>
  <si>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</si>
  <si>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</si>
  <si>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</si>
  <si>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</si>
  <si>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</si>
  <si>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</si>
  <si>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</si>
  <si>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</si>
  <si>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</si>
  <si>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</si>
  <si>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</si>
  <si>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</si>
  <si>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</si>
  <si>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</si>
  <si>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</si>
  <si>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</si>
  <si>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</si>
  <si>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</si>
  <si>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</si>
  <si>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</si>
  <si>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</si>
  <si>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</si>
  <si>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</si>
  <si>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</si>
  <si>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</si>
  <si>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</si>
  <si>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</si>
  <si>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</si>
  <si>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</si>
  <si>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</si>
  <si>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</si>
  <si>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</si>
  <si>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</si>
  <si>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</si>
  <si>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</si>
  <si>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</si>
  <si>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</si>
  <si>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</si>
  <si>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</si>
  <si>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</si>
  <si>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</si>
  <si>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</si>
  <si>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</si>
  <si>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</si>
  <si>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</si>
  <si>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</si>
  <si>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</si>
  <si>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</si>
  <si>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</si>
  <si>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</si>
  <si>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</si>
  <si>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</si>
  <si>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</si>
  <si>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</si>
  <si>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</si>
  <si>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</si>
  <si>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</si>
  <si>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</si>
  <si>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</si>
  <si>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</si>
  <si>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</si>
  <si>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</si>
  <si>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</si>
  <si>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</si>
  <si>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</si>
  <si>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</si>
  <si>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</si>
  <si>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</si>
  <si>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</si>
  <si>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</si>
  <si>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</si>
  <si>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</si>
  <si>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</si>
  <si>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</si>
  <si>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</si>
  <si>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</si>
  <si>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</si>
  <si>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</si>
  <si>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</si>
  <si>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</si>
  <si>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</si>
  <si>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</si>
  <si>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</si>
  <si>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</si>
  <si>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</si>
  <si>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</si>
  <si>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</si>
  <si>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</si>
  <si>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</si>
  <si>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</si>
  <si>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</si>
  <si>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</si>
  <si>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</si>
  <si>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</si>
  <si>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</si>
  <si>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</si>
  <si>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</si>
  <si>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</si>
  <si>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</si>
  <si>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</si>
  <si>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</si>
  <si>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</si>
  <si>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</si>
  <si>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</si>
  <si>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</si>
  <si>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</si>
  <si>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</si>
  <si>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</si>
  <si>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</si>
  <si>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</si>
  <si>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</si>
  <si>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</si>
  <si>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</si>
  <si>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</si>
  <si>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</si>
  <si>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</si>
  <si>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</si>
  <si>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</si>
  <si>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</si>
  <si>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</si>
  <si>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</si>
  <si>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</si>
  <si>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</si>
  <si>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</si>
  <si>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</si>
  <si>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</si>
  <si>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</si>
  <si>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</si>
  <si>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</si>
  <si>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</si>
  <si>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</si>
  <si>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</si>
  <si>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</si>
  <si>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</si>
  <si>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</si>
  <si>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</si>
  <si>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</si>
  <si>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</si>
  <si>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</si>
  <si>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</si>
  <si>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</si>
  <si>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</si>
  <si>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</si>
  <si>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</si>
  <si>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</si>
  <si>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</si>
  <si>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</si>
  <si>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</si>
  <si>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</si>
  <si>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</si>
  <si>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</si>
  <si>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</si>
  <si>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</si>
  <si>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</si>
  <si>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</si>
  <si>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</si>
  <si>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</si>
  <si>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</si>
  <si>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</si>
  <si>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</si>
  <si>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</si>
  <si>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</si>
  <si>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</si>
  <si>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</si>
  <si>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</si>
  <si>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</si>
  <si>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</si>
  <si>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</si>
  <si>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</si>
  <si>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</si>
  <si>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</si>
  <si>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</si>
  <si>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</si>
  <si>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</si>
  <si>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</si>
  <si>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</si>
  <si>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</si>
  <si>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</si>
  <si>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</si>
  <si>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</si>
  <si>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</si>
  <si>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</si>
  <si>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</si>
  <si>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</si>
  <si>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</si>
  <si>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</si>
  <si>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</si>
  <si>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</si>
  <si>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</si>
  <si>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</si>
  <si>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</si>
  <si>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</si>
  <si>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</si>
  <si>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</si>
  <si>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</si>
  <si>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</si>
  <si>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</si>
  <si>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</si>
  <si>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</si>
  <si>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</si>
  <si>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</si>
  <si>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</si>
  <si>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</si>
  <si>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</si>
  <si>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</si>
  <si>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</si>
  <si>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</si>
  <si>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</si>
  <si>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</si>
  <si>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</si>
  <si>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</si>
  <si>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</si>
  <si>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</si>
  <si>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</si>
  <si>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</si>
  <si>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</si>
  <si>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</si>
  <si>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</si>
  <si>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</si>
  <si>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</si>
  <si>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</si>
  <si>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</si>
  <si>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</si>
  <si>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</si>
  <si>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</si>
  <si>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</si>
  <si>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</si>
  <si>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</si>
  <si>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</si>
  <si>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</si>
  <si>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</si>
  <si>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</si>
  <si>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</si>
  <si>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</si>
  <si>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</si>
  <si>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</si>
  <si>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</si>
  <si>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</si>
  <si>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</si>
  <si>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</si>
  <si>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</si>
  <si>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</si>
  <si>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</si>
  <si>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</si>
  <si>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</si>
  <si>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</si>
  <si>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</si>
  <si>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</si>
  <si>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</si>
  <si>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</si>
  <si>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</si>
  <si>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</si>
  <si>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</si>
  <si>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</si>
  <si>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</si>
  <si>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</si>
  <si>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</si>
  <si>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</si>
  <si>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</si>
  <si>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</si>
  <si>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</si>
  <si>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</si>
  <si>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</si>
  <si>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</si>
  <si>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</si>
  <si>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</si>
  <si>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</si>
  <si>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</si>
  <si>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</si>
  <si>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</si>
  <si>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</si>
  <si>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</si>
  <si>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</si>
  <si>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</si>
  <si>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</si>
  <si>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</si>
  <si>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</si>
  <si>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</si>
  <si>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</si>
  <si>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</si>
  <si>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</si>
  <si>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</si>
  <si>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</si>
  <si>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</si>
  <si>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</si>
  <si>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</si>
  <si>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</si>
  <si>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</si>
  <si>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</si>
  <si>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</si>
  <si>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</si>
  <si>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</si>
  <si>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</si>
  <si>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</si>
  <si>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</si>
  <si>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</si>
  <si>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</si>
  <si>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</si>
  <si>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</si>
  <si>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</si>
  <si>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</si>
  <si>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</si>
  <si>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</si>
  <si>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</si>
  <si>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</si>
  <si>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</si>
  <si>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</si>
  <si>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</si>
  <si>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</si>
  <si>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</si>
  <si>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</si>
  <si>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</si>
  <si>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</si>
  <si>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</si>
  <si>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</si>
  <si>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</si>
  <si>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</si>
  <si>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</si>
  <si>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</si>
  <si>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</si>
  <si>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</si>
  <si>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</si>
  <si>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</si>
  <si>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</si>
  <si>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</si>
  <si>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</si>
  <si>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</si>
  <si>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</si>
  <si>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</si>
  <si>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</si>
  <si>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</si>
  <si>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</si>
  <si>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</si>
  <si>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</si>
  <si>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</si>
  <si>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</si>
  <si>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</si>
  <si>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</si>
  <si>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</si>
  <si>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</si>
  <si>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</si>
  <si>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</si>
  <si>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</si>
  <si>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</si>
  <si>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</si>
  <si>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</si>
  <si>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</si>
  <si>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</si>
  <si>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</si>
  <si>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</si>
  <si>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</si>
  <si>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</si>
  <si>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</si>
  <si>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</si>
  <si>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</si>
  <si>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</si>
  <si>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</si>
  <si>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</si>
  <si>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</si>
  <si>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</si>
  <si>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</si>
  <si>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</si>
  <si>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</si>
  <si>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</si>
  <si>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</si>
  <si>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</si>
  <si>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</si>
  <si>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</si>
  <si>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</si>
  <si>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</si>
  <si>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</si>
  <si>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</si>
  <si>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</si>
  <si>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</si>
  <si>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</si>
  <si>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</si>
  <si>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</si>
  <si>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</si>
  <si>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</si>
  <si>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</si>
  <si>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</si>
  <si>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</si>
  <si>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</si>
  <si>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</si>
  <si>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</si>
  <si>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</si>
  <si>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</si>
  <si>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</si>
  <si>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</si>
  <si>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</si>
  <si>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</si>
  <si>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</si>
  <si>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</si>
  <si>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</si>
  <si>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</si>
  <si>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</si>
  <si>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</si>
  <si>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</si>
  <si>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</si>
  <si>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</si>
  <si>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</si>
  <si>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</si>
  <si>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</si>
  <si>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</si>
  <si>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</si>
  <si>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</si>
  <si>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</si>
  <si>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</si>
  <si>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</si>
  <si>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</si>
  <si>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</si>
  <si>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</si>
  <si>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</si>
  <si>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</si>
  <si>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</si>
  <si>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</si>
  <si>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</si>
  <si>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</si>
  <si>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</si>
  <si>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</si>
  <si>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</si>
  <si>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</si>
  <si>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</si>
  <si>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</si>
  <si>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</si>
  <si>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</si>
  <si>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</si>
  <si>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</si>
  <si>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</si>
  <si>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</si>
  <si>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</si>
  <si>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</si>
  <si>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</si>
  <si>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</si>
  <si>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</si>
  <si>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</si>
  <si>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</si>
  <si>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</si>
  <si>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</si>
  <si>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</si>
  <si>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</si>
  <si>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</si>
  <si>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</si>
  <si>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</si>
  <si>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</si>
  <si>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</si>
  <si>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</si>
  <si>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</si>
  <si>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</si>
  <si>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</si>
  <si>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</si>
  <si>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</si>
  <si>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</si>
  <si>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</si>
  <si>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</si>
  <si>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</si>
  <si>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</si>
  <si>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</si>
  <si>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</si>
  <si>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</si>
  <si>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</si>
  <si>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</si>
  <si>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</si>
  <si>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</si>
  <si>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</si>
  <si>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</si>
  <si>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</si>
  <si>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</si>
  <si>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</si>
  <si>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</si>
  <si>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</si>
  <si>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</si>
  <si>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</si>
  <si>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</si>
  <si>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</si>
  <si>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</si>
  <si>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</si>
  <si>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</si>
  <si>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</si>
  <si>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</si>
  <si>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</si>
  <si>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</si>
  <si>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</si>
  <si>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</si>
  <si>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</si>
  <si>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</si>
  <si>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</si>
  <si>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</si>
  <si>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</si>
  <si>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</si>
  <si>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</si>
  <si>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</si>
  <si>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</si>
  <si>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</si>
  <si>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</si>
  <si>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</si>
  <si>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</si>
  <si>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</si>
  <si>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</si>
  <si>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</si>
  <si>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</si>
  <si>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</si>
  <si>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</si>
  <si>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</si>
  <si>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</si>
  <si>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</si>
  <si>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</si>
  <si>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</si>
  <si>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</si>
  <si>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</si>
  <si>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</si>
  <si>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</si>
  <si>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</si>
  <si>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</si>
  <si>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</si>
  <si>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</si>
  <si>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</si>
  <si>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</si>
  <si>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</si>
  <si>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</si>
  <si>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</si>
  <si>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</si>
  <si>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</si>
  <si>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</si>
  <si>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</si>
  <si>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</si>
  <si>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</si>
  <si>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</si>
  <si>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</si>
  <si>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</si>
  <si>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</si>
  <si>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</si>
  <si>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</si>
  <si>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</si>
  <si>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</si>
  <si>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</si>
  <si>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</si>
  <si>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</si>
  <si>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</si>
  <si>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</si>
  <si>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</si>
  <si>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</si>
  <si>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</si>
  <si>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</si>
  <si>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</si>
  <si>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</si>
  <si>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</si>
  <si>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</si>
  <si>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</si>
  <si>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</si>
  <si>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</si>
  <si>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</si>
  <si>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</si>
  <si>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</si>
  <si>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</si>
  <si>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</si>
  <si>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</si>
  <si>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</si>
  <si>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</si>
  <si>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</si>
  <si>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</si>
  <si>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</si>
  <si>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</si>
  <si>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</si>
  <si>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</si>
  <si>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</si>
  <si>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</si>
  <si>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</si>
  <si>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</si>
  <si>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</si>
  <si>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</si>
  <si>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</si>
  <si>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</si>
  <si>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</si>
  <si>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</si>
  <si>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</si>
  <si>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</si>
  <si>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</si>
  <si>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</si>
  <si>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</si>
  <si>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</si>
  <si>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</si>
  <si>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</si>
  <si>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</si>
  <si>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</si>
  <si>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</si>
  <si>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</si>
  <si>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</si>
  <si>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</si>
  <si>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</si>
  <si>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</si>
  <si>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</si>
  <si>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</si>
  <si>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</si>
  <si>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</si>
  <si>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</si>
  <si>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</si>
  <si>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</si>
  <si>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</si>
  <si>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</si>
  <si>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</si>
  <si>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</si>
  <si>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</si>
  <si>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</si>
  <si>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</si>
  <si>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</si>
  <si>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</si>
  <si>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</si>
  <si>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</si>
  <si>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</si>
  <si>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</si>
  <si>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</si>
  <si>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</si>
  <si>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</si>
  <si>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</si>
  <si>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</si>
  <si>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</si>
  <si>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</si>
  <si>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</si>
  <si>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</si>
  <si>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</si>
  <si>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</si>
  <si>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</si>
  <si>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</si>
  <si>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</si>
  <si>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</si>
  <si>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</si>
  <si>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</si>
  <si>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</si>
  <si>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</si>
  <si>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</si>
  <si>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</si>
  <si>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</si>
  <si>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</si>
  <si>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</si>
  <si>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</si>
  <si>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</si>
  <si>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</si>
  <si>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</si>
  <si>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</si>
  <si>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</si>
  <si>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</si>
  <si>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</si>
  <si>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</si>
  <si>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</si>
  <si>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</si>
  <si>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</si>
  <si>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</si>
  <si>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</si>
  <si>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</si>
  <si>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</si>
  <si>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</si>
  <si>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</si>
  <si>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</si>
  <si>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</si>
  <si>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</si>
  <si>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</si>
  <si>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</si>
  <si>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</si>
  <si>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</si>
  <si>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</si>
  <si>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</si>
  <si>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</si>
  <si>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</si>
  <si>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</si>
  <si>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</si>
  <si>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</si>
  <si>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</si>
  <si>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</si>
  <si>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</si>
  <si>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</si>
  <si>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</si>
  <si>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</si>
  <si>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</si>
  <si>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</si>
  <si>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</si>
  <si>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</si>
  <si>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</si>
  <si>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</si>
  <si>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</si>
  <si>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</si>
  <si>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</si>
  <si>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</si>
  <si>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</si>
  <si>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</si>
  <si>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</si>
  <si>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</si>
  <si>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</si>
  <si>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</si>
  <si>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</si>
  <si>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</si>
  <si>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</si>
  <si>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</si>
  <si>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</si>
  <si>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</si>
  <si>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</si>
  <si>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</si>
  <si>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</si>
  <si>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</si>
  <si>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</si>
  <si>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</si>
  <si>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</si>
  <si>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</si>
  <si>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</si>
  <si>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</si>
  <si>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</si>
  <si>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</si>
  <si>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</si>
  <si>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</si>
  <si>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</si>
  <si>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</si>
  <si>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</si>
  <si>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</si>
  <si>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</si>
  <si>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</si>
  <si>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</si>
  <si>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</si>
  <si>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</si>
  <si>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</si>
  <si>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</si>
  <si>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</si>
  <si>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</si>
  <si>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</si>
  <si>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</si>
  <si>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</si>
  <si>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</si>
  <si>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</si>
  <si>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</si>
  <si>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</si>
  <si>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</si>
  <si>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</si>
  <si>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</si>
  <si>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</si>
  <si>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</si>
  <si>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</si>
  <si>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</si>
  <si>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</si>
  <si>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</si>
  <si>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</si>
  <si>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</si>
  <si>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</si>
  <si>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</si>
  <si>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</si>
  <si>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</si>
  <si>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</si>
  <si>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</si>
  <si>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</si>
  <si>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</si>
  <si>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</si>
  <si>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</si>
  <si>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</si>
  <si>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</si>
  <si>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</si>
  <si>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</si>
  <si>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</si>
  <si>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</si>
  <si>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</si>
  <si>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</si>
  <si>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</si>
  <si>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</si>
  <si>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</si>
  <si>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</si>
  <si>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</si>
  <si>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</si>
  <si>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</si>
  <si>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</si>
  <si>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</si>
  <si>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</si>
  <si>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</si>
  <si>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</si>
  <si>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</si>
  <si>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</si>
  <si>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</si>
  <si>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</si>
  <si>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</si>
  <si>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</si>
  <si>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</si>
  <si>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</si>
  <si>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</si>
  <si>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</si>
  <si>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</si>
  <si>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</si>
  <si>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</si>
  <si>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</si>
  <si>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</si>
  <si>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</si>
  <si>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</si>
  <si>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</si>
  <si>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</si>
  <si>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</si>
  <si>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</si>
  <si>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</si>
  <si>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</si>
  <si>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</si>
  <si>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</si>
  <si>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</si>
  <si>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</si>
  <si>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</si>
  <si>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</si>
  <si>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</si>
  <si>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</si>
  <si>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</si>
  <si>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</si>
  <si>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</si>
  <si>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</si>
  <si>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</si>
  <si>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</si>
  <si>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</si>
  <si>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</si>
  <si>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</si>
  <si>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</si>
  <si>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</si>
  <si>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</si>
  <si>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</si>
  <si>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</si>
  <si>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</si>
  <si>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</si>
  <si>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</si>
  <si>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</si>
  <si>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</si>
  <si>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</si>
  <si>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</si>
  <si>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</si>
  <si>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</si>
  <si>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</si>
  <si>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</si>
  <si>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</si>
  <si>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</si>
  <si>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</si>
  <si>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</si>
  <si>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</si>
  <si>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</si>
  <si>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</si>
  <si>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</si>
  <si>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</si>
  <si>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</si>
  <si>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</si>
  <si>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</si>
  <si>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</si>
  <si>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</si>
  <si>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</si>
  <si>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</si>
  <si>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</si>
  <si>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</si>
  <si>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</si>
  <si>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</si>
  <si>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</si>
  <si>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</si>
  <si>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</si>
  <si>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</si>
  <si>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</si>
  <si>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</si>
  <si>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</si>
  <si>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</si>
  <si>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</si>
  <si>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</si>
  <si>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</si>
  <si>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</si>
  <si>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</si>
  <si>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</si>
  <si>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</si>
  <si>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</si>
  <si>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</si>
  <si>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</si>
  <si>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</si>
  <si>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</si>
  <si>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</si>
  <si>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</si>
  <si>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</si>
  <si>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</si>
  <si>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</si>
  <si>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</si>
  <si>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</si>
  <si>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</si>
  <si>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</si>
  <si>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</si>
  <si>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</si>
  <si>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</si>
  <si>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</si>
  <si>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</si>
  <si>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</si>
  <si>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</si>
  <si>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</si>
  <si>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</si>
  <si>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</si>
  <si>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</si>
  <si>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</si>
  <si>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</si>
  <si>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</si>
  <si>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</si>
  <si>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</si>
  <si>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</si>
  <si>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</si>
  <si>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</si>
  <si>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</si>
  <si>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</si>
  <si>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</si>
  <si>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</si>
  <si>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</si>
  <si>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</si>
  <si>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</si>
  <si>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</si>
  <si>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</si>
  <si>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</si>
  <si>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</si>
  <si>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</si>
  <si>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</si>
  <si>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</si>
  <si>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</si>
  <si>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</si>
  <si>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</si>
  <si>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</si>
  <si>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</si>
  <si>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</si>
  <si>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</si>
  <si>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</si>
  <si>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</si>
  <si>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</si>
  <si>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</si>
  <si>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</si>
  <si>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</si>
  <si>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</si>
  <si>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</si>
  <si>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</si>
  <si>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</si>
  <si>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</si>
  <si>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</si>
  <si>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</si>
  <si>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</si>
  <si>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</si>
  <si>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</si>
  <si>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</si>
  <si>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</si>
  <si>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</si>
  <si>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</si>
  <si>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</si>
  <si>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</si>
  <si>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</si>
  <si>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</si>
  <si>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</si>
  <si>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</si>
  <si>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</si>
  <si>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</si>
  <si>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</si>
  <si>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</si>
  <si>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</si>
  <si>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</si>
  <si>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</si>
  <si>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</si>
  <si>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</si>
  <si>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</si>
  <si>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</si>
  <si>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</si>
  <si>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</si>
  <si>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</si>
  <si>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</si>
  <si>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</si>
  <si>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</si>
  <si>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</si>
  <si>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</si>
  <si>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</si>
  <si>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</si>
  <si>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</si>
  <si>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</si>
  <si>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</si>
  <si>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</si>
  <si>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</si>
  <si>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</si>
  <si>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</si>
  <si>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</si>
  <si>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</si>
  <si>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</si>
  <si>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</si>
  <si>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</si>
  <si>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</si>
  <si>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</si>
  <si>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</si>
  <si>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</si>
  <si>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</si>
  <si>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</si>
  <si>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</si>
  <si>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</si>
  <si>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</si>
  <si>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</si>
  <si>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</si>
  <si>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</si>
  <si>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</si>
  <si>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</si>
  <si>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</si>
  <si>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</si>
  <si>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</si>
  <si>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</si>
  <si>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</si>
  <si>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</si>
  <si>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</si>
  <si>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</si>
  <si>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</si>
  <si>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</si>
  <si>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</si>
  <si>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</si>
  <si>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</si>
  <si>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</si>
  <si>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</si>
  <si>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</si>
  <si>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</si>
  <si>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</si>
  <si>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</si>
  <si>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</si>
  <si>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</si>
  <si>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</si>
  <si>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</si>
  <si>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</si>
  <si>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</si>
  <si>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</si>
  <si>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</si>
  <si>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</si>
  <si>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</si>
  <si>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</si>
  <si>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</si>
  <si>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</si>
  <si>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</si>
  <si>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</si>
  <si>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</si>
  <si>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</si>
  <si>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</si>
  <si>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</si>
  <si>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</si>
  <si>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</si>
  <si>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</si>
  <si>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</si>
  <si>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</si>
  <si>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</si>
  <si>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</si>
  <si>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</si>
  <si>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</si>
  <si>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</si>
  <si>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</si>
  <si>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</si>
  <si>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</si>
  <si>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</si>
  <si>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</si>
  <si>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</si>
  <si>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</si>
  <si>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</si>
  <si>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</si>
  <si>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</si>
  <si>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</si>
  <si>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</si>
  <si>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</si>
  <si>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</si>
  <si>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</si>
  <si>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</si>
  <si>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</si>
  <si>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</si>
  <si>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</si>
  <si>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</si>
  <si>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</si>
  <si>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</si>
  <si>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</si>
  <si>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</si>
  <si>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</si>
  <si>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</si>
  <si>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</si>
  <si>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</si>
  <si>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</si>
  <si>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</si>
  <si>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</si>
  <si>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</si>
  <si>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</si>
  <si>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</si>
  <si>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</si>
  <si>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</si>
  <si>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</si>
  <si>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</si>
  <si>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</si>
  <si>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</si>
  <si>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</si>
  <si>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</si>
  <si>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</si>
  <si>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</si>
  <si>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</si>
  <si>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</si>
  <si>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</si>
  <si>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</si>
  <si>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</si>
  <si>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</si>
  <si>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</si>
  <si>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</si>
  <si>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</si>
  <si>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</si>
  <si>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</si>
  <si>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</si>
  <si>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</si>
  <si>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</si>
  <si>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</si>
  <si>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</si>
  <si>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</si>
  <si>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</si>
  <si>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</si>
  <si>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</si>
  <si>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</si>
  <si>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</si>
  <si>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</si>
  <si>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</si>
  <si>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</si>
  <si>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</si>
  <si>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</si>
  <si>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</si>
  <si>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</si>
  <si>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</si>
  <si>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</si>
  <si>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</si>
  <si>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</si>
  <si>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</si>
  <si>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</si>
  <si>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</si>
  <si>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</si>
  <si>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</si>
  <si>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</si>
  <si>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</si>
  <si>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</si>
  <si>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</si>
  <si>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</si>
  <si>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</si>
  <si>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</si>
  <si>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</si>
  <si>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</si>
  <si>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</si>
  <si>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</si>
  <si>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</si>
  <si>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</si>
  <si>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</si>
  <si>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</si>
  <si>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</si>
  <si>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</si>
  <si>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</si>
  <si>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</si>
  <si>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</si>
  <si>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</si>
  <si>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</si>
  <si>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</si>
  <si>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</si>
  <si>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</si>
  <si>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</si>
  <si>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</si>
  <si>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</si>
  <si>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</si>
  <si>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</si>
  <si>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</si>
  <si>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</si>
  <si>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</si>
  <si>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</si>
  <si>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</si>
  <si>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</si>
  <si>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</si>
  <si>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</si>
  <si>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</si>
  <si>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</si>
  <si>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</si>
  <si>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</si>
  <si>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</si>
  <si>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</si>
  <si>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</si>
  <si>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</si>
  <si>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</si>
  <si>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</si>
  <si>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</si>
  <si>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</si>
  <si>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</si>
  <si>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</si>
  <si>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</si>
  <si>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</si>
  <si>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</si>
  <si>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</si>
  <si>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</si>
  <si>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</si>
  <si>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</si>
  <si>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</si>
  <si>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</si>
  <si>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</si>
  <si>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</si>
  <si>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</si>
  <si>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</si>
  <si>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</si>
  <si>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</si>
  <si>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</si>
  <si>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</si>
  <si>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</si>
  <si>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</si>
  <si>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</si>
  <si>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</si>
  <si>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</si>
  <si>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</si>
  <si>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</si>
  <si>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</si>
  <si>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</si>
  <si>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</si>
  <si>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</si>
  <si>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</si>
  <si>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</si>
  <si>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</si>
  <si>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</si>
  <si>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</si>
  <si>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</si>
  <si>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</si>
  <si>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</si>
  <si>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</si>
  <si>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</si>
  <si>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</si>
  <si>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</si>
  <si>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</si>
  <si>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</si>
  <si>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</si>
  <si>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</si>
  <si>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</si>
  <si>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</si>
  <si>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</si>
  <si>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</si>
  <si>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</si>
  <si>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</si>
  <si>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</si>
  <si>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</si>
  <si>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</si>
  <si>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</si>
  <si>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</si>
  <si>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</si>
  <si>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</si>
  <si>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</si>
  <si>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</si>
  <si>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</si>
  <si>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</si>
  <si>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</si>
  <si>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</si>
  <si>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</si>
  <si>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</si>
  <si>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</si>
  <si>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</si>
  <si>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</si>
  <si>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</si>
  <si>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</si>
  <si>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</si>
  <si>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</si>
  <si>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</si>
  <si>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</si>
  <si>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</si>
  <si>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</si>
  <si>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</si>
  <si>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</si>
  <si>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</si>
  <si>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</si>
  <si>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</si>
  <si>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</si>
  <si>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</si>
  <si>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</si>
  <si>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</si>
  <si>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</si>
  <si>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</si>
  <si>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</si>
  <si>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</si>
  <si>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</si>
  <si>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</si>
  <si>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</si>
  <si>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</si>
  <si>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</si>
  <si>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</si>
  <si>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</si>
  <si>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</si>
  <si>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</si>
  <si>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</si>
  <si>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</si>
  <si>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</si>
  <si>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</si>
  <si>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</si>
  <si>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</si>
  <si>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</si>
  <si>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</si>
  <si>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</si>
  <si>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</si>
  <si>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</si>
  <si>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</si>
  <si>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</si>
  <si>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</si>
  <si>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</si>
  <si>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</si>
  <si>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</si>
  <si>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</si>
  <si>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</si>
  <si>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</si>
  <si>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</si>
  <si>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</si>
  <si>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</si>
  <si>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</si>
  <si>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</si>
  <si>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</si>
  <si>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</si>
  <si>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</si>
  <si>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</si>
  <si>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</si>
  <si>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</si>
  <si>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</si>
  <si>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</si>
  <si>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</si>
  <si>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</si>
  <si>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</si>
  <si>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</si>
  <si>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</si>
  <si>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</si>
  <si>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</si>
  <si>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</si>
  <si>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</si>
  <si>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</si>
  <si>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</si>
  <si>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</si>
  <si>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</si>
  <si>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</si>
  <si>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</si>
  <si>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</si>
  <si>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</si>
  <si>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</si>
  <si>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</si>
  <si>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</si>
  <si>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</si>
  <si>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</si>
  <si>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</si>
  <si>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</si>
  <si>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</si>
  <si>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</si>
  <si>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</si>
  <si>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</si>
  <si>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</si>
  <si>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</si>
  <si>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</si>
  <si>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</si>
  <si>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</si>
  <si>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</si>
  <si>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</si>
  <si>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</si>
  <si>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</si>
  <si>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</si>
  <si>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</si>
  <si>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</si>
  <si>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</si>
  <si>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</si>
  <si>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</si>
  <si>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</si>
  <si>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</si>
  <si>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</si>
  <si>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</si>
  <si>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</si>
  <si>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</si>
  <si>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</si>
  <si>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</si>
  <si>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</si>
  <si>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</si>
  <si>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</si>
  <si>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</si>
  <si>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</si>
  <si>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</si>
  <si>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</si>
  <si>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</si>
  <si>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</si>
  <si>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</si>
  <si>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</si>
  <si>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</si>
  <si>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</si>
  <si>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</si>
  <si>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</si>
  <si>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</si>
  <si>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</si>
  <si>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</si>
  <si>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</si>
  <si>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</si>
  <si>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</si>
  <si>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</si>
  <si>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</si>
  <si>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</si>
  <si>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</si>
  <si>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</si>
  <si>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</si>
  <si>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</si>
  <si>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</si>
  <si>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</si>
  <si>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</si>
  <si>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</si>
  <si>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</si>
  <si>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</si>
  <si>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</si>
  <si>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</si>
  <si>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</si>
  <si>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</si>
  <si>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</si>
  <si>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</si>
  <si>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</si>
  <si>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</si>
  <si>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</si>
  <si>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</si>
  <si>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</si>
  <si>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</si>
  <si>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</si>
  <si>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</si>
  <si>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</si>
  <si>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</si>
  <si>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</si>
  <si>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</si>
  <si>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</si>
  <si>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</si>
  <si>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</si>
  <si>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</si>
  <si>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</si>
  <si>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</si>
  <si>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</si>
  <si>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</si>
  <si>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</si>
  <si>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</si>
  <si>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</si>
  <si>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</si>
  <si>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</si>
  <si>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</si>
  <si>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</si>
  <si>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</si>
  <si>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</si>
  <si>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</si>
  <si>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</si>
  <si>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</si>
  <si>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</si>
  <si>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</si>
  <si>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</si>
  <si>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</si>
  <si>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</si>
  <si>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</si>
  <si>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</si>
  <si>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</si>
  <si>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</si>
  <si>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</si>
  <si>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</si>
  <si>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</si>
  <si>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</si>
  <si>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</si>
  <si>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</si>
  <si>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</si>
  <si>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</si>
  <si>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</si>
  <si>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</si>
  <si>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</si>
  <si>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</si>
  <si>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</si>
  <si>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</si>
  <si>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</si>
  <si>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</si>
  <si>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</si>
  <si>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</si>
  <si>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</si>
  <si>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</si>
  <si>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</si>
  <si>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</si>
  <si>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</si>
  <si>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</si>
  <si>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</si>
  <si>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</si>
  <si>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</si>
  <si>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</si>
  <si>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</si>
  <si>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</si>
  <si>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</si>
  <si>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</si>
  <si>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</si>
  <si>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</si>
  <si>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</si>
  <si>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</si>
  <si>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</si>
  <si>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</si>
  <si>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</si>
  <si>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</si>
  <si>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</si>
  <si>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</si>
  <si>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</si>
  <si>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</si>
  <si>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</si>
  <si>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</si>
  <si>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</si>
  <si>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</si>
  <si>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</si>
  <si>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</si>
  <si>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</si>
  <si>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</si>
  <si>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</si>
  <si>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</si>
  <si>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</si>
  <si>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</si>
  <si>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</si>
  <si>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</si>
  <si>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</si>
  <si>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</si>
  <si>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</si>
  <si>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</si>
  <si>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</si>
  <si>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</si>
  <si>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</si>
  <si>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</si>
  <si>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</si>
  <si>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</si>
  <si>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</si>
  <si>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</si>
  <si>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</si>
  <si>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</si>
  <si>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</si>
  <si>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</si>
  <si>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</si>
  <si>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</si>
  <si>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</si>
  <si>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</si>
  <si>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</si>
  <si>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</si>
  <si>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</si>
  <si>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</si>
  <si>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</si>
  <si>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</si>
  <si>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</si>
  <si>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</si>
  <si>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</si>
  <si>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</si>
  <si>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</si>
  <si>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</si>
  <si>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</si>
  <si>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</si>
  <si>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</si>
  <si>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</si>
  <si>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</si>
  <si>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</si>
  <si>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</si>
  <si>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</si>
  <si>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</si>
  <si>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</si>
  <si>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</si>
  <si>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</si>
  <si>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</si>
  <si>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</si>
  <si>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</si>
  <si>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</si>
  <si>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</si>
  <si>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</si>
  <si>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</si>
  <si>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</si>
  <si>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</si>
  <si>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</si>
  <si>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</si>
  <si>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</si>
  <si>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</si>
  <si>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</si>
  <si>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</si>
  <si>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</si>
  <si>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</si>
  <si>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</si>
  <si>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</si>
  <si>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</si>
  <si>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</si>
  <si>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</si>
  <si>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</si>
  <si>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</si>
  <si>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</si>
  <si>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</si>
  <si>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</si>
  <si>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</si>
  <si>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</si>
  <si>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</si>
  <si>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</si>
  <si>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</si>
  <si>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</si>
  <si>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</si>
  <si>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</si>
  <si>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</si>
  <si>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</si>
  <si>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</si>
  <si>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</si>
  <si>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</si>
  <si>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</si>
  <si>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</si>
  <si>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</si>
  <si>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</si>
  <si>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</si>
  <si>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</si>
  <si>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</si>
  <si>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</si>
  <si>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</si>
  <si>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</si>
  <si>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</si>
  <si>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</si>
  <si>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</si>
  <si>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</si>
  <si>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</si>
  <si>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</si>
  <si>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</si>
  <si>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</si>
  <si>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</si>
  <si>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</si>
  <si>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</si>
  <si>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</si>
  <si>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</si>
  <si>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</si>
  <si>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</si>
  <si>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</si>
  <si>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</si>
  <si>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</si>
  <si>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</si>
  <si>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</si>
  <si>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</si>
  <si>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</si>
  <si>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</si>
  <si>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</si>
  <si>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</si>
  <si>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</si>
  <si>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</si>
  <si>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</si>
  <si>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</si>
  <si>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</si>
  <si>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</si>
  <si>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</si>
  <si>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</si>
  <si>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</si>
  <si>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</si>
  <si>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</si>
  <si>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</si>
  <si>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</si>
  <si>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</si>
  <si>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</si>
  <si>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</si>
  <si>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</si>
  <si>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</si>
  <si>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</si>
  <si>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</si>
  <si>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</si>
  <si>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</si>
  <si>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</si>
  <si>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</si>
  <si>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</si>
  <si>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</si>
  <si>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</si>
  <si>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</si>
  <si>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</si>
  <si>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</si>
  <si>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</si>
  <si>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</si>
  <si>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</si>
  <si>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</si>
  <si>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</si>
  <si>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</si>
  <si>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</si>
  <si>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</si>
  <si>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</si>
  <si>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</si>
  <si>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</si>
  <si>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</si>
  <si>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</si>
  <si>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</si>
  <si>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</si>
  <si>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</si>
  <si>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</si>
  <si>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</si>
  <si>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</si>
  <si>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</si>
  <si>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</si>
  <si>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</si>
  <si>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</si>
  <si>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</si>
  <si>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</si>
  <si>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</si>
  <si>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</si>
  <si>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</si>
  <si>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</si>
  <si>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</si>
  <si>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</si>
  <si>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</si>
  <si>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</si>
  <si>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</si>
  <si>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</si>
  <si>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</si>
  <si>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</si>
  <si>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</si>
  <si>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</si>
  <si>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</si>
  <si>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</si>
  <si>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</si>
  <si>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</si>
  <si>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</si>
  <si>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</si>
  <si>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</si>
  <si>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</si>
  <si>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</si>
  <si>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</si>
  <si>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</si>
  <si>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</si>
  <si>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</si>
  <si>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</si>
  <si>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</si>
  <si>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</si>
  <si>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</si>
  <si>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</si>
  <si>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</si>
  <si>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</si>
  <si>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</si>
  <si>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</si>
  <si>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</si>
  <si>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</si>
  <si>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</si>
  <si>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</si>
  <si>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</si>
  <si>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</si>
  <si>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</si>
  <si>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</si>
  <si>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</si>
  <si>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</si>
  <si>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</si>
  <si>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</si>
  <si>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</si>
  <si>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</si>
  <si>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</si>
  <si>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</si>
  <si>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</si>
  <si>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</si>
  <si>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</si>
  <si>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</si>
  <si>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</si>
  <si>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</si>
  <si>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</si>
  <si>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</si>
  <si>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</si>
  <si>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</si>
  <si>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</si>
  <si>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</si>
  <si>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</si>
  <si>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</si>
  <si>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</si>
  <si>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</si>
  <si>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</si>
  <si>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</si>
  <si>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</si>
  <si>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</si>
  <si>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</si>
  <si>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</si>
  <si>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</si>
  <si>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</si>
  <si>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</si>
  <si>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</si>
  <si>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</si>
  <si>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</si>
  <si>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</si>
  <si>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</si>
  <si>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</si>
  <si>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</si>
  <si>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</si>
  <si>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</si>
  <si>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</si>
  <si>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</si>
  <si>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</si>
  <si>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</si>
  <si>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</si>
  <si>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</si>
  <si>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</si>
  <si>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</si>
  <si>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</si>
  <si>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</si>
  <si>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</si>
  <si>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</si>
  <si>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</si>
  <si>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</si>
  <si>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</si>
  <si>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</si>
  <si>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</si>
  <si>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</si>
  <si>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</si>
  <si>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</si>
  <si>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</si>
  <si>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</si>
  <si>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</si>
  <si>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</si>
  <si>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</si>
  <si>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</si>
  <si>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</si>
  <si>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</si>
  <si>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</si>
  <si>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</si>
  <si>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</si>
  <si>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</si>
  <si>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</si>
  <si>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</si>
  <si>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</si>
  <si>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</si>
  <si>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</si>
  <si>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</si>
  <si>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</si>
  <si>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</si>
  <si>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</si>
  <si>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</si>
  <si>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</si>
  <si>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</si>
  <si>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</si>
  <si>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</si>
  <si>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</si>
  <si>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</si>
  <si>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</si>
  <si>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</si>
  <si>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</si>
  <si>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</si>
  <si>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</si>
  <si>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</si>
  <si>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</si>
  <si>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</si>
  <si>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</si>
  <si>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</si>
  <si>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</si>
  <si>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</si>
  <si>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</si>
  <si>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</si>
  <si>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</si>
  <si>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</si>
  <si>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</si>
  <si>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</si>
  <si>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</si>
  <si>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</si>
  <si>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</si>
  <si>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</si>
  <si>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</si>
  <si>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</si>
  <si>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</si>
  <si>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</si>
  <si>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</si>
  <si>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</si>
  <si>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</si>
  <si>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</si>
  <si>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</si>
  <si>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</si>
  <si>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</si>
  <si>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</si>
  <si>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</si>
  <si>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</si>
  <si>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</si>
  <si>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</si>
  <si>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</si>
  <si>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</si>
  <si>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</si>
  <si>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</si>
  <si>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</si>
  <si>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</si>
  <si>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</si>
  <si>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</si>
  <si>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</si>
  <si>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</si>
  <si>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</si>
  <si>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</si>
  <si>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</si>
  <si>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</si>
  <si>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</si>
  <si>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</si>
  <si>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</si>
  <si>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</si>
  <si>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</si>
  <si>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</si>
  <si>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</si>
  <si>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</si>
  <si>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</si>
  <si>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</si>
  <si>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</si>
  <si>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</si>
  <si>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</si>
  <si>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</si>
  <si>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</si>
  <si>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</si>
  <si>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</si>
  <si>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</si>
  <si>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</si>
  <si>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</si>
  <si>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</si>
  <si>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</si>
  <si>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</si>
  <si>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</si>
  <si>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</si>
  <si>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</si>
  <si>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</si>
  <si>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</si>
  <si>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</si>
  <si>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</si>
  <si>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</si>
  <si>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</si>
  <si>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</si>
  <si>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</si>
  <si>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</si>
  <si>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</si>
  <si>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</si>
  <si>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</si>
  <si>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</si>
  <si>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</si>
  <si>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</si>
  <si>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</si>
  <si>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</si>
  <si>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</si>
  <si>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</si>
  <si>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</si>
  <si>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</si>
  <si>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</si>
  <si>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</si>
  <si>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</si>
  <si>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</si>
  <si>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</si>
  <si>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</si>
  <si>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</si>
  <si>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</si>
  <si>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</si>
  <si>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</si>
  <si>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</si>
  <si>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</si>
  <si>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</si>
  <si>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</si>
  <si>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</si>
  <si>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</si>
  <si>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</si>
  <si>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</si>
  <si>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</si>
  <si>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</si>
  <si>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</si>
  <si>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</si>
  <si>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</si>
  <si>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</si>
  <si>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</si>
  <si>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</si>
  <si>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</si>
  <si>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</si>
  <si>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</si>
  <si>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</si>
  <si>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</si>
  <si>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</si>
  <si>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</si>
  <si>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</si>
  <si>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</si>
  <si>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</si>
  <si>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</si>
  <si>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</si>
  <si>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</si>
  <si>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</si>
  <si>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</si>
  <si>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</si>
  <si>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</si>
  <si>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</si>
  <si>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</si>
  <si>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</si>
  <si>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</si>
  <si>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</si>
  <si>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</si>
  <si>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</si>
  <si>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</si>
  <si>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</si>
  <si>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</si>
  <si>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</si>
  <si>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</si>
  <si>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</si>
  <si>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</si>
  <si>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</si>
  <si>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</si>
  <si>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</si>
  <si>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</si>
  <si>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</si>
  <si>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</si>
  <si>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</si>
  <si>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</si>
  <si>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</si>
  <si>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</si>
  <si>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</si>
  <si>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</si>
  <si>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</si>
  <si>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</si>
  <si>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</si>
  <si>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</si>
  <si>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</si>
  <si>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</si>
  <si>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</si>
  <si>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</si>
  <si>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</si>
  <si>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</si>
  <si>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</si>
  <si>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</si>
  <si>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</si>
  <si>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</si>
  <si>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</si>
  <si>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</si>
  <si>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</si>
  <si>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</si>
  <si>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</si>
  <si>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</si>
  <si>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</si>
  <si>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</si>
  <si>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</si>
  <si>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</si>
  <si>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</si>
  <si>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</si>
  <si>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</si>
  <si>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</si>
  <si>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</si>
  <si>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</si>
  <si>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</si>
  <si>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</si>
  <si>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</si>
  <si>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</si>
  <si>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</si>
  <si>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</si>
  <si>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</si>
  <si>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</si>
  <si>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</si>
  <si>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</si>
  <si>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</si>
  <si>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</si>
  <si>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</si>
  <si>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</si>
  <si>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</si>
  <si>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</si>
  <si>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</si>
  <si>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</si>
  <si>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</si>
  <si>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</si>
  <si>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</si>
  <si>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</si>
  <si>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</si>
  <si>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</si>
  <si>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</si>
  <si>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</si>
  <si>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</si>
  <si>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</si>
  <si>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</si>
  <si>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</si>
  <si>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</si>
  <si>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</si>
  <si>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</si>
  <si>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</si>
  <si>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</si>
  <si>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</si>
  <si>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</si>
  <si>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</si>
  <si>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</si>
  <si>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</si>
  <si>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</si>
  <si>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</si>
  <si>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</si>
  <si>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</si>
  <si>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</si>
  <si>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</si>
  <si>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</si>
  <si>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</si>
  <si>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</si>
  <si>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</si>
  <si>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</si>
  <si>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</si>
  <si>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</si>
  <si>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</si>
  <si>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</si>
  <si>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</si>
  <si>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</si>
  <si>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</si>
  <si>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</si>
  <si>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</si>
  <si>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</si>
  <si>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</si>
  <si>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</si>
  <si>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</si>
  <si>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</si>
  <si>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</si>
  <si>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</si>
  <si>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</si>
  <si>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</si>
  <si>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</si>
  <si>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</si>
  <si>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</si>
  <si>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</si>
  <si>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</si>
  <si>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</si>
  <si>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</si>
  <si>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</si>
  <si>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</si>
  <si>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</si>
  <si>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</si>
  <si>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</si>
  <si>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</si>
  <si>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</si>
  <si>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</si>
  <si>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</si>
  <si>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</si>
  <si>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</si>
  <si>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</si>
  <si>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</si>
  <si>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</si>
  <si>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</si>
  <si>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</si>
  <si>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</si>
  <si>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</si>
  <si>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</si>
  <si>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</si>
  <si>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</si>
  <si>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</si>
  <si>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</si>
  <si>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</si>
  <si>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</si>
  <si>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</si>
  <si>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</si>
  <si>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</si>
  <si>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</si>
  <si>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</si>
  <si>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</si>
  <si>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</si>
  <si>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</si>
  <si>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</si>
  <si>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</si>
  <si>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</si>
  <si>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</si>
  <si>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</si>
  <si>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</si>
  <si>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</si>
  <si>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</si>
  <si>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</si>
  <si>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</si>
  <si>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</si>
  <si>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</si>
  <si>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</si>
  <si>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</si>
  <si>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</si>
  <si>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</si>
  <si>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</si>
  <si>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</si>
  <si>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</si>
  <si>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</si>
  <si>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</si>
  <si>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</si>
  <si>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</si>
  <si>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</si>
  <si>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</si>
  <si>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</si>
  <si>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</si>
  <si>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</si>
  <si>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</si>
  <si>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</si>
  <si>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</si>
  <si>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</si>
  <si>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</si>
  <si>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</si>
  <si>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</si>
  <si>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</si>
  <si>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</si>
  <si>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</si>
  <si>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</si>
  <si>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</si>
  <si>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</si>
  <si>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</si>
  <si>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</si>
  <si>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</si>
  <si>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</si>
  <si>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</si>
  <si>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</si>
  <si>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</si>
  <si>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</si>
  <si>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</si>
  <si>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</si>
  <si>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</si>
  <si>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</si>
  <si>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</si>
  <si>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</si>
  <si>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</si>
  <si>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</si>
  <si>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</si>
  <si>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</si>
  <si>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</si>
  <si>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</si>
  <si>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</si>
  <si>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</si>
  <si>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</si>
  <si>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</si>
  <si>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</si>
  <si>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</si>
  <si>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</si>
  <si>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</si>
  <si>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</si>
  <si>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</si>
  <si>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</si>
  <si>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</si>
  <si>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</si>
  <si>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</si>
  <si>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</si>
  <si>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</si>
  <si>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</si>
  <si>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</si>
  <si>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</si>
  <si>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</si>
  <si>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</si>
  <si>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</si>
  <si>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</si>
  <si>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</si>
  <si>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</si>
  <si>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</si>
  <si>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</si>
  <si>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</si>
  <si>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</si>
  <si>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</si>
  <si>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</si>
  <si>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</si>
  <si>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</si>
  <si>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</si>
  <si>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</si>
  <si>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</si>
  <si>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</si>
  <si>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</si>
  <si>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</si>
  <si>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</si>
  <si>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</si>
  <si>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</si>
  <si>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</si>
  <si>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</si>
  <si>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</si>
  <si>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</si>
  <si>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</si>
  <si>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</si>
  <si>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</si>
  <si>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</si>
  <si>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</si>
  <si>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</si>
  <si>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</si>
  <si>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</si>
  <si>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</si>
  <si>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</si>
  <si>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</si>
  <si>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</si>
  <si>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</si>
  <si>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</si>
  <si>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</si>
  <si>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</si>
  <si>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</si>
  <si>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</si>
  <si>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</si>
  <si>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</si>
  <si>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</si>
  <si>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</si>
  <si>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</si>
  <si>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</si>
  <si>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</si>
  <si>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</si>
  <si>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</si>
  <si>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</si>
  <si>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</si>
  <si>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</si>
  <si>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</si>
  <si>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</si>
  <si>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</si>
  <si>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</si>
  <si>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</si>
  <si>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</si>
  <si>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</si>
  <si>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</si>
  <si>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</si>
  <si>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</si>
  <si>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</si>
  <si>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</si>
  <si>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</si>
  <si>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</si>
  <si>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</si>
  <si>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</si>
  <si>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</si>
  <si>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</si>
  <si>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</si>
  <si>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</si>
  <si>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</si>
  <si>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</si>
  <si>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</si>
  <si>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</si>
  <si>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</si>
  <si>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</si>
  <si>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</si>
  <si>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</si>
  <si>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</si>
  <si>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</si>
  <si>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</si>
  <si>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</si>
  <si>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</si>
  <si>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</si>
  <si>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</si>
  <si>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</si>
  <si>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</si>
  <si>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</si>
  <si>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</si>
  <si>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</si>
  <si>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</si>
  <si>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</si>
  <si>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</si>
  <si>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</si>
  <si>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</si>
  <si>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</si>
  <si>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</si>
  <si>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</si>
  <si>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</si>
  <si>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</si>
  <si>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</si>
  <si>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</si>
  <si>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</si>
  <si>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</si>
  <si>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</si>
  <si>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</si>
  <si>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</si>
  <si>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</si>
  <si>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</si>
  <si>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</si>
  <si>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</si>
  <si>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</si>
  <si>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</si>
  <si>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</si>
  <si>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</si>
  <si>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</si>
  <si>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</si>
  <si>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</si>
  <si>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</si>
  <si>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</si>
  <si>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</si>
  <si>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</si>
  <si>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</si>
  <si>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</si>
  <si>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</si>
  <si>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</si>
  <si>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</si>
  <si>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</si>
  <si>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</si>
  <si>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</si>
  <si>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</si>
  <si>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</si>
  <si>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</si>
  <si>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</si>
  <si>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</si>
  <si>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</si>
  <si>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</si>
  <si>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</si>
  <si>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</si>
  <si>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</si>
  <si>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</si>
  <si>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</si>
  <si>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</si>
  <si>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</si>
  <si>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</si>
  <si>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</si>
  <si>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</si>
  <si>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</si>
  <si>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</si>
  <si>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</si>
  <si>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</si>
  <si>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</si>
  <si>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</si>
  <si>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</si>
  <si>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</si>
  <si>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</si>
  <si>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</si>
  <si>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</si>
  <si>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</si>
  <si>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</si>
  <si>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</si>
  <si>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</si>
  <si>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</si>
  <si>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</si>
  <si>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</si>
  <si>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</si>
  <si>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</si>
  <si>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</si>
  <si>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</si>
  <si>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</si>
  <si>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</si>
  <si>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</si>
  <si>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</si>
  <si>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</si>
  <si>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</si>
  <si>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</si>
  <si>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</si>
  <si>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</si>
  <si>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</si>
  <si>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</si>
  <si>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</si>
  <si>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</si>
  <si>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</si>
  <si>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</si>
  <si>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</si>
  <si>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</si>
  <si>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</si>
  <si>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</si>
  <si>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</si>
  <si>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</si>
  <si>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</si>
  <si>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</si>
  <si>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</si>
  <si>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</si>
  <si>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</si>
  <si>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</si>
  <si>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</si>
  <si>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</si>
  <si>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</si>
  <si>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</si>
  <si>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</si>
  <si>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</si>
  <si>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</si>
  <si>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</si>
  <si>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</si>
  <si>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</si>
  <si>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</si>
  <si>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</si>
  <si>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</si>
  <si>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</si>
  <si>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</si>
  <si>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</si>
  <si>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</si>
  <si>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</si>
  <si>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</si>
  <si>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</si>
  <si>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</si>
  <si>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</si>
  <si>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</si>
  <si>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</si>
  <si>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</si>
  <si>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</si>
  <si>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</si>
  <si>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</si>
  <si>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</si>
  <si>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</si>
  <si>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</si>
  <si>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</si>
  <si>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</si>
  <si>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</si>
  <si>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</si>
  <si>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</si>
  <si>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</si>
  <si>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</si>
  <si>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</si>
  <si>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</si>
  <si>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</si>
  <si>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</si>
  <si>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</si>
  <si>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</si>
  <si>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</si>
  <si>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</si>
  <si>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</si>
  <si>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</si>
  <si>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</si>
  <si>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</si>
  <si>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</si>
  <si>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</si>
  <si>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</si>
  <si>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</si>
  <si>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</si>
  <si>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</si>
  <si>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</si>
  <si>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</si>
  <si>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</si>
  <si>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</si>
  <si>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</si>
  <si>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</si>
  <si>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</si>
  <si>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</si>
  <si>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</si>
  <si>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</si>
  <si>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</si>
  <si>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</si>
  <si>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</si>
  <si>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</si>
  <si>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</si>
  <si>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</si>
  <si>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</si>
  <si>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</si>
  <si>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</si>
  <si>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</si>
  <si>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</si>
  <si>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</si>
  <si>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</si>
  <si>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</si>
  <si>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</si>
  <si>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</si>
  <si>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</si>
  <si>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</si>
  <si>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</si>
  <si>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</si>
  <si>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</si>
  <si>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</si>
  <si>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</si>
  <si>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</si>
  <si>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</si>
  <si>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</si>
  <si>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</si>
  <si>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</si>
  <si>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</si>
  <si>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</si>
  <si>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</si>
  <si>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</si>
  <si>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</si>
  <si>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</si>
  <si>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</si>
  <si>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</si>
  <si>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</si>
  <si>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</si>
  <si>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</si>
  <si>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</si>
  <si>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</si>
  <si>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</si>
  <si>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</si>
  <si>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</si>
  <si>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</si>
  <si>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</si>
  <si>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</si>
  <si>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</si>
  <si>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</si>
  <si>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</si>
  <si>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</si>
  <si>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</si>
  <si>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</si>
  <si>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</si>
  <si>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</si>
  <si>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</si>
  <si>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</si>
  <si>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</si>
  <si>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</si>
  <si>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</si>
  <si>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</si>
  <si>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</si>
  <si>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</si>
  <si>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</si>
  <si>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</si>
  <si>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</si>
  <si>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</si>
  <si>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</si>
  <si>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</si>
  <si>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</si>
  <si>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</si>
  <si>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</si>
  <si>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</si>
  <si>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</si>
  <si>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</si>
  <si>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</si>
  <si>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</si>
  <si>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</si>
  <si>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</si>
  <si>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</si>
  <si>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</si>
  <si>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</si>
  <si>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</si>
  <si>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</si>
  <si>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</si>
  <si>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</si>
  <si>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</si>
  <si>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</si>
  <si>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</si>
  <si>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</si>
  <si>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</si>
  <si>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</si>
  <si>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</si>
  <si>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</si>
  <si>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</si>
  <si>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</si>
  <si>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</si>
  <si>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</si>
  <si>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</si>
  <si>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</si>
  <si>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</si>
  <si>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</si>
  <si>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</si>
  <si>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</si>
  <si>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</si>
  <si>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</si>
  <si>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</si>
  <si>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</si>
  <si>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</si>
  <si>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</si>
  <si>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</si>
  <si>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</si>
  <si>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</si>
  <si>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</si>
  <si>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</si>
  <si>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</si>
  <si>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</si>
  <si>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</si>
  <si>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</si>
  <si>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</si>
  <si>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</si>
  <si>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</si>
  <si>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</si>
  <si>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</si>
  <si>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</si>
  <si>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</si>
  <si>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</si>
  <si>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</si>
  <si>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</si>
  <si>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</si>
  <si>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</si>
  <si>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</si>
  <si>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</si>
  <si>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</si>
  <si>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</si>
  <si>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</si>
  <si>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</si>
  <si>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</si>
  <si>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</si>
  <si>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</si>
  <si>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</si>
  <si>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</si>
  <si>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</si>
  <si>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</si>
  <si>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</si>
  <si>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</si>
  <si>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</si>
  <si>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</si>
  <si>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</si>
  <si>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</si>
  <si>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</si>
  <si>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</si>
  <si>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</si>
  <si>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</si>
  <si>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</si>
  <si>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</si>
  <si>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</si>
  <si>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</si>
  <si>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</si>
  <si>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</si>
  <si>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</si>
  <si>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</si>
  <si>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</si>
  <si>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</si>
  <si>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</si>
  <si>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</si>
  <si>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</si>
  <si>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</si>
  <si>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</si>
  <si>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</si>
  <si>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</si>
  <si>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</si>
  <si>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</si>
  <si>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</si>
  <si>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</si>
  <si>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</si>
  <si>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</si>
  <si>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</si>
  <si>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</si>
  <si>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</si>
  <si>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</si>
  <si>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</si>
  <si>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</si>
  <si>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</si>
  <si>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</si>
  <si>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</si>
  <si>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</si>
  <si>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</si>
  <si>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</si>
  <si>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</si>
  <si>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</si>
  <si>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</si>
  <si>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</si>
  <si>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</si>
  <si>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</si>
  <si>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</si>
  <si>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</si>
  <si>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</si>
  <si>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</si>
  <si>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</si>
  <si>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</si>
  <si>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</si>
  <si>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</si>
  <si>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</si>
  <si>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</si>
  <si>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</si>
  <si>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</si>
  <si>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</si>
  <si>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</si>
  <si>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</si>
  <si>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</si>
  <si>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</si>
  <si>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</si>
  <si>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</si>
  <si>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</si>
  <si>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</si>
  <si>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</si>
  <si>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</si>
  <si>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</si>
  <si>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</si>
  <si>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</si>
  <si>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</si>
  <si>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</si>
  <si>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</si>
  <si>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</si>
  <si>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</si>
  <si>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</si>
  <si>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</si>
  <si>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</si>
  <si>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</si>
  <si>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</si>
  <si>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</si>
  <si>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</si>
  <si>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</si>
  <si>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</si>
  <si>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</si>
  <si>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</si>
  <si>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</si>
  <si>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</si>
  <si>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</si>
  <si>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</si>
  <si>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</si>
  <si>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</si>
  <si>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</si>
  <si>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</si>
  <si>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</si>
  <si>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</si>
  <si>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</si>
  <si>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</si>
  <si>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</si>
  <si>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</si>
  <si>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</si>
  <si>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</si>
  <si>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</si>
  <si>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</si>
  <si>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</si>
  <si>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</si>
  <si>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</si>
  <si>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</si>
  <si>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</si>
  <si>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</si>
  <si>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</si>
  <si>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</si>
  <si>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</si>
  <si>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</si>
  <si>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</si>
  <si>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</si>
  <si>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</si>
  <si>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</si>
  <si>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</si>
  <si>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</si>
  <si>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</si>
  <si>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</si>
  <si>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</si>
  <si>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</si>
  <si>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</si>
  <si>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</si>
  <si>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</si>
  <si>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</si>
  <si>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</si>
  <si>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</si>
  <si>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</si>
  <si>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</si>
  <si>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</si>
  <si>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</si>
  <si>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</si>
  <si>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</si>
  <si>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</si>
  <si>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</si>
  <si>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</si>
  <si>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</si>
  <si>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</si>
  <si>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</si>
  <si>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</si>
  <si>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</si>
  <si>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</si>
  <si>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</si>
  <si>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</si>
  <si>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</si>
  <si>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</si>
  <si>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</si>
  <si>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</si>
  <si>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</si>
  <si>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</si>
  <si>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</si>
  <si>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</si>
  <si>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</si>
  <si>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</si>
  <si>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</si>
  <si>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</si>
  <si>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</si>
  <si>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</si>
  <si>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</si>
  <si>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</si>
  <si>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</si>
  <si>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</si>
  <si>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</si>
  <si>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</si>
  <si>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</si>
  <si>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</si>
  <si>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</si>
  <si>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</si>
  <si>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</si>
  <si>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</si>
  <si>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</si>
  <si>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</si>
  <si>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</si>
  <si>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</si>
  <si>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</si>
  <si>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</si>
  <si>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</si>
  <si>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</si>
  <si>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</si>
  <si>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</si>
  <si>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</si>
  <si>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</si>
  <si>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</si>
  <si>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</si>
  <si>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</si>
  <si>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</si>
  <si>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</si>
  <si>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</si>
  <si>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</si>
  <si>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</si>
  <si>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</si>
  <si>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</si>
  <si>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</si>
  <si>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</si>
  <si>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</si>
  <si>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</si>
  <si>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</si>
  <si>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</si>
  <si>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</si>
  <si>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</si>
  <si>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</si>
  <si>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</si>
  <si>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</si>
  <si>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</si>
  <si>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</si>
  <si>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</si>
  <si>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</si>
  <si>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</si>
  <si>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</si>
  <si>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</si>
  <si>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</si>
  <si>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</si>
  <si>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</si>
  <si>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</si>
  <si>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</si>
  <si>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</si>
  <si>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</si>
  <si>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</si>
  <si>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</si>
  <si>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</si>
  <si>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</si>
  <si>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</si>
  <si>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</si>
  <si>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</si>
  <si>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</si>
  <si>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</si>
  <si>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</si>
  <si>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</si>
  <si>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</si>
  <si>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</si>
  <si>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</si>
  <si>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</si>
  <si>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</si>
  <si>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</si>
  <si>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</si>
  <si>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</si>
  <si>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</si>
  <si>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</si>
  <si>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</si>
  <si>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</si>
  <si>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</si>
  <si>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</si>
  <si>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</si>
  <si>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</si>
  <si>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</si>
  <si>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</si>
  <si>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</si>
  <si>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</si>
  <si>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</si>
  <si>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</si>
  <si>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</si>
  <si>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</si>
  <si>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</si>
  <si>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</si>
  <si>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</si>
  <si>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</si>
  <si>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</si>
  <si>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</si>
  <si>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</si>
  <si>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</si>
  <si>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</si>
  <si>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</si>
  <si>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</si>
  <si>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</si>
  <si>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</si>
  <si>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</si>
  <si>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</si>
  <si>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</si>
  <si>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</si>
  <si>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</si>
  <si>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</si>
  <si>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</si>
  <si>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</si>
  <si>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</si>
  <si>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</si>
  <si>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</si>
  <si>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</si>
  <si>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</si>
  <si>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</si>
  <si>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</si>
  <si>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</si>
  <si>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</si>
  <si>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</si>
  <si>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</si>
  <si>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</si>
  <si>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</si>
  <si>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</si>
  <si>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</si>
  <si>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</si>
  <si>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</si>
  <si>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</si>
  <si>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</si>
  <si>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</si>
  <si>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</si>
  <si>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</si>
  <si>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</si>
  <si>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</si>
  <si>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</si>
  <si>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</si>
  <si>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</si>
  <si>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</si>
  <si>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</si>
  <si>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</si>
  <si>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</si>
  <si>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</si>
  <si>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</si>
  <si>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</si>
  <si>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</si>
  <si>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</si>
  <si>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</si>
  <si>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</si>
  <si>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</si>
  <si>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</si>
  <si>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</si>
  <si>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</si>
  <si>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</si>
  <si>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</si>
  <si>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</si>
  <si>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</si>
  <si>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</si>
  <si>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</si>
  <si>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</si>
  <si>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</si>
  <si>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</si>
  <si>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</si>
  <si>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</si>
  <si>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</si>
  <si>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</si>
  <si>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</si>
  <si>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</si>
  <si>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</si>
  <si>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</si>
  <si>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</si>
  <si>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</si>
  <si>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</si>
  <si>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</si>
  <si>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</si>
  <si>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</si>
  <si>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</si>
  <si>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</si>
  <si>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</si>
  <si>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</si>
  <si>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</si>
  <si>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</si>
  <si>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</si>
  <si>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</si>
  <si>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</si>
  <si>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</si>
  <si>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</si>
  <si>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</si>
  <si>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</si>
  <si>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</si>
  <si>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</si>
  <si>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</si>
  <si>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</si>
  <si>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</si>
  <si>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</si>
  <si>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</si>
  <si>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</si>
  <si>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</si>
  <si>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</si>
  <si>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</si>
  <si>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</si>
  <si>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</si>
  <si>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</si>
  <si>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</si>
  <si>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</si>
  <si>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</si>
  <si>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</si>
  <si>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</si>
  <si>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</si>
  <si>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</si>
  <si>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</si>
  <si>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</si>
  <si>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</si>
  <si>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</si>
  <si>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</si>
  <si>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</si>
  <si>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</si>
  <si>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</si>
  <si>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</si>
  <si>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</si>
  <si>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</si>
  <si>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</si>
  <si>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</si>
  <si>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</si>
  <si>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</si>
  <si>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</si>
  <si>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</si>
  <si>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</si>
  <si>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</si>
  <si>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</si>
  <si>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</si>
  <si>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</si>
  <si>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</si>
  <si>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</si>
  <si>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</si>
  <si>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</si>
  <si>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</si>
  <si>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</si>
  <si>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</si>
  <si>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</si>
  <si>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</si>
  <si>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</si>
  <si>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</si>
  <si>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</si>
  <si>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</si>
  <si>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</si>
  <si>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</si>
  <si>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</si>
  <si>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</si>
  <si>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</si>
  <si>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</si>
  <si>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</si>
  <si>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</si>
  <si>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</si>
  <si>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</si>
  <si>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</si>
  <si>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</si>
  <si>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</si>
  <si>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</si>
  <si>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</si>
  <si>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</si>
  <si>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</si>
  <si>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</si>
  <si>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</si>
  <si>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</si>
  <si>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</si>
  <si>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</si>
  <si>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</si>
  <si>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</si>
  <si>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</si>
  <si>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</si>
  <si>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</si>
  <si>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</si>
  <si>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</si>
  <si>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</si>
  <si>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</si>
  <si>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</si>
  <si>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</si>
  <si>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</si>
  <si>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</si>
  <si>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</si>
  <si>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</si>
  <si>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</si>
  <si>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</si>
  <si>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</si>
  <si>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</si>
  <si>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</si>
  <si>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</si>
  <si>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</si>
  <si>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</si>
  <si>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</si>
  <si>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</si>
  <si>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</si>
  <si>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</si>
  <si>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</si>
  <si>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</si>
  <si>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</si>
  <si>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</si>
  <si>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</si>
  <si>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</si>
  <si>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</si>
  <si>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</si>
  <si>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</si>
  <si>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</si>
  <si>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</si>
  <si>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</si>
  <si>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</si>
  <si>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</si>
  <si>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</si>
  <si>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</si>
  <si>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</si>
  <si>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</si>
  <si>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</si>
  <si>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</si>
  <si>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</si>
  <si>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</si>
  <si>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</si>
  <si>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</si>
  <si>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</si>
  <si>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</si>
  <si>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</si>
  <si>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</si>
  <si>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</si>
  <si>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</si>
  <si>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</si>
  <si>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</si>
  <si>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</si>
  <si>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</si>
  <si>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</si>
  <si>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</si>
  <si>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</si>
  <si>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</si>
  <si>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</si>
  <si>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</si>
  <si>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</si>
  <si>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</si>
  <si>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</si>
  <si>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</si>
  <si>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</si>
  <si>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</si>
  <si>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</si>
  <si>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</si>
  <si>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</si>
  <si>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</si>
  <si>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</si>
  <si>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</si>
  <si>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</si>
  <si>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</si>
  <si>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</si>
  <si>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</si>
  <si>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</si>
  <si>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</si>
  <si>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</si>
  <si>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</si>
  <si>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</si>
  <si>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</si>
  <si>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</si>
  <si>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</si>
  <si>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</si>
  <si>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</si>
  <si>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</si>
  <si>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</si>
  <si>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</si>
  <si>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</si>
  <si>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</si>
  <si>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</si>
  <si>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</si>
  <si>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</si>
  <si>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</si>
  <si>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</si>
  <si>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</si>
  <si>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</si>
  <si>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</si>
  <si>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</si>
  <si>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</si>
  <si>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</si>
  <si>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</si>
  <si>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</si>
  <si>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</si>
  <si>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</si>
  <si>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</si>
  <si>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</si>
  <si>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</si>
  <si>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</si>
  <si>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</si>
  <si>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</si>
  <si>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</si>
  <si>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</si>
  <si>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</si>
  <si>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</si>
  <si>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</si>
  <si>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</si>
  <si>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</si>
  <si>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</si>
  <si>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</si>
  <si>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</si>
  <si>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</si>
  <si>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</si>
  <si>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</si>
  <si>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</si>
  <si>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</si>
  <si>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</si>
  <si>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</si>
  <si>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</si>
  <si>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</si>
  <si>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</si>
  <si>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</si>
  <si>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</si>
  <si>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</si>
  <si>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</si>
  <si>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</si>
  <si>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</si>
  <si>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</si>
  <si>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</si>
  <si>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</si>
  <si>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</si>
  <si>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</si>
  <si>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</si>
  <si>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</si>
  <si>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</si>
  <si>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</si>
  <si>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</si>
  <si>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</si>
  <si>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</si>
  <si>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</si>
  <si>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</si>
  <si>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</si>
  <si>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</si>
  <si>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</si>
  <si>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</si>
  <si>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</si>
  <si>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</si>
  <si>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</si>
  <si>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</si>
  <si>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</si>
  <si>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</si>
  <si>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</si>
  <si>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</si>
  <si>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</si>
  <si>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</si>
  <si>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</si>
  <si>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</si>
  <si>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</si>
  <si>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</si>
  <si>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</si>
  <si>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</si>
  <si>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</si>
  <si>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</si>
  <si>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</si>
  <si>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</si>
  <si>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</si>
  <si>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</si>
  <si>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</si>
  <si>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</si>
  <si>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</si>
  <si>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</si>
  <si>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</si>
  <si>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</si>
  <si>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</si>
  <si>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</si>
  <si>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</si>
  <si>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</si>
  <si>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</si>
  <si>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</si>
  <si>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</si>
  <si>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</si>
  <si>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</si>
  <si>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</si>
  <si>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</si>
  <si>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</si>
  <si>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</si>
  <si>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</si>
  <si>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</si>
  <si>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</si>
  <si>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</si>
  <si>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</si>
  <si>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</si>
  <si>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</si>
  <si>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</si>
  <si>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</si>
  <si>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</si>
  <si>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</si>
  <si>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</si>
  <si>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</si>
  <si>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</si>
  <si>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</si>
  <si>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</si>
  <si>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</si>
  <si>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</si>
  <si>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</si>
  <si>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</si>
  <si>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</si>
  <si>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</si>
  <si>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</si>
  <si>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</si>
  <si>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</si>
  <si>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</si>
  <si>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</si>
  <si>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</si>
  <si>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</si>
  <si>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</si>
  <si>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</si>
  <si>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</si>
  <si>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</si>
  <si>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</si>
  <si>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</si>
  <si>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</si>
  <si>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</si>
  <si>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</si>
  <si>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</si>
  <si>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</si>
  <si>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</si>
  <si>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</si>
  <si>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</si>
  <si>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</si>
  <si>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</si>
  <si>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</si>
  <si>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</si>
  <si>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</si>
  <si>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</si>
  <si>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</si>
  <si>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</si>
  <si>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</si>
  <si>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</si>
  <si>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</si>
  <si>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</si>
  <si>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</si>
  <si>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</si>
  <si>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</si>
  <si>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</si>
  <si>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</si>
  <si>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</si>
  <si>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</si>
  <si>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</si>
  <si>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</si>
  <si>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</si>
  <si>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</si>
  <si>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</si>
  <si>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</si>
  <si>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</si>
  <si>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</si>
  <si>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</si>
  <si>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</si>
  <si>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</si>
  <si>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</si>
  <si>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</si>
  <si>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</si>
  <si>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</si>
  <si>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</si>
  <si>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</si>
  <si>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</si>
  <si>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</si>
  <si>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</si>
  <si>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</si>
  <si>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</si>
  <si>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</si>
  <si>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</si>
  <si>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</si>
  <si>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</si>
  <si>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</si>
  <si>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</si>
  <si>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</si>
  <si>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</si>
  <si>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</si>
  <si>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</si>
  <si>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</si>
  <si>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</si>
  <si>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</si>
  <si>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</si>
  <si>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</si>
  <si>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</si>
  <si>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</si>
  <si>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</si>
  <si>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</si>
  <si>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</si>
  <si>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</si>
  <si>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</si>
  <si>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</si>
  <si>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</si>
  <si>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</si>
  <si>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</si>
  <si>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</si>
  <si>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</si>
  <si>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</si>
  <si>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</si>
  <si>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</si>
  <si>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</si>
  <si>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</si>
  <si>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</si>
  <si>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</si>
  <si>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</si>
  <si>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</si>
  <si>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</si>
  <si>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</si>
  <si>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</si>
  <si>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</si>
  <si>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</si>
  <si>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</si>
  <si>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</si>
  <si>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</si>
  <si>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</si>
  <si>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</si>
  <si>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</si>
  <si>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</si>
  <si>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</si>
  <si>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</si>
  <si>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</si>
  <si>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</si>
  <si>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</si>
  <si>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</si>
  <si>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</si>
  <si>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</si>
  <si>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</si>
  <si>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</si>
  <si>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</si>
  <si>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</si>
  <si>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</si>
  <si>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</si>
  <si>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</si>
  <si>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</si>
  <si>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</si>
  <si>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</si>
  <si>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</si>
  <si>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</si>
  <si>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</si>
  <si>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</si>
  <si>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</si>
  <si>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</si>
  <si>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</si>
  <si>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</si>
  <si>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</si>
  <si>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</si>
  <si>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</si>
  <si>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</si>
  <si>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</si>
  <si>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</si>
  <si>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</si>
  <si>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</si>
  <si>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</si>
  <si>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</si>
  <si>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</si>
  <si>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</si>
  <si>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</si>
  <si>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</si>
  <si>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</si>
  <si>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</si>
  <si>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</si>
  <si>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</si>
  <si>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</si>
  <si>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</si>
  <si>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</si>
  <si>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</si>
  <si>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</si>
  <si>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</si>
  <si>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</si>
  <si>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</si>
  <si>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</si>
  <si>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</si>
  <si>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</si>
  <si>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</si>
  <si>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</si>
  <si>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</si>
  <si>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</si>
  <si>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</si>
  <si>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</si>
  <si>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</si>
  <si>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</si>
  <si>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</si>
  <si>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</si>
  <si>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</si>
  <si>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</si>
  <si>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</si>
  <si>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</si>
  <si>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</si>
  <si>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</si>
  <si>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</si>
  <si>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</si>
  <si>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</si>
  <si>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</si>
  <si>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</si>
  <si>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</si>
  <si>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</si>
  <si>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</si>
  <si>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</si>
  <si>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</si>
  <si>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</si>
  <si>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</si>
  <si>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</si>
  <si>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</si>
  <si>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</si>
  <si>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</si>
  <si>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</si>
  <si>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</si>
  <si>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</si>
  <si>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</si>
  <si>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</si>
  <si>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</si>
  <si>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</si>
  <si>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</si>
  <si>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</si>
  <si>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</si>
  <si>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</si>
  <si>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</si>
  <si>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</si>
  <si>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</si>
  <si>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</si>
  <si>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</si>
  <si>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</si>
  <si>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</si>
  <si>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</si>
  <si>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</si>
  <si>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</si>
  <si>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</si>
  <si>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</si>
  <si>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</si>
  <si>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</si>
  <si>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</si>
  <si>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</si>
  <si>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</si>
  <si>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</si>
  <si>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</si>
  <si>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</si>
  <si>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</si>
  <si>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</si>
  <si>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</si>
  <si>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</si>
  <si>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</si>
  <si>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</si>
  <si>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</si>
  <si>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</si>
  <si>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</si>
  <si>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</si>
  <si>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</si>
  <si>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</si>
  <si>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</si>
  <si>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</si>
  <si>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</si>
  <si>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</si>
  <si>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</si>
  <si>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</si>
  <si>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</si>
  <si>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</si>
  <si>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</si>
  <si>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</si>
  <si>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</si>
  <si>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</si>
  <si>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</si>
  <si>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</si>
  <si>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</si>
  <si>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</si>
  <si>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</si>
  <si>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</si>
  <si>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</si>
  <si>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</si>
  <si>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</si>
  <si>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</si>
  <si>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</si>
  <si>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</si>
  <si>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</si>
  <si>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</si>
  <si>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</si>
  <si>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</si>
  <si>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</si>
  <si>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</si>
  <si>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</si>
  <si>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</si>
  <si>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</si>
  <si>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</si>
  <si>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</si>
  <si>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</si>
  <si>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</si>
  <si>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</si>
  <si>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</si>
  <si>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</si>
  <si>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</si>
  <si>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</si>
  <si>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</si>
  <si>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</si>
  <si>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</si>
  <si>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</si>
  <si>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</si>
  <si>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</si>
  <si>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</si>
  <si>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</si>
  <si>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</si>
  <si>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</si>
  <si>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</si>
  <si>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</si>
  <si>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</si>
  <si>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</si>
  <si>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</si>
  <si>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</si>
  <si>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</si>
  <si>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</si>
  <si>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</si>
  <si>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</si>
  <si>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</si>
  <si>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</si>
  <si>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</si>
  <si>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</si>
  <si>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</si>
  <si>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</si>
  <si>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</si>
  <si>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</si>
  <si>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</si>
  <si>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</si>
  <si>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</si>
  <si>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</si>
  <si>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</si>
  <si>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</si>
  <si>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</si>
  <si>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</si>
  <si>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</si>
  <si>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</si>
  <si>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</si>
  <si>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</si>
  <si>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</si>
  <si>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</si>
  <si>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</si>
  <si>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</si>
  <si>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</si>
  <si>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</si>
  <si>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</si>
  <si>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</si>
  <si>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</si>
  <si>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</si>
  <si>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</si>
  <si>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</si>
  <si>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</si>
  <si>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</si>
  <si>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</si>
  <si>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</si>
  <si>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</si>
  <si>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</si>
  <si>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</si>
  <si>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</si>
  <si>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</si>
  <si>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</si>
  <si>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</si>
  <si>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</si>
  <si>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</si>
  <si>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</si>
  <si>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</si>
  <si>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</si>
  <si>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</si>
  <si>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</si>
  <si>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</si>
  <si>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</si>
  <si>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</si>
  <si>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</si>
  <si>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</si>
  <si>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</si>
  <si>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</si>
  <si>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</si>
  <si>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</si>
  <si>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</si>
  <si>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</si>
  <si>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</si>
  <si>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</si>
  <si>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</si>
  <si>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</si>
  <si>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</si>
  <si>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</si>
  <si>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</si>
  <si>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</si>
  <si>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</si>
  <si>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</si>
  <si>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</si>
  <si>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</si>
  <si>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</si>
  <si>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</si>
  <si>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</si>
  <si>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</si>
  <si>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</si>
  <si>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</si>
  <si>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</si>
  <si>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</si>
  <si>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</si>
  <si>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</si>
  <si>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</si>
  <si>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</si>
  <si>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</si>
  <si>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</si>
  <si>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</si>
  <si>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</si>
  <si>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</si>
  <si>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</si>
  <si>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</si>
  <si>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</si>
  <si>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</si>
  <si>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</si>
  <si>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</si>
  <si>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</si>
  <si>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</si>
  <si>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</si>
  <si>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</si>
  <si>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</si>
  <si>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</si>
  <si>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</si>
  <si>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</si>
  <si>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</si>
  <si>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</si>
  <si>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</si>
  <si>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</si>
  <si>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</si>
  <si>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</si>
  <si>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</si>
  <si>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</si>
  <si>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</si>
  <si>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</si>
  <si>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</si>
  <si>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</si>
  <si>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</si>
  <si>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</si>
  <si>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</si>
  <si>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</si>
  <si>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</si>
  <si>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</si>
  <si>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</si>
  <si>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</si>
  <si>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</si>
  <si>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</si>
  <si>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</si>
  <si>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</si>
  <si>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</si>
  <si>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</si>
  <si>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</si>
  <si>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</si>
  <si>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</si>
  <si>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</si>
  <si>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</si>
  <si>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</si>
  <si>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</si>
  <si>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</si>
  <si>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</si>
  <si>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</si>
  <si>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</si>
  <si>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</si>
  <si>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</si>
  <si>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</si>
  <si>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</si>
  <si>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</si>
  <si>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</si>
  <si>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</si>
  <si>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</si>
  <si>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</si>
  <si>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</si>
  <si>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</si>
  <si>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</si>
  <si>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</si>
  <si>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</si>
  <si>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</si>
  <si>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</si>
  <si>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</si>
  <si>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</si>
  <si>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</si>
  <si>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</si>
  <si>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</si>
  <si>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</si>
  <si>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</si>
  <si>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</si>
  <si>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</si>
  <si>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</si>
  <si>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</si>
  <si>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</si>
  <si>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</si>
  <si>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</si>
  <si>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</si>
  <si>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</si>
  <si>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</si>
  <si>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</si>
  <si>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</si>
  <si>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</si>
  <si>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</si>
  <si>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</si>
  <si>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</si>
  <si>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</si>
  <si>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</si>
  <si>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</si>
  <si>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</si>
  <si>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</si>
  <si>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</si>
  <si>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</si>
  <si>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</si>
  <si>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</si>
  <si>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</si>
  <si>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</si>
  <si>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</si>
  <si>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</si>
  <si>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</si>
  <si>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</si>
  <si>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</si>
  <si>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</si>
  <si>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</si>
  <si>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</si>
  <si>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</si>
  <si>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</si>
  <si>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</si>
  <si>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</si>
  <si>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</si>
  <si>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</si>
  <si>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</si>
  <si>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</si>
  <si>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</si>
  <si>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</si>
  <si>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</si>
  <si>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</si>
  <si>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</si>
  <si>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</si>
  <si>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</si>
  <si>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</si>
  <si>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</si>
  <si>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</si>
  <si>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</si>
  <si>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</si>
  <si>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</si>
  <si>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</si>
  <si>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</si>
  <si>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</si>
  <si>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</si>
  <si>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</si>
  <si>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</si>
  <si>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</si>
  <si>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</si>
  <si>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</si>
  <si>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</si>
  <si>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</si>
  <si>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</si>
  <si>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</si>
  <si>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</si>
  <si>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</si>
  <si>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</si>
  <si>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</si>
  <si>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</si>
  <si>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</si>
  <si>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</si>
  <si>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</si>
  <si>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</si>
  <si>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</si>
  <si>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</si>
  <si>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</si>
  <si>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</si>
  <si>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</si>
  <si>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</si>
  <si>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</si>
  <si>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</si>
  <si>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</si>
  <si>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</si>
  <si>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</si>
  <si>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</si>
  <si>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</si>
  <si>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</si>
  <si>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</si>
  <si>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</si>
  <si>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</si>
  <si>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</si>
  <si>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</si>
  <si>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</si>
  <si>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</si>
  <si>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</si>
  <si>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</si>
  <si>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</si>
  <si>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</si>
  <si>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</si>
  <si>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</si>
  <si>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</si>
  <si>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</si>
  <si>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</si>
  <si>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</si>
  <si>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</si>
  <si>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</si>
  <si>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</si>
  <si>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</si>
  <si>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</si>
  <si>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</si>
  <si>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</si>
  <si>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</si>
  <si>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</si>
  <si>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</si>
  <si>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</si>
  <si>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</si>
  <si>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</si>
  <si>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</si>
  <si>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</si>
  <si>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</si>
  <si>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</si>
  <si>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</si>
  <si>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</si>
  <si>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</si>
  <si>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</si>
  <si>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</si>
  <si>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</si>
  <si>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</si>
  <si>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</si>
  <si>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</si>
  <si>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</si>
  <si>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</si>
  <si>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</si>
  <si>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</si>
  <si>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</si>
  <si>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</si>
  <si>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</si>
  <si>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</si>
  <si>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</si>
  <si>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</si>
  <si>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</si>
  <si>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</si>
  <si>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</si>
  <si>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</si>
  <si>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</si>
  <si>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</si>
  <si>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</si>
  <si>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</si>
  <si>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</si>
  <si>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</si>
  <si>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</si>
  <si>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</si>
  <si>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</si>
  <si>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</si>
  <si>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</si>
  <si>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</si>
  <si>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</si>
  <si>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</si>
  <si>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</si>
  <si>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</si>
  <si>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</si>
  <si>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</si>
  <si>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</si>
  <si>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</si>
  <si>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</si>
  <si>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</si>
  <si>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</si>
  <si>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</si>
  <si>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</si>
  <si>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</si>
  <si>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</si>
  <si>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</si>
  <si>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</si>
  <si>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</si>
  <si>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</si>
  <si>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</si>
  <si>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</si>
  <si>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</si>
  <si>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</si>
  <si>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</si>
  <si>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</si>
  <si>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</si>
  <si>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</si>
  <si>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</si>
  <si>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</si>
  <si>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</si>
  <si>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</si>
  <si>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</si>
  <si>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</si>
  <si>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</si>
  <si>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</si>
  <si>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</si>
  <si>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</si>
  <si>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</si>
  <si>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</si>
  <si>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</si>
  <si>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</si>
  <si>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</si>
  <si>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</si>
  <si>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</si>
  <si>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</si>
  <si>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</si>
  <si>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</si>
  <si>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</si>
  <si>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</si>
  <si>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</si>
  <si>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</si>
  <si>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</si>
  <si>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</si>
  <si>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</si>
  <si>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</si>
  <si>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</si>
  <si>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</si>
  <si>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</si>
  <si>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</si>
  <si>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</si>
  <si>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</si>
  <si>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</si>
  <si>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</si>
  <si>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</si>
  <si>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</si>
  <si>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</si>
  <si>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</si>
  <si>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</si>
  <si>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</si>
  <si>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</si>
  <si>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</si>
  <si>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</si>
  <si>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</si>
  <si>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</si>
  <si>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</si>
  <si>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</si>
  <si>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</si>
  <si>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</si>
  <si>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</si>
  <si>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</si>
  <si>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</si>
  <si>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</si>
  <si>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</si>
  <si>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</si>
  <si>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</si>
  <si>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</si>
  <si>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</si>
  <si>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</si>
  <si>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</si>
  <si>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</si>
  <si>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</si>
  <si>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</si>
  <si>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</si>
  <si>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</si>
  <si>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</si>
  <si>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</si>
  <si>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</si>
  <si>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</si>
  <si>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</si>
  <si>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</si>
  <si>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</si>
  <si>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</si>
  <si>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</si>
  <si>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</si>
  <si>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</si>
  <si>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</si>
  <si>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</si>
  <si>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</si>
  <si>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</si>
  <si>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</si>
  <si>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</si>
  <si>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</si>
  <si>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</si>
  <si>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</si>
  <si>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</si>
  <si>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</si>
  <si>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</si>
  <si>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</si>
  <si>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</si>
  <si>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</si>
  <si>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</si>
  <si>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</si>
  <si>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</si>
  <si>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</si>
  <si>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</si>
  <si>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</si>
  <si>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</si>
  <si>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</si>
  <si>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</si>
  <si>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</si>
  <si>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</si>
  <si>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</si>
  <si>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</si>
  <si>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</si>
  <si>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</si>
  <si>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</si>
  <si>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</si>
  <si>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</si>
  <si>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</si>
  <si>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</si>
  <si>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</si>
  <si>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</si>
  <si>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</si>
  <si>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</si>
  <si>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</si>
  <si>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</si>
  <si>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</si>
  <si>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</si>
  <si>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</si>
  <si>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</si>
  <si>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</si>
  <si>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</si>
  <si>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</si>
  <si>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</si>
  <si>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</si>
  <si>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</si>
  <si>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</si>
  <si>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</si>
  <si>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</si>
  <si>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</si>
  <si>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</si>
  <si>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</si>
  <si>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</si>
  <si>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</si>
  <si>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</si>
  <si>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</si>
  <si>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</si>
  <si>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</si>
  <si>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</si>
  <si>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</si>
  <si>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</si>
  <si>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</si>
  <si>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</si>
  <si>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</si>
  <si>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</si>
  <si>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</si>
  <si>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</si>
  <si>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</si>
  <si>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</si>
  <si>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</si>
  <si>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</si>
  <si>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</si>
  <si>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</si>
  <si>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</si>
  <si>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</si>
  <si>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</si>
  <si>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</si>
  <si>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</si>
  <si>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</si>
  <si>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</si>
  <si>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</si>
  <si>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</si>
  <si>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</si>
  <si>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</si>
  <si>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</si>
  <si>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</si>
  <si>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</si>
  <si>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</si>
  <si>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</si>
  <si>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</si>
  <si>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</si>
  <si>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</si>
  <si>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</si>
  <si>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</si>
  <si>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</si>
  <si>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</si>
  <si>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</si>
  <si>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</si>
  <si>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</si>
  <si>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</si>
  <si>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</si>
  <si>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</si>
  <si>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</si>
  <si>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</si>
  <si>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</si>
  <si>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</si>
  <si>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</si>
  <si>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</si>
  <si>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</si>
  <si>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</si>
  <si>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</si>
  <si>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</si>
  <si>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</si>
  <si>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</si>
  <si>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</si>
  <si>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</si>
  <si>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</si>
  <si>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</si>
  <si>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</si>
  <si>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</si>
  <si>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</si>
  <si>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</si>
  <si>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</si>
  <si>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</si>
  <si>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</si>
  <si>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</si>
  <si>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</si>
  <si>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</si>
  <si>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</si>
  <si>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</si>
  <si>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</si>
  <si>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</si>
  <si>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</si>
  <si>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</si>
  <si>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</si>
  <si>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</si>
  <si>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</si>
  <si>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</si>
  <si>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</si>
  <si>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</si>
  <si>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</si>
  <si>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</si>
  <si>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</si>
  <si>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</si>
  <si>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</si>
  <si>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</si>
  <si>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</si>
  <si>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</si>
  <si>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</si>
  <si>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</si>
  <si>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</si>
  <si>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</si>
  <si>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</si>
  <si>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</si>
  <si>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</si>
  <si>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</si>
  <si>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</si>
  <si>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</si>
  <si>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</si>
  <si>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</si>
  <si>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</si>
  <si>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</si>
  <si>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</si>
  <si>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</si>
  <si>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</si>
  <si>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</si>
  <si>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</si>
  <si>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</si>
  <si>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</si>
  <si>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</si>
  <si>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</si>
  <si>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</si>
  <si>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</si>
  <si>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</si>
  <si>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</si>
  <si>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</si>
  <si>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</si>
  <si>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</si>
  <si>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</si>
  <si>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</si>
  <si>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</si>
  <si>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</si>
  <si>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</si>
  <si>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</si>
  <si>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</si>
  <si>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</si>
  <si>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</si>
  <si>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</si>
  <si>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</si>
  <si>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</si>
  <si>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</si>
  <si>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</si>
  <si>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</si>
  <si>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</si>
  <si>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</si>
  <si>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</si>
  <si>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</si>
  <si>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</si>
  <si>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</si>
  <si>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</si>
  <si>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</si>
  <si>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</si>
  <si>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</si>
  <si>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</si>
  <si>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</si>
  <si>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</si>
  <si>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</si>
  <si>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</si>
  <si>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</si>
  <si>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</si>
  <si>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</si>
  <si>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</si>
  <si>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</si>
  <si>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</si>
  <si>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</si>
  <si>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</si>
  <si>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</si>
  <si>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</si>
  <si>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</si>
  <si>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</si>
  <si>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</si>
  <si>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</si>
  <si>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</si>
  <si>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</si>
  <si>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</si>
  <si>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</si>
  <si>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</si>
  <si>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</si>
  <si>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</si>
  <si>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</si>
  <si>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</si>
  <si>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</si>
  <si>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</si>
  <si>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</si>
  <si>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</si>
  <si>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</si>
  <si>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</si>
  <si>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</si>
  <si>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</si>
  <si>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</si>
  <si>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</si>
  <si>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</si>
  <si>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</si>
  <si>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</si>
  <si>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</si>
  <si>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</si>
  <si>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</si>
  <si>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</si>
  <si>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</si>
  <si>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</si>
  <si>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</si>
  <si>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</si>
  <si>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</si>
  <si>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</si>
  <si>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</si>
  <si>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</si>
  <si>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</si>
  <si>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</si>
  <si>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</si>
  <si>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</si>
  <si>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</si>
  <si>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</si>
  <si>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</si>
  <si>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</si>
  <si>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</si>
  <si>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</si>
  <si>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</si>
  <si>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</si>
  <si>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</si>
  <si>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</si>
  <si>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</si>
  <si>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</si>
  <si>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</si>
  <si>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</si>
  <si>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</si>
  <si>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</si>
  <si>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</si>
  <si>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</si>
  <si>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</si>
  <si>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</si>
  <si>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</si>
  <si>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</si>
  <si>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</si>
  <si>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</si>
  <si>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</si>
  <si>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</si>
  <si>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</si>
  <si>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</si>
  <si>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</si>
  <si>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</si>
  <si>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</si>
  <si>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</si>
  <si>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</si>
  <si>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</si>
  <si>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</si>
  <si>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</si>
  <si>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</si>
  <si>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</si>
  <si>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</si>
  <si>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</si>
  <si>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</si>
  <si>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</si>
  <si>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</si>
  <si>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</si>
  <si>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</si>
  <si>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</si>
  <si>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</si>
  <si>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</si>
  <si>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</si>
  <si>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</si>
  <si>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</si>
  <si>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</si>
  <si>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</si>
  <si>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</si>
  <si>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</si>
  <si>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</si>
  <si>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</si>
  <si>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</si>
  <si>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</si>
  <si>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</si>
  <si>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</si>
  <si>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</si>
  <si>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</si>
  <si>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</si>
  <si>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</si>
  <si>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</si>
  <si>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</si>
  <si>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</si>
  <si>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</si>
  <si>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</si>
  <si>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</si>
  <si>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</si>
  <si>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</si>
  <si>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</si>
  <si>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</si>
  <si>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</si>
  <si>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</si>
  <si>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</si>
  <si>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</si>
  <si>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</si>
  <si>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</si>
  <si>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</si>
  <si>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</si>
  <si>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</si>
  <si>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</si>
  <si>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</si>
  <si>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</si>
  <si>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</si>
  <si>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</si>
  <si>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</si>
  <si>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</si>
  <si>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</si>
  <si>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</si>
  <si>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</si>
  <si>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</si>
  <si>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</si>
  <si>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</si>
  <si>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</si>
  <si>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</si>
  <si>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</si>
  <si>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</si>
  <si>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</si>
  <si>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</si>
  <si>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</si>
  <si>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</si>
  <si>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</si>
  <si>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</si>
  <si>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</si>
  <si>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</si>
  <si>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</si>
  <si>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</si>
  <si>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</si>
  <si>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</si>
  <si>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</si>
  <si>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</si>
  <si>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</si>
  <si>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</si>
  <si>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</si>
  <si>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</si>
  <si>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</si>
  <si>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</si>
  <si>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</si>
  <si>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</si>
  <si>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</si>
  <si>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</si>
  <si>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</si>
  <si>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</si>
  <si>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</si>
  <si>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</si>
  <si>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</si>
  <si>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</si>
  <si>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</si>
  <si>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</si>
  <si>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</si>
  <si>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</si>
  <si>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</si>
  <si>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</si>
  <si>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</si>
  <si>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</si>
  <si>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</si>
  <si>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</si>
  <si>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</si>
  <si>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</si>
  <si>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</si>
  <si>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</si>
  <si>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</si>
  <si>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</si>
  <si>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</si>
  <si>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</si>
  <si>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</si>
  <si>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</si>
  <si>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</si>
  <si>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</si>
  <si>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</si>
  <si>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</si>
  <si>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</si>
  <si>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</si>
  <si>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</si>
  <si>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</si>
  <si>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</si>
  <si>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</si>
  <si>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</si>
  <si>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</si>
  <si>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</si>
  <si>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</si>
  <si>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</si>
  <si>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</si>
  <si>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</si>
  <si>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</si>
  <si>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</si>
  <si>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</si>
  <si>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</si>
  <si>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</si>
  <si>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</si>
  <si>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</si>
  <si>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</si>
  <si>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</si>
  <si>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</si>
  <si>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</si>
  <si>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</si>
  <si>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</si>
  <si>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</si>
  <si>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</si>
  <si>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</si>
  <si>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</si>
  <si>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</si>
  <si>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</si>
  <si>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</si>
  <si>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</si>
  <si>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</si>
  <si>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</si>
  <si>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</si>
  <si>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</si>
  <si>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</si>
  <si>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</si>
  <si>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</si>
  <si>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</si>
  <si>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</si>
  <si>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</si>
  <si>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</si>
  <si>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</si>
  <si>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</si>
  <si>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</si>
  <si>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</si>
  <si>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</si>
  <si>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</si>
  <si>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</si>
  <si>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</si>
  <si>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</si>
  <si>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</si>
  <si>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</si>
  <si>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</si>
  <si>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</si>
  <si>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</si>
  <si>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</si>
  <si>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</si>
  <si>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</si>
  <si>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</si>
  <si>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</si>
  <si>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</si>
  <si>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</si>
  <si>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</si>
  <si>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</si>
  <si>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</si>
  <si>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</si>
  <si>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</si>
  <si>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</si>
  <si>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</si>
  <si>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</si>
  <si>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</si>
  <si>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</si>
  <si>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</si>
  <si>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</si>
  <si>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</si>
  <si>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</si>
  <si>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</si>
  <si>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</si>
  <si>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</si>
  <si>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</si>
  <si>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</si>
  <si>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</si>
  <si>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</si>
  <si>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</si>
  <si>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</si>
  <si>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</si>
  <si>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</si>
  <si>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</si>
  <si>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</si>
  <si>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</si>
  <si>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</si>
  <si>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</si>
  <si>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</si>
  <si>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</si>
  <si>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</si>
  <si>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</si>
  <si>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</si>
  <si>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</si>
  <si>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</si>
  <si>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</si>
  <si>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</si>
  <si>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</si>
  <si>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</si>
  <si>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</si>
  <si>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</si>
  <si>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</si>
  <si>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</si>
  <si>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</si>
  <si>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</si>
  <si>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</si>
  <si>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</si>
  <si>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</si>
  <si>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</si>
  <si>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</si>
  <si>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</si>
  <si>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</si>
  <si>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</si>
  <si>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</si>
  <si>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</si>
  <si>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</si>
  <si>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</si>
  <si>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</si>
  <si>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</si>
  <si>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</si>
  <si>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</si>
  <si>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</si>
  <si>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</si>
  <si>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</si>
  <si>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</si>
  <si>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</si>
  <si>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</si>
  <si>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</si>
  <si>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</si>
  <si>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</si>
  <si>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</si>
  <si>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</si>
  <si>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</si>
  <si>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</si>
  <si>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</si>
  <si>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</si>
  <si>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</si>
  <si>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</si>
  <si>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</si>
  <si>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</si>
  <si>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</si>
  <si>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</si>
  <si>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</si>
  <si>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</si>
  <si>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</si>
  <si>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</si>
  <si>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</si>
  <si>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</si>
  <si>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</si>
  <si>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</si>
  <si>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</si>
  <si>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</si>
  <si>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</si>
  <si>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</si>
  <si>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</si>
  <si>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</si>
  <si>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</si>
  <si>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</si>
  <si>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</si>
  <si>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</si>
  <si>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</si>
  <si>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</si>
  <si>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</si>
  <si>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</si>
  <si>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</si>
  <si>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</si>
  <si>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</si>
  <si>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</si>
  <si>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</si>
  <si>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</si>
  <si>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</si>
  <si>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</si>
  <si>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</si>
  <si>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</si>
  <si>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</si>
  <si>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</si>
  <si>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</si>
  <si>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</si>
  <si>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</si>
  <si>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</si>
  <si>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</si>
  <si>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</si>
  <si>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</si>
  <si>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</si>
  <si>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</si>
  <si>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</si>
  <si>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</si>
  <si>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</si>
  <si>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</si>
  <si>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</si>
  <si>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</si>
  <si>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</si>
  <si>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</si>
  <si>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</si>
  <si>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</si>
  <si>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</si>
  <si>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</si>
  <si>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</si>
  <si>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</si>
  <si>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</si>
  <si>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</si>
  <si>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</si>
  <si>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</si>
  <si>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</si>
  <si>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</si>
  <si>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</si>
  <si>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</si>
  <si>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</si>
  <si>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</si>
  <si>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</si>
  <si>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</si>
  <si>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</si>
  <si>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</si>
  <si>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</si>
  <si>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</si>
  <si>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</si>
  <si>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</si>
  <si>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</si>
  <si>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</si>
  <si>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</si>
  <si>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</si>
  <si>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</si>
  <si>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</si>
  <si>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</si>
  <si>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</si>
  <si>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</si>
  <si>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</si>
  <si>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</si>
  <si>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</si>
  <si>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</si>
  <si>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</si>
  <si>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</si>
  <si>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</si>
  <si>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</si>
  <si>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</si>
  <si>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</si>
  <si>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</si>
  <si>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</si>
  <si>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</si>
  <si>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</si>
  <si>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</si>
  <si>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</si>
  <si>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</si>
  <si>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</si>
  <si>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</si>
  <si>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</si>
  <si>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</si>
  <si>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</si>
  <si>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</si>
  <si>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</si>
  <si>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</si>
  <si>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</si>
  <si>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</si>
  <si>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</si>
  <si>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</si>
  <si>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</si>
  <si>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</si>
  <si>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</si>
  <si>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</si>
  <si>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</si>
  <si>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</si>
  <si>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</si>
  <si>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</si>
  <si>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</si>
  <si>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</si>
  <si>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</si>
  <si>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</si>
  <si>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</si>
  <si>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</si>
  <si>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</si>
  <si>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</si>
  <si>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</si>
  <si>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</si>
  <si>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</si>
  <si>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</si>
  <si>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</si>
  <si>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</si>
  <si>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</si>
  <si>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</si>
  <si>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</si>
  <si>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</si>
  <si>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</si>
  <si>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</si>
  <si>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</si>
  <si>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</si>
  <si>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</si>
  <si>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</si>
  <si>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</si>
  <si>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</si>
  <si>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</si>
  <si>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</si>
  <si>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</si>
  <si>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</si>
  <si>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</si>
  <si>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</si>
  <si>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</si>
  <si>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</si>
  <si>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</si>
  <si>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</si>
  <si>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</si>
  <si>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</si>
  <si>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</si>
  <si>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</si>
  <si>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</si>
  <si>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</si>
  <si>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</si>
  <si>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</si>
  <si>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</si>
  <si>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</si>
  <si>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</si>
  <si>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</si>
  <si>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</si>
  <si>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</si>
  <si>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</si>
  <si>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</si>
  <si>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</si>
  <si>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</si>
  <si>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</si>
  <si>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</si>
  <si>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</si>
  <si>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</si>
  <si>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</si>
  <si>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</si>
  <si>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</si>
  <si>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</si>
  <si>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</si>
  <si>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</si>
  <si>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</si>
  <si>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</si>
  <si>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</si>
  <si>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</si>
  <si>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</si>
  <si>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</si>
  <si>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</si>
  <si>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</si>
  <si>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</si>
  <si>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</si>
  <si>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</si>
  <si>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</si>
  <si>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</si>
  <si>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</si>
  <si>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</si>
  <si>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</si>
  <si>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</si>
  <si>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</si>
  <si>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</si>
  <si>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</si>
  <si>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</si>
  <si>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</si>
  <si>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</si>
  <si>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</si>
  <si>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</si>
  <si>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</si>
  <si>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</si>
  <si>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</si>
  <si>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</si>
  <si>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</si>
  <si>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</si>
  <si>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</si>
  <si>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</si>
  <si>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</si>
  <si>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</si>
  <si>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</si>
  <si>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</si>
  <si>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</si>
  <si>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</si>
  <si>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</si>
  <si>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</si>
  <si>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</si>
  <si>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</si>
  <si>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</si>
  <si>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</si>
  <si>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</si>
  <si>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</si>
  <si>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</si>
  <si>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</si>
  <si>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</si>
  <si>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</si>
  <si>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</si>
  <si>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</si>
  <si>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</si>
  <si>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</si>
  <si>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</si>
  <si>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</si>
  <si>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</si>
  <si>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</si>
  <si>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</si>
  <si>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</si>
  <si>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</si>
  <si>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</si>
  <si>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</si>
  <si>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</si>
  <si>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</si>
  <si>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</si>
  <si>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</si>
  <si>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</si>
  <si>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</si>
  <si>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</si>
  <si>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</si>
  <si>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</si>
  <si>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</si>
  <si>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</si>
  <si>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</si>
  <si>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</si>
  <si>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</si>
  <si>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</si>
  <si>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</si>
  <si>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</si>
  <si>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</si>
  <si>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</si>
  <si>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</si>
  <si>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</si>
  <si>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</si>
  <si>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</si>
  <si>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</si>
  <si>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</si>
  <si>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</si>
  <si>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</si>
  <si>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</si>
  <si>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</si>
  <si>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</si>
  <si>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</si>
  <si>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</si>
  <si>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</si>
  <si>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</si>
  <si>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</si>
  <si>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</si>
  <si>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</si>
  <si>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</si>
  <si>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</si>
  <si>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</si>
  <si>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</si>
  <si>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</si>
  <si>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</si>
  <si>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</si>
  <si>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</si>
  <si>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</si>
  <si>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</si>
  <si>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</si>
  <si>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</si>
  <si>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</si>
  <si>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</si>
  <si>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</si>
  <si>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</si>
  <si>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</si>
  <si>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</si>
  <si>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</si>
  <si>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</si>
  <si>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</si>
  <si>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</si>
  <si>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</si>
  <si>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</si>
  <si>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</si>
  <si>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</si>
  <si>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</si>
  <si>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</si>
  <si>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</si>
  <si>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</si>
  <si>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</si>
  <si>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</si>
  <si>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</si>
  <si>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</si>
  <si>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</si>
  <si>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</si>
  <si>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</si>
  <si>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</si>
  <si>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</si>
  <si>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</si>
  <si>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</si>
  <si>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</si>
  <si>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</si>
  <si>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</si>
  <si>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</si>
  <si>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</si>
  <si>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</si>
  <si>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</si>
  <si>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</si>
  <si>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</si>
  <si>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</si>
  <si>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</si>
  <si>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</si>
  <si>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</si>
  <si>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</si>
  <si>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</si>
  <si>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</si>
  <si>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</si>
  <si>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</si>
  <si>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</si>
  <si>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</si>
  <si>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</si>
  <si>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</si>
  <si>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</si>
  <si>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</si>
  <si>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</si>
  <si>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</si>
  <si>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</si>
  <si>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</si>
  <si>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</si>
  <si>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</si>
  <si>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</si>
  <si>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</si>
  <si>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</si>
  <si>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</si>
  <si>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</si>
  <si>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</si>
  <si>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</si>
  <si>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</si>
  <si>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</si>
  <si>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</si>
  <si>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</si>
  <si>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</si>
  <si>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</si>
  <si>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</si>
  <si>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</si>
  <si>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</si>
  <si>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</si>
  <si>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</si>
  <si>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</si>
  <si>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</si>
  <si>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</si>
  <si>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</si>
  <si>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</si>
  <si>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</si>
  <si>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</si>
  <si>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</si>
  <si>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</si>
  <si>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</si>
  <si>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</si>
  <si>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</si>
  <si>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</si>
  <si>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</si>
  <si>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</si>
  <si>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</si>
  <si>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</si>
  <si>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</si>
  <si>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</si>
  <si>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</si>
  <si>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</si>
  <si>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</si>
  <si>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</si>
  <si>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</si>
  <si>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</si>
  <si>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</si>
  <si>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</si>
  <si>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</si>
  <si>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</si>
  <si>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</si>
  <si>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</si>
  <si>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</si>
  <si>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</si>
  <si>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</si>
  <si>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</si>
  <si>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</si>
  <si>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</si>
  <si>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</si>
  <si>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</si>
  <si>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</si>
  <si>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</si>
  <si>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</si>
  <si>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</si>
  <si>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</si>
  <si>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</si>
  <si>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</si>
  <si>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</si>
  <si>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</si>
  <si>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</si>
  <si>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</si>
  <si>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</si>
  <si>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</si>
  <si>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</si>
  <si>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</si>
  <si>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</si>
  <si>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</si>
  <si>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</si>
  <si>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</si>
  <si>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</si>
  <si>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</si>
  <si>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</si>
  <si>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</si>
  <si>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</si>
  <si>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</si>
  <si>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</si>
  <si>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</si>
  <si>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</si>
  <si>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</si>
  <si>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</si>
  <si>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</si>
  <si>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</si>
  <si>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</si>
  <si>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</si>
  <si>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</si>
  <si>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</si>
  <si>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</si>
  <si>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</si>
  <si>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</si>
  <si>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</si>
  <si>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</si>
  <si>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</si>
  <si>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</si>
  <si>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</si>
  <si>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</si>
  <si>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</si>
  <si>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</si>
  <si>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</si>
  <si>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</si>
  <si>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</si>
  <si>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</si>
  <si>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</si>
  <si>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</si>
  <si>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</si>
  <si>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</si>
  <si>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</si>
  <si>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</si>
  <si>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</si>
  <si>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</si>
  <si>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</si>
  <si>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</si>
  <si>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</si>
  <si>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</si>
  <si>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</si>
  <si>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</si>
  <si>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</si>
  <si>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</si>
  <si>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</si>
  <si>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</si>
  <si>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</si>
  <si>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</si>
  <si>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</si>
  <si>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</si>
  <si>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</si>
  <si>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</si>
  <si>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</si>
  <si>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</si>
  <si>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</si>
  <si>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</si>
  <si>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</si>
  <si>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</si>
  <si>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</si>
  <si>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</si>
  <si>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</si>
  <si>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</si>
  <si>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</si>
  <si>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</si>
  <si>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</si>
  <si>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</si>
  <si>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</si>
  <si>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</si>
  <si>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</si>
  <si>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</si>
  <si>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</si>
  <si>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</si>
  <si>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</si>
  <si>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</si>
  <si>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</si>
  <si>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</si>
  <si>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</si>
  <si>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</si>
  <si>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</si>
  <si>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</si>
  <si>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</si>
  <si>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</si>
  <si>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</si>
  <si>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</si>
  <si>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</si>
  <si>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</si>
  <si>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</si>
  <si>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</si>
  <si>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</si>
  <si>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</si>
  <si>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</si>
  <si>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</si>
  <si>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</si>
  <si>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</si>
  <si>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</si>
  <si>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</si>
  <si>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</si>
  <si>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</si>
  <si>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</si>
  <si>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</si>
  <si>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</si>
  <si>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</si>
  <si>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</si>
  <si>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</si>
  <si>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</si>
  <si>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</si>
  <si>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</si>
  <si>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</si>
  <si>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</si>
  <si>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</si>
  <si>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</si>
  <si>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</si>
  <si>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</si>
  <si>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</si>
  <si>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</si>
  <si>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</si>
  <si>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</si>
  <si>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</si>
  <si>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</si>
  <si>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</si>
  <si>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</si>
  <si>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</si>
  <si>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</si>
  <si>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</si>
  <si>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</si>
  <si>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</si>
  <si>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</si>
  <si>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</si>
  <si>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</si>
  <si>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</si>
  <si>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</si>
  <si>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</si>
  <si>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</si>
  <si>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</si>
  <si>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</si>
  <si>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</si>
  <si>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</si>
  <si>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</si>
  <si>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</si>
  <si>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</si>
  <si>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</si>
  <si>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</si>
  <si>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</si>
  <si>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</si>
  <si>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</si>
  <si>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</si>
  <si>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</si>
  <si>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</si>
  <si>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</si>
  <si>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</si>
  <si>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</si>
  <si>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</si>
  <si>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</si>
  <si>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</si>
  <si>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</si>
  <si>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</si>
  <si>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</si>
  <si>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</si>
  <si>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</si>
  <si>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</si>
  <si>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</si>
  <si>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</si>
  <si>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</si>
  <si>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</si>
  <si>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</si>
  <si>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</si>
  <si>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</si>
  <si>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</si>
  <si>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</si>
  <si>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</si>
  <si>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</si>
  <si>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</si>
  <si>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</si>
  <si>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</si>
  <si>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</si>
  <si>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</si>
  <si>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</si>
  <si>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</si>
  <si>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</si>
  <si>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</si>
  <si>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</si>
  <si>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</si>
  <si>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</si>
  <si>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</si>
  <si>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</si>
  <si>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</si>
  <si>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</si>
  <si>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</si>
  <si>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</si>
  <si>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</si>
  <si>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</si>
  <si>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</si>
  <si>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</si>
  <si>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</si>
  <si>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</si>
  <si>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</si>
  <si>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</si>
  <si>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</si>
  <si>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</si>
  <si>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</si>
  <si>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</si>
  <si>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</si>
  <si>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</si>
  <si>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</si>
  <si>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</si>
  <si>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</si>
  <si>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</si>
  <si>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</si>
  <si>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</si>
  <si>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</si>
  <si>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</si>
  <si>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</si>
  <si>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</si>
  <si>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</si>
  <si>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</si>
  <si>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</si>
  <si>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</si>
  <si>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</si>
  <si>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</si>
  <si>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</si>
  <si>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</si>
  <si>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</si>
  <si>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</si>
  <si>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</si>
  <si>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</si>
  <si>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</si>
  <si>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</si>
  <si>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</si>
  <si>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</si>
  <si>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</si>
  <si>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</si>
  <si>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</si>
  <si>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</si>
  <si>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</si>
  <si>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</si>
  <si>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</si>
  <si>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</si>
  <si>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</si>
  <si>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</si>
  <si>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</si>
  <si>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</si>
  <si>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</si>
  <si>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</si>
  <si>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</si>
  <si>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</si>
  <si>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</si>
  <si>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</si>
  <si>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</si>
  <si>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</si>
  <si>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</si>
  <si>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</si>
  <si>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</si>
  <si>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</si>
  <si>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</si>
  <si>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</si>
  <si>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</si>
  <si>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</si>
  <si>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</si>
  <si>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</si>
  <si>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</si>
  <si>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</si>
  <si>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</si>
  <si>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</si>
  <si>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</si>
  <si>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</si>
  <si>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</si>
  <si>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</si>
  <si>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</si>
  <si>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</si>
  <si>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</si>
  <si>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</si>
  <si>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</si>
  <si>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</si>
  <si>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</si>
  <si>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</si>
  <si>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</si>
  <si>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</si>
  <si>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</si>
  <si>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</si>
  <si>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</si>
  <si>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</si>
  <si>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</si>
  <si>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</si>
  <si>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</si>
  <si>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</si>
  <si>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</si>
  <si>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</si>
  <si>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</si>
  <si>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</si>
  <si>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</si>
  <si>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</si>
  <si>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</si>
  <si>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</si>
  <si>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</si>
  <si>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</si>
  <si>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</si>
  <si>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</si>
  <si>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</si>
  <si>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</si>
  <si>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</si>
  <si>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</si>
  <si>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</si>
  <si>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</si>
  <si>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</si>
  <si>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</si>
  <si>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</si>
  <si>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</si>
  <si>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</si>
  <si>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</si>
  <si>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</si>
  <si>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</si>
  <si>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</si>
  <si>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</si>
  <si>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</si>
  <si>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</si>
  <si>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</si>
  <si>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</si>
  <si>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</si>
  <si>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</si>
  <si>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</si>
  <si>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</si>
  <si>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</si>
  <si>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</si>
  <si>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</si>
  <si>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</si>
  <si>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</si>
  <si>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</si>
  <si>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</si>
  <si>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</si>
  <si>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</si>
  <si>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</si>
  <si>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</si>
  <si>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</si>
  <si>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</si>
  <si>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</si>
  <si>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</si>
  <si>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</si>
  <si>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</si>
  <si>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</si>
  <si>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</si>
  <si>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</si>
  <si>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</si>
  <si>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</si>
  <si>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</si>
  <si>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</si>
  <si>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</si>
  <si>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</si>
  <si>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</si>
  <si>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</si>
  <si>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</si>
  <si>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</si>
  <si>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</si>
  <si>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</si>
  <si>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</si>
  <si>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</si>
  <si>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</si>
  <si>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</si>
  <si>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</si>
  <si>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</si>
  <si>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</si>
  <si>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</si>
  <si>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</si>
  <si>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</si>
  <si>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</si>
  <si>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</si>
  <si>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</si>
  <si>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</si>
  <si>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</si>
  <si>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</si>
  <si>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</si>
  <si>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</si>
  <si>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</si>
  <si>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</si>
  <si>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</si>
  <si>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</si>
  <si>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</si>
  <si>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</si>
  <si>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</si>
  <si>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</si>
  <si>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</si>
  <si>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</si>
  <si>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</si>
  <si>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</si>
  <si>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</si>
  <si>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</si>
  <si>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</si>
  <si>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</si>
  <si>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</si>
  <si>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</si>
  <si>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</si>
  <si>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</si>
  <si>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</si>
  <si>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</si>
  <si>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</si>
  <si>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</si>
  <si>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</si>
  <si>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</si>
  <si>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</si>
  <si>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</si>
  <si>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</si>
  <si>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</si>
  <si>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</si>
  <si>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</si>
  <si>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</si>
  <si>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</si>
  <si>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</si>
  <si>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</si>
  <si>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</si>
  <si>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</si>
  <si>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</si>
  <si>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</si>
  <si>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</si>
  <si>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</si>
  <si>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</si>
  <si>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</si>
  <si>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</si>
  <si>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</si>
  <si>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</si>
  <si>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</si>
  <si>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</si>
  <si>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</si>
  <si>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</si>
  <si>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</si>
  <si>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</si>
  <si>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</si>
  <si>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</si>
  <si>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</si>
  <si>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</si>
  <si>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</si>
  <si>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</si>
  <si>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</si>
  <si>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</si>
  <si>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</si>
  <si>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</si>
  <si>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</si>
  <si>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</si>
  <si>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</si>
  <si>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</si>
  <si>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</si>
  <si>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</si>
  <si>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</si>
  <si>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</si>
  <si>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</si>
  <si>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</si>
  <si>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</si>
  <si>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</si>
  <si>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</si>
  <si>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</si>
  <si>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</si>
  <si>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</si>
  <si>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</si>
  <si>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</si>
  <si>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</si>
  <si>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</si>
  <si>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</si>
  <si>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</si>
  <si>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</si>
  <si>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</si>
  <si>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</si>
  <si>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</si>
  <si>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</si>
  <si>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</si>
  <si>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</si>
  <si>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</si>
  <si>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</si>
  <si>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</si>
  <si>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</si>
  <si>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</si>
  <si>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</si>
  <si>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</si>
  <si>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</si>
  <si>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</si>
  <si>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</si>
  <si>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</si>
  <si>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</si>
  <si>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</si>
  <si>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</si>
  <si>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</si>
  <si>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</si>
  <si>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</si>
  <si>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</si>
  <si>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</si>
  <si>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</si>
  <si>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</si>
  <si>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</si>
  <si>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</si>
  <si>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</si>
  <si>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</si>
  <si>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</si>
  <si>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</si>
  <si>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</si>
  <si>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</si>
  <si>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</si>
  <si>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</si>
  <si>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</si>
  <si>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</si>
  <si>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</si>
  <si>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</si>
  <si>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</si>
  <si>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</si>
  <si>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</si>
  <si>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</si>
  <si>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</si>
  <si>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</si>
  <si>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</si>
  <si>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</si>
  <si>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</si>
  <si>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</si>
  <si>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</si>
  <si>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</si>
  <si>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</si>
  <si>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</si>
  <si>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</si>
  <si>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</si>
  <si>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</si>
  <si>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</si>
  <si>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</si>
  <si>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</si>
  <si>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</si>
  <si>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</si>
  <si>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</si>
  <si>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</si>
  <si>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</si>
  <si>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</si>
  <si>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</si>
  <si>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</si>
  <si>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</si>
  <si>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</si>
  <si>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</si>
  <si>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</si>
  <si>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</si>
  <si>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</si>
  <si>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</si>
  <si>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</si>
  <si>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</si>
  <si>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</si>
  <si>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</si>
  <si>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</si>
  <si>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</si>
  <si>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</si>
  <si>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</si>
  <si>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</si>
  <si>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</si>
  <si>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</si>
  <si>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</si>
  <si>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</si>
  <si>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</si>
  <si>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</si>
  <si>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</si>
  <si>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</si>
  <si>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</si>
  <si>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</si>
  <si>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</si>
  <si>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</si>
  <si>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</si>
  <si>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</si>
  <si>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</si>
  <si>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</si>
  <si>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</si>
  <si>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</si>
  <si>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</si>
  <si>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</si>
  <si>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</si>
  <si>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</si>
  <si>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</si>
  <si>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</si>
  <si>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</si>
  <si>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</si>
  <si>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</si>
  <si>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</si>
  <si>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</si>
  <si>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</si>
  <si>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</si>
  <si>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</si>
  <si>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</si>
  <si>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</si>
  <si>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</si>
  <si>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</si>
  <si>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</si>
  <si>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</si>
  <si>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</si>
  <si>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</si>
  <si>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</si>
  <si>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</si>
  <si>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</si>
  <si>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</si>
  <si>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</si>
  <si>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</si>
  <si>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</si>
  <si>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</si>
  <si>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</si>
  <si>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</si>
  <si>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</si>
  <si>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</si>
  <si>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</si>
  <si>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</si>
  <si>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</si>
  <si>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</si>
  <si>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</si>
  <si>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</si>
  <si>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</si>
  <si>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</si>
  <si>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</si>
  <si>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</si>
  <si>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</si>
  <si>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</si>
  <si>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</si>
  <si>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</si>
  <si>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</si>
  <si>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</si>
  <si>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</si>
  <si>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</si>
  <si>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</si>
  <si>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</si>
  <si>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</si>
  <si>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</si>
  <si>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</si>
  <si>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</si>
  <si>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</si>
  <si>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</si>
  <si>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</si>
  <si>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</si>
  <si>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</si>
  <si>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</si>
  <si>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</si>
  <si>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</si>
  <si>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</si>
  <si>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</si>
  <si>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</si>
  <si>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</si>
  <si>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</si>
  <si>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</si>
  <si>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</si>
  <si>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</si>
  <si>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</si>
  <si>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</si>
  <si>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</si>
  <si>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</si>
  <si>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</si>
  <si>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</si>
  <si>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</si>
  <si>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</si>
  <si>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</si>
  <si>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</si>
  <si>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</si>
  <si>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</si>
  <si>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</si>
  <si>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</si>
  <si>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</si>
  <si>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</si>
  <si>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</si>
  <si>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</si>
  <si>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</si>
  <si>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</si>
  <si>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</si>
  <si>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</si>
  <si>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</si>
  <si>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</si>
  <si>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</si>
  <si>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</si>
  <si>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</si>
  <si>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</si>
  <si>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</si>
  <si>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</si>
  <si>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</si>
  <si>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</si>
  <si>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</si>
  <si>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</si>
  <si>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</si>
  <si>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</si>
  <si>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</si>
  <si>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</si>
  <si>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</si>
  <si>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</si>
  <si>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</si>
  <si>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</si>
  <si>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</si>
  <si>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</si>
  <si>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</si>
  <si>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</si>
  <si>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</si>
  <si>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</si>
  <si>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</si>
  <si>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</si>
  <si>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</si>
  <si>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</si>
  <si>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</si>
  <si>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</si>
  <si>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</si>
  <si>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</si>
  <si>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</si>
  <si>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</si>
  <si>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</si>
  <si>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</si>
  <si>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</si>
  <si>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</si>
  <si>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</si>
  <si>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</si>
  <si>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</si>
  <si>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</si>
  <si>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</si>
  <si>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</si>
  <si>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</si>
  <si>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</si>
  <si>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</si>
  <si>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</si>
  <si>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</si>
  <si>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</si>
  <si>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</si>
  <si>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</si>
  <si>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</si>
  <si>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</si>
  <si>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</si>
  <si>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</si>
  <si>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</si>
  <si>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</si>
  <si>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</si>
  <si>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</si>
  <si>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</si>
  <si>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</si>
  <si>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</si>
  <si>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</si>
  <si>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</si>
  <si>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</si>
  <si>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</si>
  <si>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</si>
  <si>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</si>
  <si>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</si>
  <si>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</si>
  <si>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</si>
  <si>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</si>
  <si>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</si>
  <si>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</si>
  <si>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</si>
  <si>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</si>
  <si>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</si>
  <si>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</si>
  <si>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</si>
  <si>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</si>
  <si>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</si>
  <si>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</si>
  <si>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</si>
  <si>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</si>
  <si>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</si>
  <si>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</si>
  <si>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</si>
  <si>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</si>
  <si>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</si>
  <si>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</si>
  <si>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</si>
  <si>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</si>
  <si>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</si>
  <si>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</si>
  <si>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</si>
  <si>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</si>
  <si>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</si>
  <si>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</si>
  <si>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</si>
  <si>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</si>
  <si>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</si>
  <si>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</si>
  <si>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</si>
  <si>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</si>
  <si>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</si>
  <si>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</si>
  <si>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</si>
  <si>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</si>
  <si>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</si>
  <si>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</si>
  <si>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</si>
  <si>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</si>
  <si>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</si>
  <si>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</si>
  <si>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</si>
  <si>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</si>
  <si>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</si>
  <si>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</si>
  <si>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</si>
  <si>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</si>
  <si>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</si>
  <si>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</si>
  <si>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</si>
  <si>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</si>
  <si>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</si>
  <si>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</si>
  <si>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</si>
  <si>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</si>
  <si>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</si>
  <si>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</si>
  <si>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</si>
  <si>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</si>
  <si>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</si>
  <si>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</si>
  <si>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</si>
  <si>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</si>
  <si>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</si>
  <si>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</si>
  <si>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</si>
  <si>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</si>
  <si>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</si>
  <si>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</si>
  <si>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</si>
  <si>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</si>
  <si>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</si>
  <si>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</si>
  <si>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</si>
  <si>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</si>
  <si>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</si>
  <si>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</si>
  <si>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</si>
  <si>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</si>
  <si>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</si>
  <si>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</si>
  <si>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</si>
  <si>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</si>
  <si>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</si>
  <si>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</si>
  <si>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</si>
  <si>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</si>
  <si>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</si>
  <si>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</si>
  <si>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</si>
  <si>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</si>
  <si>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</si>
  <si>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</si>
  <si>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</si>
  <si>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</si>
  <si>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</si>
  <si>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</si>
  <si>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</si>
  <si>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</si>
  <si>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</si>
  <si>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</si>
  <si>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</si>
  <si>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</si>
  <si>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</si>
  <si>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</si>
  <si>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</si>
  <si>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</si>
  <si>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</si>
  <si>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</si>
  <si>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</si>
  <si>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</si>
  <si>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</si>
  <si>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</si>
  <si>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</si>
  <si>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</si>
  <si>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</si>
  <si>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</si>
  <si>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</si>
  <si>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</si>
  <si>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</si>
  <si>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</si>
  <si>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</si>
  <si>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</si>
  <si>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</si>
  <si>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</si>
  <si>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</si>
  <si>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</si>
  <si>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</si>
  <si>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</si>
  <si>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</si>
  <si>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</si>
  <si>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</si>
  <si>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</si>
  <si>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</si>
  <si>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</si>
  <si>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</si>
  <si>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</si>
  <si>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</si>
  <si>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</si>
  <si>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</si>
  <si>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</si>
  <si>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</si>
  <si>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</si>
  <si>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</si>
  <si>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</si>
  <si>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</si>
  <si>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</si>
  <si>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</si>
  <si>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</si>
  <si>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</si>
  <si>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</si>
  <si>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</si>
  <si>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</si>
  <si>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</si>
  <si>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</si>
  <si>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</si>
  <si>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</si>
  <si>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</si>
  <si>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</si>
  <si>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</si>
  <si>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</si>
  <si>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</si>
  <si>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</si>
  <si>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</si>
  <si>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</si>
  <si>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</si>
  <si>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</si>
  <si>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</si>
  <si>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</si>
  <si>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</si>
  <si>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</si>
  <si>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</si>
  <si>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</si>
  <si>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</si>
  <si>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</si>
  <si>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</si>
  <si>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</si>
  <si>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</si>
  <si>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</si>
  <si>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</si>
  <si>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</si>
  <si>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</si>
  <si>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</si>
  <si>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</si>
  <si>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</si>
  <si>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</si>
  <si>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</si>
  <si>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</si>
  <si>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</si>
  <si>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</si>
  <si>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</si>
  <si>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</si>
  <si>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</si>
  <si>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</si>
  <si>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</si>
  <si>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</si>
  <si>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</si>
  <si>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</si>
  <si>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</si>
  <si>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</si>
  <si>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</si>
  <si>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</si>
  <si>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</si>
  <si>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</si>
  <si>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</si>
  <si>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</si>
  <si>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</si>
  <si>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</si>
  <si>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</si>
  <si>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</si>
  <si>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</si>
  <si>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</si>
  <si>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</si>
  <si>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</si>
  <si>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</si>
  <si>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</si>
  <si>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</si>
  <si>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</si>
  <si>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</si>
  <si>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</si>
  <si>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</si>
  <si>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</si>
  <si>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</si>
  <si>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</si>
  <si>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</si>
  <si>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</si>
  <si>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</si>
  <si>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</si>
  <si>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</si>
  <si>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</si>
  <si>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</si>
  <si>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</si>
  <si>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</si>
  <si>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</si>
  <si>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</si>
  <si>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</si>
  <si>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</si>
  <si>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</si>
  <si>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</si>
  <si>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</si>
  <si>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</si>
  <si>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</si>
  <si>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</si>
  <si>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</si>
  <si>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</si>
  <si>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</si>
  <si>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</si>
  <si>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</si>
  <si>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</si>
  <si>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</si>
  <si>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</si>
  <si>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</si>
  <si>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</si>
  <si>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</si>
  <si>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</si>
  <si>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</si>
  <si>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</si>
  <si>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</si>
  <si>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</si>
  <si>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</si>
  <si>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</si>
  <si>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</si>
  <si>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</si>
  <si>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</si>
  <si>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</si>
  <si>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</si>
  <si>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</si>
  <si>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</si>
  <si>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</si>
  <si>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</si>
  <si>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</si>
  <si>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</si>
  <si>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</si>
  <si>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</si>
  <si>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</si>
  <si>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</si>
  <si>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</si>
  <si>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</si>
  <si>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</si>
  <si>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</si>
  <si>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</si>
  <si>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</si>
  <si>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</si>
  <si>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</si>
  <si>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</si>
  <si>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</si>
  <si>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</si>
  <si>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</si>
  <si>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</si>
  <si>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</si>
  <si>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</si>
  <si>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</si>
  <si>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</si>
  <si>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</si>
  <si>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</si>
  <si>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</si>
  <si>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</si>
  <si>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</si>
  <si>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</si>
  <si>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</si>
  <si>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</si>
  <si>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</si>
  <si>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</si>
  <si>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</si>
  <si>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</si>
  <si>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</si>
  <si>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</si>
  <si>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</si>
  <si>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</si>
  <si>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</si>
  <si>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</si>
  <si>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</si>
  <si>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</si>
  <si>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</si>
  <si>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</si>
  <si>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</si>
  <si>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</si>
  <si>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</si>
  <si>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</si>
  <si>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</si>
  <si>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</si>
  <si>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</si>
  <si>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</si>
  <si>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</si>
  <si>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</si>
  <si>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</si>
  <si>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</si>
  <si>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</si>
  <si>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</si>
  <si>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</si>
  <si>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</si>
  <si>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</si>
  <si>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</si>
  <si>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</si>
  <si>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</si>
  <si>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</si>
  <si>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</si>
  <si>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</si>
  <si>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</si>
  <si>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</si>
  <si>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</si>
  <si>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</si>
  <si>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</si>
  <si>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</si>
  <si>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</si>
  <si>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</si>
  <si>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</si>
  <si>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</si>
  <si>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</si>
  <si>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</si>
  <si>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</si>
  <si>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</si>
  <si>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</si>
  <si>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</si>
  <si>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</si>
  <si>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</si>
  <si>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</si>
  <si>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</si>
  <si>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</si>
  <si>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</si>
  <si>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</si>
  <si>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</si>
  <si>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</si>
  <si>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</si>
  <si>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</si>
  <si>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</si>
  <si>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</si>
  <si>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</si>
  <si>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</si>
  <si>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</si>
  <si>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</si>
  <si>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</si>
  <si>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</si>
  <si>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</si>
  <si>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</si>
  <si>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</si>
  <si>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</si>
  <si>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</si>
  <si>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</si>
  <si>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</si>
  <si>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</si>
  <si>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</si>
  <si>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</si>
  <si>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</si>
  <si>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</si>
  <si>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</si>
  <si>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</si>
  <si>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</si>
  <si>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</si>
  <si>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</si>
  <si>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</si>
  <si>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</si>
  <si>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</si>
  <si>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</si>
  <si>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</si>
  <si>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</si>
  <si>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</si>
  <si>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</si>
  <si>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</si>
  <si>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</si>
  <si>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</si>
  <si>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</si>
  <si>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</si>
  <si>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</si>
  <si>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</si>
  <si>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</si>
  <si>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</si>
  <si>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</si>
  <si>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</si>
  <si>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</si>
  <si>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</si>
  <si>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</si>
  <si>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</si>
  <si>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</si>
  <si>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</si>
  <si>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</si>
  <si>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</si>
  <si>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</si>
  <si>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</si>
  <si>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</si>
  <si>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</si>
  <si>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</si>
  <si>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</si>
  <si>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</si>
  <si>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</si>
  <si>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</si>
  <si>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</si>
  <si>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</si>
  <si>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</si>
  <si>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</si>
  <si>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</si>
  <si>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</si>
  <si>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</si>
  <si>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</si>
  <si>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</si>
  <si>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</si>
  <si>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</si>
  <si>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</si>
  <si>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</si>
  <si>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</si>
  <si>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</si>
  <si>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</si>
  <si>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</si>
  <si>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</si>
  <si>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</si>
  <si>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</si>
  <si>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</si>
  <si>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</si>
  <si>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</si>
  <si>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</si>
  <si>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</si>
  <si>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</si>
  <si>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</si>
  <si>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</si>
  <si>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</si>
  <si>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</si>
  <si>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</si>
  <si>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</si>
  <si>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</si>
  <si>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</si>
  <si>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</si>
  <si>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</si>
  <si>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</si>
  <si>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</si>
  <si>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</si>
  <si>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</si>
  <si>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</si>
  <si>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</si>
  <si>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</si>
  <si>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</si>
  <si>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</si>
  <si>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</si>
  <si>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</si>
  <si>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</si>
  <si>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</si>
  <si>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</si>
  <si>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</si>
  <si>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</si>
  <si>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</si>
  <si>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</si>
  <si>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</si>
  <si>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</si>
  <si>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</si>
  <si>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</si>
  <si>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</si>
  <si>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</si>
  <si>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</si>
  <si>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</si>
  <si>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</si>
  <si>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</si>
  <si>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</si>
  <si>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</si>
  <si>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</si>
  <si>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</si>
  <si>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</si>
  <si>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</si>
  <si>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</si>
  <si>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</si>
  <si>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</si>
  <si>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</si>
  <si>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</si>
  <si>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</si>
  <si>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</si>
  <si>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</si>
  <si>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</si>
  <si>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</si>
  <si>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</si>
  <si>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</si>
  <si>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</si>
  <si>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</si>
  <si>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</si>
  <si>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</si>
  <si>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</si>
  <si>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</si>
  <si>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</si>
  <si>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</si>
  <si>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</si>
  <si>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</si>
  <si>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</si>
  <si>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</si>
  <si>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</si>
  <si>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</si>
  <si>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</si>
  <si>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</si>
  <si>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</si>
  <si>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</si>
  <si>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</si>
  <si>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</si>
  <si>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</si>
  <si>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</si>
  <si>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</si>
  <si>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</si>
  <si>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</si>
  <si>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</si>
  <si>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</si>
  <si>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</si>
  <si>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</si>
  <si>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</si>
  <si>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</si>
  <si>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</si>
  <si>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</si>
  <si>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</si>
  <si>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</si>
  <si>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</si>
  <si>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</si>
  <si>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</si>
  <si>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</si>
  <si>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</si>
  <si>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</si>
  <si>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</si>
  <si>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</si>
  <si>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</si>
  <si>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</si>
  <si>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</si>
  <si>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</si>
  <si>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</si>
  <si>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</si>
  <si>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</si>
  <si>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</si>
  <si>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</si>
  <si>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</si>
  <si>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</si>
  <si>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</si>
  <si>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</si>
  <si>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</si>
  <si>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</si>
  <si>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</si>
  <si>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</si>
  <si>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</si>
  <si>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</si>
  <si>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</si>
  <si>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</si>
  <si>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</si>
  <si>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</si>
  <si>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</si>
  <si>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</si>
  <si>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</si>
  <si>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</si>
  <si>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</si>
  <si>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</si>
  <si>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</si>
  <si>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</si>
  <si>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</si>
  <si>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</si>
  <si>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</si>
  <si>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</si>
  <si>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</si>
  <si>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</si>
  <si>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</si>
  <si>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</si>
  <si>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</si>
  <si>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</si>
  <si>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</si>
  <si>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</si>
  <si>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</si>
  <si>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</si>
  <si>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</si>
  <si>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</si>
  <si>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</si>
  <si>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</si>
  <si>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</si>
  <si>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</si>
  <si>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</si>
  <si>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</si>
  <si>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</si>
  <si>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</si>
  <si>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</si>
  <si>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</si>
  <si>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</si>
  <si>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</si>
  <si>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</si>
  <si>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</si>
  <si>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</si>
  <si>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</si>
  <si>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</si>
  <si>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</si>
  <si>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</si>
  <si>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</si>
  <si>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</si>
  <si>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</si>
  <si>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</si>
  <si>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</si>
  <si>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</si>
  <si>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</si>
  <si>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</si>
  <si>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</si>
  <si>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</si>
  <si>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</si>
  <si>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112_</t>
  </si>
  <si>
    <t>2019年度</t>
    <phoneticPr fontId="163" type="noConversion"/>
  </si>
  <si>
    <t>2018年度</t>
    <phoneticPr fontId="163" type="noConversion"/>
  </si>
  <si>
    <t>北京天马</t>
  </si>
  <si>
    <t>北京天马金信供应链管理有限公司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</si>
  <si>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</si>
  <si>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</si>
  <si>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</si>
  <si>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</si>
  <si>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</si>
  <si>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</si>
  <si>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</si>
  <si>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</si>
  <si>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</si>
  <si>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</si>
  <si>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</si>
  <si>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</si>
  <si>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</si>
  <si>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</si>
  <si>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</si>
  <si>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</si>
  <si>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</si>
  <si>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</si>
  <si>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</si>
  <si>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</si>
  <si>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</si>
  <si>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</si>
  <si>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</si>
  <si>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</si>
  <si>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</si>
  <si>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</si>
  <si>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</si>
  <si>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</si>
  <si>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</si>
  <si>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</si>
  <si>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</si>
  <si>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</si>
  <si>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</si>
  <si>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</si>
  <si>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</si>
  <si>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</si>
  <si>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</si>
  <si>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</si>
  <si>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</si>
  <si>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</si>
  <si>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</si>
  <si>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</si>
  <si>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</si>
  <si>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</si>
  <si>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</si>
  <si>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</si>
  <si>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</si>
  <si>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</si>
  <si>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</si>
  <si>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</si>
  <si>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</si>
  <si>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</si>
  <si>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</si>
  <si>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</si>
  <si>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</si>
  <si>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</si>
  <si>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</si>
  <si>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</si>
  <si>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</si>
  <si>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</si>
  <si>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</si>
  <si>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</si>
  <si>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</si>
  <si>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</si>
  <si>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</si>
  <si>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</si>
  <si>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</si>
  <si>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</si>
  <si>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</si>
  <si>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</si>
  <si>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</si>
  <si>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</si>
  <si>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</si>
  <si>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</si>
  <si>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</si>
  <si>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</si>
  <si>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</si>
  <si>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</si>
  <si>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</si>
  <si>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</si>
  <si>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</si>
  <si>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</si>
  <si>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</si>
  <si>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</si>
  <si>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</si>
  <si>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</si>
  <si>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</si>
  <si>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</si>
  <si>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</si>
  <si>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</si>
  <si>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</si>
  <si>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</si>
  <si>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</si>
  <si>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</si>
  <si>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</si>
  <si>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</si>
  <si>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</si>
  <si>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</si>
  <si>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</si>
  <si>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</si>
  <si>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</si>
  <si>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</si>
  <si>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</si>
  <si>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</si>
  <si>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</si>
  <si>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</si>
  <si>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</si>
  <si>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</si>
  <si>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</si>
  <si>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</si>
  <si>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</si>
  <si>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</si>
  <si>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</si>
  <si>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</si>
  <si>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</si>
  <si>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</si>
  <si>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</si>
  <si>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</si>
  <si>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</si>
  <si>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</si>
  <si>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</si>
  <si>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</si>
  <si>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</si>
  <si>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</si>
  <si>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</si>
  <si>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</si>
  <si>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</si>
  <si>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</si>
  <si>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</si>
  <si>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</si>
  <si>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</si>
  <si>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</si>
  <si>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</si>
  <si>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</si>
  <si>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</si>
  <si>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</si>
  <si>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前1期</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</si>
  <si>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</si>
  <si>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</si>
  <si>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</si>
  <si>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</si>
  <si>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</si>
  <si>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</si>
  <si>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</si>
  <si>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</si>
  <si>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</si>
  <si>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</si>
  <si>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</si>
  <si>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</si>
  <si>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</si>
  <si>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</si>
  <si>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</si>
  <si>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</si>
  <si>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</si>
  <si>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</si>
  <si>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</si>
  <si>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r>
      <t>期末收到华软本部打款4</t>
    </r>
    <r>
      <rPr>
        <sz val="10"/>
        <rFont val="宋体"/>
        <family val="3"/>
        <charset val="134"/>
      </rPr>
      <t>00万。</t>
    </r>
    <phoneticPr fontId="163" type="noConversion"/>
  </si>
  <si>
    <t>关联往来</t>
    <phoneticPr fontId="163" type="noConversion"/>
  </si>
  <si>
    <t>商贸公司购买，卖给连珠科技，交易真实性？</t>
    <phoneticPr fontId="163" type="noConversion"/>
  </si>
  <si>
    <t>倍升股权减少</t>
    <phoneticPr fontId="163" type="noConversion"/>
  </si>
  <si>
    <t>提？</t>
    <phoneticPr fontId="163" type="noConversion"/>
  </si>
  <si>
    <t>人数增加了？</t>
    <phoneticPr fontId="163" type="noConversion"/>
  </si>
  <si>
    <r>
      <t>恒沙，湖南，及3</t>
    </r>
    <r>
      <rPr>
        <sz val="10"/>
        <rFont val="宋体"/>
        <family val="3"/>
        <charset val="134"/>
      </rPr>
      <t>500万减少，其他系关联方减少</t>
    </r>
    <phoneticPr fontId="163" type="noConversion"/>
  </si>
  <si>
    <t>都是卖手机的。。</t>
  </si>
  <si>
    <t>都是卖手机的。。</t>
    <phoneticPr fontId="163" type="noConversion"/>
  </si>
  <si>
    <t>管理费用</t>
    <phoneticPr fontId="163" type="noConversion"/>
  </si>
  <si>
    <t>职工薪酬</t>
    <phoneticPr fontId="163" type="noConversion"/>
  </si>
  <si>
    <t>应付职工薪酬</t>
    <phoneticPr fontId="163" type="noConversion"/>
  </si>
  <si>
    <t>根据实际发放金额调整年终奖金额</t>
    <phoneticPr fontId="163" type="noConversion"/>
  </si>
  <si>
    <t>应纳所得税计算表</t>
    <phoneticPr fontId="163" type="noConversion"/>
  </si>
  <si>
    <r>
      <t>2018</t>
    </r>
    <r>
      <rPr>
        <b/>
        <sz val="10"/>
        <rFont val="宋体"/>
        <family val="3"/>
        <charset val="134"/>
      </rPr>
      <t>年</t>
    </r>
    <r>
      <rPr>
        <b/>
        <sz val="10"/>
        <rFont val="Arial Narrow"/>
        <family val="2"/>
      </rPr>
      <t/>
    </r>
    <phoneticPr fontId="163" type="noConversion"/>
  </si>
  <si>
    <t>项目</t>
    <phoneticPr fontId="163" type="noConversion"/>
  </si>
  <si>
    <r>
      <t>2018</t>
    </r>
    <r>
      <rPr>
        <b/>
        <sz val="10"/>
        <rFont val="宋体"/>
        <family val="3"/>
        <charset val="134"/>
      </rPr>
      <t>年度</t>
    </r>
    <phoneticPr fontId="163" type="noConversion"/>
  </si>
  <si>
    <t>备注</t>
    <phoneticPr fontId="163" type="noConversion"/>
  </si>
  <si>
    <t>调整后利润总额</t>
  </si>
  <si>
    <t>加：纳税调整增加额</t>
    <phoneticPr fontId="163" type="noConversion"/>
  </si>
  <si>
    <t>业务招待费60%</t>
  </si>
  <si>
    <t>营业收入0.5%</t>
  </si>
  <si>
    <t>营业收入15%</t>
  </si>
  <si>
    <t>纳税调整</t>
  </si>
  <si>
    <t>不可抵扣坏账损失</t>
  </si>
  <si>
    <t>业务招待费</t>
    <phoneticPr fontId="163" type="noConversion"/>
  </si>
  <si>
    <t>广告宣传费</t>
    <phoneticPr fontId="163" type="noConversion"/>
  </si>
  <si>
    <t>短期投资减值</t>
  </si>
  <si>
    <t>长期投资减值</t>
  </si>
  <si>
    <t>固定资产减值</t>
  </si>
  <si>
    <t>股权差额摊销</t>
  </si>
  <si>
    <t>罚款、滞纳金</t>
  </si>
  <si>
    <t>捐赠支出</t>
    <phoneticPr fontId="163" type="noConversion"/>
  </si>
  <si>
    <t>各种赞助支出</t>
  </si>
  <si>
    <t>不可抵扣开发支出费</t>
    <phoneticPr fontId="163" type="noConversion"/>
  </si>
  <si>
    <t>账面金额</t>
    <phoneticPr fontId="163" type="noConversion"/>
  </si>
  <si>
    <t>工资支出</t>
  </si>
  <si>
    <t>工资总额</t>
    <phoneticPr fontId="163" type="noConversion"/>
  </si>
  <si>
    <t>职工福利费</t>
    <phoneticPr fontId="163" type="noConversion"/>
  </si>
  <si>
    <t>职工教育经费</t>
  </si>
  <si>
    <t>职工教育经费</t>
    <phoneticPr fontId="163" type="noConversion"/>
  </si>
  <si>
    <t>计提的专项储备调整</t>
    <phoneticPr fontId="163" type="noConversion"/>
  </si>
  <si>
    <t>工会经费</t>
    <phoneticPr fontId="163" type="noConversion"/>
  </si>
  <si>
    <t>不征税收入形成的费用</t>
    <phoneticPr fontId="163" type="noConversion"/>
  </si>
  <si>
    <t>与取得收入无关的支出</t>
    <phoneticPr fontId="163" type="noConversion"/>
  </si>
  <si>
    <t>业务招待费</t>
  </si>
  <si>
    <t>其他</t>
    <phoneticPr fontId="163" type="noConversion"/>
  </si>
  <si>
    <t>减：纳税调整减少额</t>
    <phoneticPr fontId="163" type="noConversion"/>
  </si>
  <si>
    <t>联营企业分回利润</t>
  </si>
  <si>
    <t>国库券利息收入</t>
  </si>
  <si>
    <t>上年留抵</t>
  </si>
  <si>
    <t>坏账核销</t>
    <phoneticPr fontId="163" type="noConversion"/>
  </si>
  <si>
    <t>不征税收入</t>
    <phoneticPr fontId="163" type="noConversion"/>
  </si>
  <si>
    <t>居民企业间股息、红利</t>
    <phoneticPr fontId="163" type="noConversion"/>
  </si>
  <si>
    <t>加计扣除</t>
  </si>
  <si>
    <t>二、应纳税所得额</t>
    <phoneticPr fontId="163" type="noConversion"/>
  </si>
  <si>
    <t>适用税率</t>
  </si>
  <si>
    <t>应纳所得税额</t>
  </si>
  <si>
    <t>已计提所得税</t>
  </si>
  <si>
    <t>取账面计提的当期所得税费用</t>
    <phoneticPr fontId="254" type="noConversion"/>
  </si>
  <si>
    <t>应调整差额</t>
  </si>
  <si>
    <t>所得税费用</t>
    <phoneticPr fontId="163" type="noConversion"/>
  </si>
  <si>
    <t>递延所得税计算表</t>
    <phoneticPr fontId="163" type="noConversion"/>
  </si>
  <si>
    <r>
      <t>2018</t>
    </r>
    <r>
      <rPr>
        <b/>
        <sz val="12"/>
        <rFont val="宋体"/>
        <family val="3"/>
        <charset val="134"/>
      </rPr>
      <t>年</t>
    </r>
    <r>
      <rPr>
        <b/>
        <sz val="12"/>
        <rFont val="Arial Narrow"/>
        <family val="2"/>
      </rPr>
      <t/>
    </r>
    <phoneticPr fontId="163" type="noConversion"/>
  </si>
  <si>
    <r>
      <rPr>
        <b/>
        <sz val="10"/>
        <rFont val="宋体"/>
        <family val="3"/>
        <charset val="134"/>
      </rPr>
      <t>项目</t>
    </r>
    <phoneticPr fontId="163" type="noConversion"/>
  </si>
  <si>
    <r>
      <rPr>
        <b/>
        <sz val="10"/>
        <rFont val="宋体"/>
        <family val="3"/>
        <charset val="134"/>
      </rPr>
      <t>年初账面价值与计税基础差异</t>
    </r>
    <phoneticPr fontId="163" type="noConversion"/>
  </si>
  <si>
    <r>
      <rPr>
        <b/>
        <sz val="10"/>
        <rFont val="宋体"/>
        <family val="3"/>
        <charset val="134"/>
      </rPr>
      <t>年初应确认递延所得税</t>
    </r>
    <phoneticPr fontId="163" type="noConversion"/>
  </si>
  <si>
    <r>
      <rPr>
        <b/>
        <sz val="10"/>
        <rFont val="宋体"/>
        <family val="3"/>
        <charset val="134"/>
      </rPr>
      <t>年末账面价值与计税基础差异</t>
    </r>
    <phoneticPr fontId="163" type="noConversion"/>
  </si>
  <si>
    <t>年末应确认递延所得税</t>
    <phoneticPr fontId="163" type="noConversion"/>
  </si>
  <si>
    <r>
      <rPr>
        <b/>
        <sz val="10"/>
        <rFont val="宋体"/>
        <family val="3"/>
        <charset val="134"/>
      </rPr>
      <t>账面已确认金额</t>
    </r>
    <phoneticPr fontId="163" type="noConversion"/>
  </si>
  <si>
    <r>
      <rPr>
        <b/>
        <sz val="10"/>
        <rFont val="宋体"/>
        <family val="3"/>
        <charset val="134"/>
      </rPr>
      <t>应调整</t>
    </r>
    <phoneticPr fontId="163" type="noConversion"/>
  </si>
  <si>
    <r>
      <rPr>
        <b/>
        <sz val="10"/>
        <rFont val="宋体"/>
        <family val="3"/>
        <charset val="134"/>
      </rPr>
      <t>所得税率</t>
    </r>
    <phoneticPr fontId="163" type="noConversion"/>
  </si>
  <si>
    <r>
      <rPr>
        <sz val="10"/>
        <color indexed="8"/>
        <rFont val="宋体"/>
        <family val="3"/>
        <charset val="134"/>
      </rPr>
      <t>坏账准备</t>
    </r>
    <phoneticPr fontId="163" type="noConversion"/>
  </si>
  <si>
    <t>应收票据</t>
    <phoneticPr fontId="163" type="noConversion"/>
  </si>
  <si>
    <r>
      <rPr>
        <sz val="10"/>
        <color indexed="8"/>
        <rFont val="宋体"/>
        <family val="3"/>
        <charset val="134"/>
      </rPr>
      <t>存货跌价准备</t>
    </r>
  </si>
  <si>
    <t>预计负债</t>
    <phoneticPr fontId="163" type="noConversion"/>
  </si>
  <si>
    <t>不满足资本化条件的无形资产费用化而税法上仍确认为无形资产并计提摊销形成的差异</t>
    <phoneticPr fontId="163" type="noConversion"/>
  </si>
  <si>
    <r>
      <rPr>
        <sz val="10"/>
        <color indexed="8"/>
        <rFont val="宋体"/>
        <family val="3"/>
        <charset val="134"/>
      </rPr>
      <t>未弥补亏损</t>
    </r>
    <phoneticPr fontId="163" type="noConversion"/>
  </si>
  <si>
    <t>等沟通结果</t>
    <phoneticPr fontId="163" type="noConversion"/>
  </si>
  <si>
    <r>
      <rPr>
        <sz val="10"/>
        <color indexed="8"/>
        <rFont val="宋体"/>
        <family val="3"/>
        <charset val="134"/>
      </rPr>
      <t>递延所得税资产合计</t>
    </r>
    <phoneticPr fontId="163" type="noConversion"/>
  </si>
  <si>
    <r>
      <rPr>
        <sz val="10"/>
        <color indexed="8"/>
        <rFont val="宋体"/>
        <family val="3"/>
        <charset val="134"/>
      </rPr>
      <t>可供出售金融资产</t>
    </r>
    <phoneticPr fontId="163" type="noConversion"/>
  </si>
  <si>
    <r>
      <rPr>
        <sz val="10"/>
        <color indexed="8"/>
        <rFont val="宋体"/>
        <family val="3"/>
        <charset val="134"/>
      </rPr>
      <t>递延所得税负债合计</t>
    </r>
    <phoneticPr fontId="163" type="noConversion"/>
  </si>
  <si>
    <t>报表数</t>
    <phoneticPr fontId="163" type="noConversion"/>
  </si>
  <si>
    <t>CHECK</t>
    <phoneticPr fontId="163" type="noConversion"/>
  </si>
  <si>
    <t>变动额</t>
    <phoneticPr fontId="163" type="noConversion"/>
  </si>
  <si>
    <t>合并范围内关联往来</t>
    <phoneticPr fontId="163" type="noConversion"/>
  </si>
  <si>
    <t>待抵扣进项税额</t>
  </si>
  <si>
    <t>预缴所得税</t>
  </si>
  <si>
    <t>电子设备及其他</t>
  </si>
  <si>
    <t>印花税</t>
    <phoneticPr fontId="163" type="noConversion"/>
  </si>
  <si>
    <t>代扣代缴社保公积金</t>
  </si>
  <si>
    <t>合并范围内关联方往来款</t>
  </si>
  <si>
    <t>应付股权款</t>
  </si>
  <si>
    <t>非关联方往来款</t>
  </si>
  <si>
    <t>融资租赁及保理</t>
  </si>
  <si>
    <t>职工薪酬</t>
  </si>
  <si>
    <t>折旧与摊销</t>
  </si>
  <si>
    <t>办公费</t>
  </si>
  <si>
    <t>差旅费</t>
  </si>
  <si>
    <t>稳岗补贴</t>
  </si>
  <si>
    <t>%IN</t>
    <phoneticPr fontId="163" type="noConversion"/>
  </si>
  <si>
    <t>子公司分配利润-倍升互联</t>
  </si>
  <si>
    <t>子公司分配利润-西藏金铭</t>
  </si>
  <si>
    <t>无须纳税的收入（以“-”填列）</t>
  </si>
  <si>
    <t>现流表大数复核</t>
    <phoneticPr fontId="163" type="noConversion"/>
  </si>
  <si>
    <t>销售商品</t>
    <phoneticPr fontId="163" type="noConversion"/>
  </si>
  <si>
    <t>期末</t>
    <phoneticPr fontId="163" type="noConversion"/>
  </si>
  <si>
    <t>期初</t>
    <phoneticPr fontId="163" type="noConversion"/>
  </si>
  <si>
    <t>预收款项</t>
    <phoneticPr fontId="163" type="noConversion"/>
  </si>
  <si>
    <t>营业收入</t>
    <phoneticPr fontId="163" type="noConversion"/>
  </si>
  <si>
    <t>销项税</t>
    <phoneticPr fontId="163" type="noConversion"/>
  </si>
  <si>
    <t>本期发生</t>
    <phoneticPr fontId="163" type="noConversion"/>
  </si>
  <si>
    <t>应收账款原值</t>
    <phoneticPr fontId="163" type="noConversion"/>
  </si>
  <si>
    <t>支付薪酬</t>
    <phoneticPr fontId="163" type="noConversion"/>
  </si>
  <si>
    <r>
      <rPr>
        <sz val="10"/>
        <rFont val="宋体"/>
        <family val="3"/>
        <charset val="134"/>
      </rPr>
      <t>本期发生</t>
    </r>
    <phoneticPr fontId="163" type="noConversion"/>
  </si>
  <si>
    <t>税费</t>
    <phoneticPr fontId="163" type="noConversion"/>
  </si>
  <si>
    <t>应交税费</t>
    <phoneticPr fontId="163" type="noConversion"/>
  </si>
  <si>
    <t>税金及附加</t>
    <phoneticPr fontId="163" type="noConversion"/>
  </si>
  <si>
    <t>利息收入</t>
    <phoneticPr fontId="163" type="noConversion"/>
  </si>
  <si>
    <t>政府补助</t>
    <phoneticPr fontId="163" type="noConversion"/>
  </si>
  <si>
    <t>保证金</t>
    <phoneticPr fontId="163" type="noConversion"/>
  </si>
  <si>
    <t>备用金</t>
    <phoneticPr fontId="163" type="noConversion"/>
  </si>
  <si>
    <t>广州华津</t>
    <phoneticPr fontId="163" type="noConversion"/>
  </si>
  <si>
    <t>金陵华软</t>
    <phoneticPr fontId="163" type="noConversion"/>
  </si>
  <si>
    <t>深圳金信</t>
    <phoneticPr fontId="163" type="noConversion"/>
  </si>
  <si>
    <t>员工借款</t>
  </si>
  <si>
    <t>支付的费用</t>
  </si>
  <si>
    <t>手续费</t>
    <phoneticPr fontId="163" type="noConversion"/>
  </si>
  <si>
    <t>退货款</t>
    <phoneticPr fontId="163" type="noConversion"/>
  </si>
  <si>
    <t>个税</t>
  </si>
  <si>
    <t>单体版修改，合并版暂不动</t>
    <phoneticPr fontId="163" type="noConversion"/>
  </si>
  <si>
    <t>单体版替换为左侧数字</t>
  </si>
  <si>
    <t>单体版替换为左侧数字</t>
    <phoneticPr fontId="163" type="noConversion"/>
  </si>
  <si>
    <t>应收合并范围内关联方</t>
    <phoneticPr fontId="163" type="noConversion"/>
  </si>
  <si>
    <t>移动设备贸易</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</si>
</sst>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1">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 numFmtId="210" formatCode="&quot;一、&quot;@"/>
    <numFmt numFmtId="211" formatCode="&quot;减&quot;\:&quot;@&quot;"/>
    <numFmt numFmtId="212" formatCode="_([$€-2]* #,##0.00_);_([$€-2]* \(#,##0.00\);_([$€-2]* &quot;-&quot;??_)"/>
    <numFmt numFmtId="213" formatCode="\ \ \ \ \ @"/>
    <numFmt numFmtId="214" formatCode="\ @"/>
    <numFmt numFmtId="215" formatCode="_(&quot;¥&quot;* #,##0.00_);_(&quot;¥&quot;* \(#,##0.00\);_(&quot;¥&quot;* &quot;-&quot;??_);_(@_)"/>
  </numFmts>
  <fonts count="259">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
      <sz val="9"/>
      <name val="宋体"/>
      <family val="2"/>
      <charset val="134"/>
      <scheme val="minor"/>
    </font>
    <font>
      <b/>
      <sz val="24"/>
      <name val="宋体"/>
      <family val="3"/>
      <charset val="134"/>
    </font>
    <font>
      <b/>
      <sz val="24"/>
      <name val="Arial Narrow"/>
      <family val="2"/>
    </font>
    <font>
      <b/>
      <sz val="12"/>
      <name val="Arial Narrow"/>
      <family val="2"/>
    </font>
    <font>
      <b/>
      <sz val="12"/>
      <name val="宋体"/>
      <family val="3"/>
      <charset val="134"/>
    </font>
  </fonts>
  <fills count="29">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indexed="55"/>
        <bgColor indexed="64"/>
      </patternFill>
    </fill>
    <fill>
      <patternFill patternType="solid">
        <fgColor rgb="FF92D050"/>
        <bgColor indexed="64"/>
      </patternFill>
    </fill>
    <fill>
      <patternFill patternType="solid">
        <fgColor rgb="FFFFFF00"/>
        <bgColor indexed="64"/>
      </patternFill>
    </fill>
  </fills>
  <borders count="347">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style="thin">
        <color indexed="14"/>
      </left>
      <right style="double">
        <color indexed="14"/>
      </right>
      <top style="thin">
        <color indexed="14"/>
      </top>
      <bottom style="double">
        <color indexed="14"/>
      </bottom>
      <diagonal/>
    </border>
    <border>
      <left style="thin">
        <color indexed="14"/>
      </left>
      <right/>
      <top style="double">
        <color indexed="14"/>
      </top>
      <bottom style="thin">
        <color indexed="14"/>
      </bottom>
      <diagonal/>
    </border>
    <border>
      <left style="double">
        <color indexed="14"/>
      </left>
      <right style="thin">
        <color indexed="14"/>
      </right>
      <top/>
      <bottom style="thin">
        <color indexed="14"/>
      </bottom>
      <diagonal/>
    </border>
    <border>
      <left style="thin">
        <color indexed="14"/>
      </left>
      <right style="thin">
        <color indexed="14"/>
      </right>
      <top/>
      <bottom style="thin">
        <color indexed="14"/>
      </bottom>
      <diagonal/>
    </border>
    <border>
      <left style="thin">
        <color indexed="14"/>
      </left>
      <right/>
      <top/>
      <bottom style="thin">
        <color indexed="14"/>
      </bottom>
      <diagonal/>
    </border>
    <border>
      <left style="thin">
        <color indexed="14"/>
      </left>
      <right style="double">
        <color indexed="14"/>
      </right>
      <top/>
      <bottom style="thin">
        <color indexed="14"/>
      </bottom>
      <diagonal/>
    </border>
    <border>
      <left style="thin">
        <color indexed="14"/>
      </left>
      <right/>
      <top style="thin">
        <color indexed="14"/>
      </top>
      <bottom style="thin">
        <color indexed="14"/>
      </bottom>
      <diagonal/>
    </border>
    <border>
      <left style="double">
        <color indexed="14"/>
      </left>
      <right style="thin">
        <color indexed="14"/>
      </right>
      <top style="thin">
        <color indexed="14"/>
      </top>
      <bottom/>
      <diagonal/>
    </border>
    <border>
      <left style="thin">
        <color indexed="14"/>
      </left>
      <right style="thin">
        <color indexed="14"/>
      </right>
      <top style="thin">
        <color indexed="14"/>
      </top>
      <bottom/>
      <diagonal/>
    </border>
    <border>
      <left style="thin">
        <color indexed="14"/>
      </left>
      <right/>
      <top style="thin">
        <color indexed="14"/>
      </top>
      <bottom/>
      <diagonal/>
    </border>
    <border>
      <left style="thin">
        <color indexed="14"/>
      </left>
      <right/>
      <top style="thin">
        <color indexed="14"/>
      </top>
      <bottom style="double">
        <color indexed="14"/>
      </bottom>
      <diagonal/>
    </border>
  </borders>
  <cellStyleXfs count="149">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176" fontId="2" fillId="0" borderId="0" applyFont="0" applyFill="0" applyBorder="0" applyAlignment="0" applyProtection="0"/>
    <xf numFmtId="0" fontId="2" fillId="0" borderId="0">
      <alignment vertical="center"/>
    </xf>
    <xf numFmtId="212" fontId="1" fillId="0" borderId="0">
      <alignment vertical="center"/>
    </xf>
    <xf numFmtId="212" fontId="2" fillId="0" borderId="0"/>
    <xf numFmtId="9" fontId="2" fillId="0" borderId="0" applyFont="0" applyFill="0" applyBorder="0" applyAlignment="0" applyProtection="0"/>
    <xf numFmtId="212" fontId="2" fillId="0" borderId="0"/>
    <xf numFmtId="176" fontId="2" fillId="0" borderId="0" applyFont="0" applyFill="0" applyBorder="0" applyAlignment="0" applyProtection="0"/>
    <xf numFmtId="9" fontId="2" fillId="0" borderId="0" applyFont="0" applyFill="0" applyBorder="0" applyAlignment="0" applyProtection="0"/>
    <xf numFmtId="212" fontId="2" fillId="0" borderId="0">
      <alignment vertical="center"/>
    </xf>
  </cellStyleXfs>
  <cellXfs count="3462">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9" xfId="0" applyFont="1" applyFill="1" applyBorder="1" applyAlignment="1" applyProtection="1">
      <alignment horizontal="center" vertical="center"/>
      <protection hidden="1"/>
    </xf>
    <xf numFmtId="177" fontId="22" fillId="17" borderId="318" xfId="120" applyNumberFormat="1" applyFont="1" applyFill="1" applyBorder="1" applyAlignment="1" applyProtection="1">
      <alignment vertical="center" shrinkToFit="1"/>
    </xf>
    <xf numFmtId="177" fontId="22" fillId="17" borderId="31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177" fontId="0" fillId="2" borderId="0" xfId="0" applyNumberFormat="1" applyFill="1" applyProtection="1">
      <alignment vertical="center"/>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4" xfId="0" applyFont="1" applyFill="1" applyBorder="1" applyAlignment="1" applyProtection="1">
      <alignment vertical="center" wrapText="1"/>
    </xf>
    <xf numFmtId="177" fontId="1" fillId="0" borderId="0" xfId="19" applyNumberFormat="1" applyFill="1" applyProtection="1">
      <alignment vertical="center"/>
      <protection locked="0"/>
    </xf>
    <xf numFmtId="0" fontId="1" fillId="0" borderId="27" xfId="0" applyFont="1" applyFill="1" applyBorder="1" applyAlignment="1" applyProtection="1">
      <alignment vertical="center" wrapText="1"/>
      <protection locked="0"/>
    </xf>
    <xf numFmtId="0" fontId="1" fillId="0" borderId="13" xfId="0" applyFont="1" applyFill="1" applyBorder="1" applyAlignment="1" applyProtection="1">
      <alignment vertical="center" wrapText="1"/>
      <protection locked="0"/>
    </xf>
    <xf numFmtId="0" fontId="1" fillId="0" borderId="27" xfId="0" applyNumberFormat="1" applyFont="1" applyFill="1" applyBorder="1" applyAlignment="1" applyProtection="1">
      <alignment horizontal="left" vertical="center"/>
      <protection locked="0"/>
    </xf>
    <xf numFmtId="0" fontId="22" fillId="26" borderId="0" xfId="12" applyFont="1" applyFill="1" applyAlignment="1" applyProtection="1">
      <alignment vertical="center"/>
    </xf>
    <xf numFmtId="0" fontId="5" fillId="4" borderId="328" xfId="12" applyFont="1" applyFill="1" applyBorder="1" applyAlignment="1" applyProtection="1">
      <alignment horizontal="center" vertical="center" shrinkToFit="1"/>
    </xf>
    <xf numFmtId="176" fontId="21" fillId="4" borderId="329" xfId="140" applyFont="1" applyFill="1" applyBorder="1" applyAlignment="1" applyProtection="1">
      <alignment horizontal="center" vertical="center"/>
    </xf>
    <xf numFmtId="176" fontId="5" fillId="4" borderId="330" xfId="140" applyFont="1" applyFill="1" applyBorder="1" applyAlignment="1" applyProtection="1">
      <alignment horizontal="center" vertical="center"/>
    </xf>
    <xf numFmtId="210" fontId="1" fillId="5" borderId="331" xfId="12" applyNumberFormat="1" applyFont="1" applyFill="1" applyBorder="1" applyAlignment="1" applyProtection="1">
      <alignment vertical="center" shrinkToFit="1"/>
    </xf>
    <xf numFmtId="176" fontId="22" fillId="5" borderId="332" xfId="140" applyFont="1" applyFill="1" applyBorder="1" applyAlignment="1" applyProtection="1">
      <alignment vertical="center" shrinkToFit="1"/>
    </xf>
    <xf numFmtId="176" fontId="22" fillId="5" borderId="333" xfId="140" applyFont="1" applyFill="1" applyBorder="1" applyAlignment="1" applyProtection="1">
      <alignment vertical="center" shrinkToFit="1"/>
    </xf>
    <xf numFmtId="211" fontId="58" fillId="5" borderId="331" xfId="141" applyNumberFormat="1" applyFont="1" applyFill="1" applyBorder="1" applyAlignment="1" applyProtection="1">
      <alignment vertical="center" wrapText="1"/>
    </xf>
    <xf numFmtId="212" fontId="1" fillId="0" borderId="0" xfId="142">
      <alignment vertical="center"/>
    </xf>
    <xf numFmtId="212" fontId="22" fillId="0" borderId="0" xfId="142" applyNumberFormat="1" applyFont="1" applyAlignment="1">
      <alignment vertical="center" wrapText="1"/>
    </xf>
    <xf numFmtId="212" fontId="1" fillId="0" borderId="0" xfId="142" applyAlignment="1">
      <alignment vertical="center" wrapText="1"/>
    </xf>
    <xf numFmtId="213" fontId="58" fillId="5" borderId="331" xfId="141" applyNumberFormat="1" applyFont="1" applyFill="1" applyBorder="1" applyAlignment="1" applyProtection="1">
      <alignment vertical="center" wrapText="1"/>
    </xf>
    <xf numFmtId="176" fontId="1" fillId="5" borderId="333" xfId="140" applyFont="1" applyFill="1" applyBorder="1" applyAlignment="1" applyProtection="1">
      <alignment vertical="center" shrinkToFit="1"/>
    </xf>
    <xf numFmtId="177" fontId="22" fillId="0" borderId="0" xfId="142" applyNumberFormat="1" applyFont="1" applyAlignment="1">
      <alignment vertical="center" shrinkToFit="1"/>
    </xf>
    <xf numFmtId="0" fontId="1" fillId="26" borderId="0" xfId="12" applyFont="1" applyFill="1" applyAlignment="1" applyProtection="1">
      <alignment vertical="center"/>
    </xf>
    <xf numFmtId="177" fontId="22" fillId="26" borderId="0" xfId="12" applyNumberFormat="1" applyFont="1" applyFill="1" applyAlignment="1" applyProtection="1">
      <alignment vertical="center" shrinkToFit="1"/>
    </xf>
    <xf numFmtId="0" fontId="22" fillId="26" borderId="0" xfId="12" applyFont="1" applyFill="1" applyAlignment="1" applyProtection="1">
      <alignment vertical="center" wrapText="1"/>
    </xf>
    <xf numFmtId="177" fontId="22" fillId="26" borderId="0" xfId="12" applyNumberFormat="1" applyFont="1" applyFill="1" applyAlignment="1" applyProtection="1">
      <alignment vertical="center"/>
    </xf>
    <xf numFmtId="213" fontId="58" fillId="0" borderId="331" xfId="141" applyNumberFormat="1" applyFont="1" applyFill="1" applyBorder="1" applyAlignment="1" applyProtection="1">
      <alignment vertical="center" wrapText="1"/>
    </xf>
    <xf numFmtId="176" fontId="22" fillId="0" borderId="332" xfId="140" applyFont="1" applyFill="1" applyBorder="1" applyAlignment="1" applyProtection="1">
      <alignment vertical="center" shrinkToFit="1"/>
    </xf>
    <xf numFmtId="176" fontId="1" fillId="0" borderId="333" xfId="140" applyFont="1" applyFill="1" applyBorder="1" applyAlignment="1" applyProtection="1">
      <alignment vertical="center" shrinkToFit="1"/>
    </xf>
    <xf numFmtId="212" fontId="22" fillId="26" borderId="0" xfId="143" applyFont="1" applyFill="1" applyAlignment="1" applyProtection="1">
      <alignment vertical="center"/>
    </xf>
    <xf numFmtId="177" fontId="22" fillId="26" borderId="0" xfId="143" applyNumberFormat="1" applyFont="1" applyFill="1" applyAlignment="1" applyProtection="1">
      <alignment vertical="center" shrinkToFit="1"/>
    </xf>
    <xf numFmtId="212" fontId="1" fillId="26" borderId="0" xfId="143" applyFont="1" applyFill="1" applyAlignment="1" applyProtection="1">
      <alignment vertical="center"/>
    </xf>
    <xf numFmtId="10" fontId="22" fillId="26" borderId="0" xfId="143" applyNumberFormat="1" applyFont="1" applyFill="1" applyAlignment="1" applyProtection="1">
      <alignment vertical="center" shrinkToFit="1"/>
    </xf>
    <xf numFmtId="176" fontId="22" fillId="26" borderId="0" xfId="12" applyNumberFormat="1" applyFont="1" applyFill="1" applyAlignment="1" applyProtection="1">
      <alignment vertical="center"/>
    </xf>
    <xf numFmtId="214" fontId="58" fillId="5" borderId="331" xfId="141" applyNumberFormat="1" applyFont="1" applyFill="1" applyBorder="1" applyAlignment="1" applyProtection="1">
      <alignment vertical="center" wrapText="1"/>
    </xf>
    <xf numFmtId="9" fontId="22" fillId="27" borderId="332" xfId="144" applyFont="1" applyFill="1" applyBorder="1" applyAlignment="1" applyProtection="1">
      <alignment vertical="center" shrinkToFit="1"/>
    </xf>
    <xf numFmtId="213" fontId="58" fillId="5" borderId="334" xfId="141" applyNumberFormat="1" applyFont="1" applyFill="1" applyBorder="1" applyAlignment="1" applyProtection="1">
      <alignment vertical="center" wrapText="1"/>
    </xf>
    <xf numFmtId="176" fontId="22" fillId="27" borderId="335" xfId="140" applyFont="1" applyFill="1" applyBorder="1" applyAlignment="1" applyProtection="1">
      <alignment vertical="center" shrinkToFit="1"/>
    </xf>
    <xf numFmtId="176" fontId="22" fillId="5" borderId="336" xfId="140" applyFont="1" applyFill="1" applyBorder="1" applyAlignment="1" applyProtection="1">
      <alignment vertical="center" shrinkToFit="1"/>
    </xf>
    <xf numFmtId="176" fontId="22" fillId="26" borderId="0" xfId="140" applyFont="1" applyFill="1" applyAlignment="1" applyProtection="1">
      <alignment vertical="center"/>
    </xf>
    <xf numFmtId="0" fontId="86" fillId="26" borderId="0" xfId="12" applyFont="1" applyFill="1" applyAlignment="1" applyProtection="1">
      <alignment vertical="center"/>
    </xf>
    <xf numFmtId="212" fontId="86" fillId="26" borderId="0" xfId="145" applyFont="1" applyFill="1" applyAlignment="1" applyProtection="1">
      <alignment vertical="center"/>
    </xf>
    <xf numFmtId="212" fontId="257" fillId="26" borderId="0" xfId="145" applyFont="1" applyFill="1" applyAlignment="1" applyProtection="1">
      <alignment vertical="center"/>
    </xf>
    <xf numFmtId="176" fontId="257" fillId="26" borderId="0" xfId="146" applyFont="1" applyFill="1" applyAlignment="1" applyProtection="1">
      <alignment vertical="center"/>
    </xf>
    <xf numFmtId="176" fontId="258" fillId="26" borderId="0" xfId="146" applyFont="1" applyFill="1" applyAlignment="1" applyProtection="1">
      <alignment horizontal="right" vertical="center"/>
    </xf>
    <xf numFmtId="212" fontId="257" fillId="26" borderId="0" xfId="145" applyNumberFormat="1" applyFont="1" applyFill="1" applyAlignment="1" applyProtection="1">
      <alignment horizontal="left" vertical="center"/>
      <protection hidden="1"/>
    </xf>
    <xf numFmtId="212" fontId="21" fillId="4" borderId="328" xfId="145" applyFont="1" applyFill="1" applyBorder="1" applyAlignment="1" applyProtection="1">
      <alignment horizontal="center" vertical="center" shrinkToFit="1"/>
    </xf>
    <xf numFmtId="176" fontId="21" fillId="4" borderId="329" xfId="146" applyFont="1" applyFill="1" applyBorder="1" applyAlignment="1" applyProtection="1">
      <alignment horizontal="center" vertical="center" wrapText="1" shrinkToFit="1"/>
    </xf>
    <xf numFmtId="176" fontId="5" fillId="4" borderId="337" xfId="146" applyFont="1" applyFill="1" applyBorder="1" applyAlignment="1" applyProtection="1">
      <alignment horizontal="center" vertical="center" wrapText="1" shrinkToFit="1"/>
    </xf>
    <xf numFmtId="176" fontId="21" fillId="4" borderId="337" xfId="146" applyFont="1" applyFill="1" applyBorder="1" applyAlignment="1" applyProtection="1">
      <alignment horizontal="center" vertical="center" wrapText="1" shrinkToFit="1"/>
    </xf>
    <xf numFmtId="176" fontId="21" fillId="4" borderId="330" xfId="146" applyFont="1" applyFill="1" applyBorder="1" applyAlignment="1" applyProtection="1">
      <alignment horizontal="center" vertical="center"/>
    </xf>
    <xf numFmtId="212" fontId="21" fillId="4" borderId="338" xfId="145" applyFont="1" applyFill="1" applyBorder="1" applyAlignment="1" applyProtection="1">
      <alignment horizontal="center" vertical="center" shrinkToFit="1"/>
    </xf>
    <xf numFmtId="176" fontId="21" fillId="4" borderId="339" xfId="146" applyFont="1" applyFill="1" applyBorder="1" applyAlignment="1" applyProtection="1">
      <alignment horizontal="center" vertical="center" wrapText="1" shrinkToFit="1"/>
    </xf>
    <xf numFmtId="9" fontId="65" fillId="4" borderId="340" xfId="147" applyFont="1" applyFill="1" applyBorder="1" applyAlignment="1" applyProtection="1">
      <alignment horizontal="center" vertical="center" wrapText="1" shrinkToFit="1"/>
    </xf>
    <xf numFmtId="176" fontId="21" fillId="4" borderId="340" xfId="146" applyFont="1" applyFill="1" applyBorder="1" applyAlignment="1" applyProtection="1">
      <alignment horizontal="center" vertical="center" wrapText="1" shrinkToFit="1"/>
    </xf>
    <xf numFmtId="176" fontId="21" fillId="4" borderId="341" xfId="146" applyFont="1" applyFill="1" applyBorder="1" applyAlignment="1" applyProtection="1">
      <alignment horizontal="center" vertical="center"/>
    </xf>
    <xf numFmtId="213" fontId="63" fillId="5" borderId="331" xfId="148" applyNumberFormat="1" applyFont="1" applyFill="1" applyBorder="1" applyAlignment="1" applyProtection="1">
      <alignment vertical="center" wrapText="1"/>
    </xf>
    <xf numFmtId="176" fontId="22" fillId="5" borderId="332" xfId="146" applyFont="1" applyFill="1" applyBorder="1" applyAlignment="1" applyProtection="1">
      <alignment vertical="center" shrinkToFit="1"/>
      <protection hidden="1"/>
    </xf>
    <xf numFmtId="176" fontId="22" fillId="5" borderId="342" xfId="146" applyFont="1" applyFill="1" applyBorder="1" applyAlignment="1" applyProtection="1">
      <alignment vertical="center" shrinkToFit="1"/>
      <protection hidden="1"/>
    </xf>
    <xf numFmtId="176" fontId="22" fillId="5" borderId="340" xfId="146" applyFont="1" applyFill="1" applyBorder="1" applyAlignment="1" applyProtection="1">
      <alignment horizontal="right" vertical="center" wrapText="1" shrinkToFit="1"/>
    </xf>
    <xf numFmtId="176" fontId="22" fillId="5" borderId="333" xfId="146" applyFont="1" applyFill="1" applyBorder="1" applyAlignment="1" applyProtection="1">
      <alignment vertical="center" shrinkToFit="1"/>
      <protection hidden="1"/>
    </xf>
    <xf numFmtId="176" fontId="86" fillId="26" borderId="0" xfId="145" applyNumberFormat="1" applyFont="1" applyFill="1" applyAlignment="1" applyProtection="1">
      <alignment vertical="center"/>
    </xf>
    <xf numFmtId="176" fontId="22" fillId="5" borderId="332" xfId="146" applyFont="1" applyFill="1" applyBorder="1" applyAlignment="1" applyProtection="1">
      <alignment vertical="center" shrinkToFit="1"/>
    </xf>
    <xf numFmtId="176" fontId="22" fillId="0" borderId="342" xfId="146" applyFont="1" applyFill="1" applyBorder="1" applyAlignment="1" applyProtection="1">
      <alignment vertical="center" shrinkToFit="1"/>
      <protection hidden="1"/>
    </xf>
    <xf numFmtId="213" fontId="58" fillId="5" borderId="331" xfId="148" applyNumberFormat="1" applyFont="1" applyFill="1" applyBorder="1" applyAlignment="1" applyProtection="1">
      <alignment vertical="center" wrapText="1"/>
    </xf>
    <xf numFmtId="176" fontId="22" fillId="0" borderId="342" xfId="146" applyFont="1" applyFill="1" applyBorder="1" applyAlignment="1" applyProtection="1">
      <alignment vertical="center" shrinkToFit="1"/>
    </xf>
    <xf numFmtId="215" fontId="86" fillId="26" borderId="0" xfId="145" applyNumberFormat="1" applyFont="1" applyFill="1" applyAlignment="1" applyProtection="1">
      <alignment vertical="center"/>
    </xf>
    <xf numFmtId="213" fontId="58" fillId="5" borderId="343" xfId="148" applyNumberFormat="1" applyFont="1" applyFill="1" applyBorder="1" applyAlignment="1" applyProtection="1">
      <alignment vertical="center" wrapText="1"/>
    </xf>
    <xf numFmtId="176" fontId="22" fillId="5" borderId="344" xfId="146" applyFont="1" applyFill="1" applyBorder="1" applyAlignment="1" applyProtection="1">
      <alignment vertical="center" shrinkToFit="1"/>
    </xf>
    <xf numFmtId="176" fontId="22" fillId="0" borderId="345" xfId="146" applyFont="1" applyFill="1" applyBorder="1" applyAlignment="1" applyProtection="1">
      <alignment vertical="center" shrinkToFit="1"/>
    </xf>
    <xf numFmtId="213" fontId="63" fillId="5" borderId="343" xfId="148" applyNumberFormat="1" applyFont="1" applyFill="1" applyBorder="1" applyAlignment="1" applyProtection="1">
      <alignment vertical="center" wrapText="1"/>
    </xf>
    <xf numFmtId="176" fontId="22" fillId="0" borderId="345" xfId="146" applyFont="1" applyFill="1" applyBorder="1" applyAlignment="1" applyProtection="1">
      <alignment vertical="center" shrinkToFit="1"/>
      <protection hidden="1"/>
    </xf>
    <xf numFmtId="0" fontId="1" fillId="26" borderId="0" xfId="145" applyNumberFormat="1" applyFont="1" applyFill="1" applyAlignment="1" applyProtection="1">
      <alignment vertical="center"/>
    </xf>
    <xf numFmtId="213" fontId="63" fillId="4" borderId="334" xfId="148" applyNumberFormat="1" applyFont="1" applyFill="1" applyBorder="1" applyAlignment="1" applyProtection="1">
      <alignment vertical="center" wrapText="1"/>
    </xf>
    <xf numFmtId="176" fontId="22" fillId="4" borderId="335" xfId="146" applyFont="1" applyFill="1" applyBorder="1" applyAlignment="1" applyProtection="1">
      <alignment vertical="center" shrinkToFit="1"/>
      <protection hidden="1"/>
    </xf>
    <xf numFmtId="176" fontId="22" fillId="5" borderId="342" xfId="146" applyFont="1" applyFill="1" applyBorder="1" applyAlignment="1" applyProtection="1">
      <alignment vertical="center" shrinkToFit="1"/>
    </xf>
    <xf numFmtId="176" fontId="22" fillId="5" borderId="333" xfId="146" applyFont="1" applyFill="1" applyBorder="1" applyAlignment="1" applyProtection="1">
      <alignment vertical="center" shrinkToFit="1"/>
    </xf>
    <xf numFmtId="176" fontId="22" fillId="4" borderId="335" xfId="146" applyFont="1" applyFill="1" applyBorder="1" applyAlignment="1" applyProtection="1">
      <alignment vertical="center" shrinkToFit="1"/>
    </xf>
    <xf numFmtId="176" fontId="22" fillId="4" borderId="346" xfId="146" applyFont="1" applyFill="1" applyBorder="1" applyAlignment="1" applyProtection="1">
      <alignment vertical="center" shrinkToFit="1"/>
    </xf>
    <xf numFmtId="176" fontId="22" fillId="4" borderId="336" xfId="146" applyFont="1" applyFill="1" applyBorder="1" applyAlignment="1" applyProtection="1">
      <alignment vertical="center" shrinkToFit="1"/>
    </xf>
    <xf numFmtId="177" fontId="22" fillId="26" borderId="0" xfId="145" applyNumberFormat="1" applyFont="1" applyFill="1" applyAlignment="1" applyProtection="1">
      <alignment vertical="center" shrinkToFit="1"/>
    </xf>
    <xf numFmtId="176" fontId="86" fillId="26" borderId="0" xfId="146" applyFont="1" applyFill="1" applyAlignment="1" applyProtection="1">
      <alignment vertical="center"/>
    </xf>
    <xf numFmtId="212" fontId="2" fillId="26" borderId="0" xfId="145" applyFill="1" applyAlignment="1" applyProtection="1">
      <alignment vertical="center"/>
    </xf>
    <xf numFmtId="176" fontId="86" fillId="26" borderId="0" xfId="146" applyFont="1" applyFill="1" applyAlignment="1" applyProtection="1">
      <alignment vertical="center"/>
      <protection hidden="1"/>
    </xf>
    <xf numFmtId="212" fontId="2" fillId="26" borderId="0" xfId="145" applyFont="1" applyFill="1" applyAlignment="1" applyProtection="1">
      <alignment vertical="center"/>
    </xf>
    <xf numFmtId="177" fontId="0" fillId="6" borderId="0" xfId="0" applyNumberFormat="1" applyFill="1" applyProtection="1">
      <alignment vertical="center"/>
      <protection locked="0"/>
    </xf>
    <xf numFmtId="0" fontId="1" fillId="0" borderId="0" xfId="0" applyFont="1">
      <alignment vertical="center"/>
    </xf>
    <xf numFmtId="177" fontId="0" fillId="0" borderId="0" xfId="0" applyNumberFormat="1">
      <alignment vertical="center"/>
    </xf>
    <xf numFmtId="177" fontId="0" fillId="0" borderId="0" xfId="0" applyNumberFormat="1" applyAlignment="1">
      <alignment vertical="center" shrinkToFit="1"/>
    </xf>
    <xf numFmtId="177" fontId="22" fillId="0" borderId="0" xfId="0" applyNumberFormat="1" applyFont="1" applyAlignment="1">
      <alignment vertical="center" shrinkToFit="1"/>
    </xf>
    <xf numFmtId="0" fontId="1" fillId="0" borderId="0" xfId="0" applyNumberFormat="1" applyFont="1" applyAlignment="1">
      <alignment vertical="center"/>
    </xf>
    <xf numFmtId="0" fontId="22" fillId="0" borderId="0" xfId="0" applyNumberFormat="1" applyFont="1" applyAlignment="1">
      <alignment vertical="center"/>
    </xf>
    <xf numFmtId="4" fontId="0" fillId="0" borderId="0" xfId="0" applyNumberFormat="1">
      <alignment vertical="center"/>
    </xf>
    <xf numFmtId="177" fontId="22" fillId="28" borderId="261" xfId="118" applyNumberFormat="1" applyFont="1" applyFill="1" applyBorder="1" applyAlignment="1" applyProtection="1">
      <alignment vertical="center" shrinkToFit="1"/>
      <protection locked="0"/>
    </xf>
    <xf numFmtId="177" fontId="22" fillId="28" borderId="255" xfId="118" applyNumberFormat="1" applyFont="1" applyFill="1" applyBorder="1" applyAlignment="1" applyProtection="1">
      <alignment vertical="center" shrinkToFit="1"/>
      <protection locked="0"/>
    </xf>
    <xf numFmtId="177" fontId="1" fillId="0" borderId="0" xfId="6" applyNumberFormat="1" applyFill="1" applyBorder="1" applyProtection="1">
      <alignment vertical="center"/>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0" fontId="5" fillId="26" borderId="0" xfId="12" applyFont="1" applyFill="1" applyAlignment="1" applyProtection="1">
      <alignment horizontal="center" vertical="center" shrinkToFit="1"/>
    </xf>
    <xf numFmtId="0" fontId="21" fillId="26" borderId="0" xfId="12" applyFont="1" applyFill="1" applyAlignment="1" applyProtection="1">
      <alignment horizontal="center" vertical="center" shrinkToFit="1"/>
    </xf>
    <xf numFmtId="14" fontId="21" fillId="26" borderId="0" xfId="12" applyNumberFormat="1" applyFont="1" applyFill="1" applyAlignment="1" applyProtection="1">
      <alignment horizontal="center" vertical="center" shrinkToFit="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0" fontId="1" fillId="10" borderId="64" xfId="0" quotePrefix="1"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0" fillId="10" borderId="70"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168" fillId="21" borderId="56"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0" fillId="3" borderId="70" xfId="0" applyFont="1" applyFill="1" applyBorder="1" applyAlignment="1" applyProtection="1">
      <alignment horizontal="center" vertical="center" wrapTex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57"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64"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0" fillId="11" borderId="69"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locked="0"/>
    </xf>
    <xf numFmtId="0" fontId="42" fillId="21" borderId="273" xfId="0" quotePrefix="1" applyFont="1" applyFill="1" applyBorder="1" applyAlignment="1" applyProtection="1">
      <alignment horizontal="center" vertical="center" wrapText="1"/>
      <protection locked="0"/>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quotePrefix="1"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locked="0"/>
    </xf>
    <xf numFmtId="0" fontId="1"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locked="0"/>
    </xf>
    <xf numFmtId="212" fontId="255" fillId="26" borderId="0" xfId="145" applyFont="1" applyFill="1" applyAlignment="1" applyProtection="1">
      <alignment horizontal="center" vertical="center" shrinkToFit="1"/>
    </xf>
    <xf numFmtId="212" fontId="256" fillId="26" borderId="0" xfId="145" applyFont="1" applyFill="1" applyAlignment="1" applyProtection="1">
      <alignment horizontal="center" vertical="center" shrinkToFit="1"/>
    </xf>
    <xf numFmtId="14" fontId="257" fillId="26" borderId="0" xfId="145" applyNumberFormat="1" applyFont="1" applyFill="1" applyAlignment="1" applyProtection="1">
      <alignment horizontal="center" vertical="center" shrinkToFit="1"/>
      <protection hidden="1"/>
    </xf>
    <xf numFmtId="212" fontId="257" fillId="26" borderId="0" xfId="145" applyFont="1" applyFill="1" applyAlignment="1" applyProtection="1">
      <alignment horizontal="center" vertical="center" shrinkToFit="1"/>
      <protection hidden="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5" fillId="5" borderId="255"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6" fillId="5" borderId="261" xfId="25" applyFont="1" applyFill="1" applyBorder="1" applyAlignment="1" applyProtection="1">
      <alignment horizontal="center" vertical="center" wrapText="1"/>
      <protection locked="0"/>
    </xf>
    <xf numFmtId="0" fontId="185" fillId="5" borderId="256" xfId="25" applyFont="1" applyFill="1" applyBorder="1" applyAlignment="1" applyProtection="1">
      <alignment horizontal="center" vertical="center" wrapText="1"/>
      <protection locked="0"/>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6" fillId="5" borderId="261" xfId="19" applyFont="1" applyFill="1" applyBorder="1" applyAlignment="1" applyProtection="1">
      <alignment horizontal="center" vertical="center" wrapText="1"/>
      <protection locked="0"/>
    </xf>
    <xf numFmtId="0" fontId="185" fillId="5" borderId="256" xfId="19" applyFont="1" applyFill="1" applyBorder="1" applyAlignment="1" applyProtection="1">
      <alignment horizontal="center" vertical="center" wrapText="1"/>
      <protection locked="0"/>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233" fillId="25" borderId="296" xfId="133" applyFont="1" applyFill="1" applyBorder="1" applyAlignment="1" applyProtection="1">
      <alignment vertical="center"/>
      <protection locked="0"/>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58" fillId="0" borderId="0" xfId="134" applyFont="1" applyAlignment="1" applyProtection="1">
      <alignment wrapText="1"/>
      <protection locked="0"/>
    </xf>
    <xf numFmtId="0" fontId="34" fillId="0" borderId="299" xfId="136" applyFont="1" applyFill="1" applyBorder="1" applyAlignment="1" applyProtection="1">
      <alignment horizontal="center" vertical="center"/>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9">
    <cellStyle name="Normal 2" xfId="136"/>
    <cellStyle name="百分比" xfId="7" builtinId="5"/>
    <cellStyle name="百分比 2" xfId="144"/>
    <cellStyle name="百分比 3" xfId="147"/>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3" xfId="143"/>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2 3 2" xfId="145"/>
    <cellStyle name="常规 3 3" xfId="61"/>
    <cellStyle name="常规 3 4" xfId="132"/>
    <cellStyle name="常规 4" xfId="62"/>
    <cellStyle name="常规 4 2" xfId="63"/>
    <cellStyle name="常规 4 2 2" xfId="142"/>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三明齿轮" xfId="148"/>
    <cellStyle name="常规_港务电子会计报表格式(6-7)_个别报表_200712_永安轴承2" xfId="141"/>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4 2" xfId="140"/>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2 2" xfId="146"/>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6">
    <dxf>
      <fill>
        <patternFill patternType="solid">
          <bgColor indexed="13"/>
        </patternFill>
      </fill>
    </dxf>
    <dxf>
      <fill>
        <patternFill patternType="solid">
          <bgColor indexed="1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5.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externalLink" Target="externalLinks/externalLink6.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-180,500.00</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1&#12289;&#24037;&#20316;&#25991;&#20214;&#22841;\2018.11&#28023;&#28286;&#29615;&#22659;\101&#20010;&#21035;&#25253;&#34920;_2018&#24180;1&#65293;6&#26376;_&#28023;&#28286;&#29615;&#22659;_V0.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1&#12289;&#24037;&#20316;&#25991;&#20214;&#22841;\&#21016;&#26143;&#36784;-&#32769;&#30005;&#33041;&#36164;&#26009;\&#28023;&#28286;&#29615;&#22659;&#24213;&#31295;\2018.7&#28023;&#28286;&#29615;&#22659;\1&#12289;&#25253;&#34920;2018.23\2&#12289;&#20010;&#25253;&#31995;&#32479;\2015-2017&#24180;&#25253;&#34920;\2016&#24180;-&#27597;&#20844;&#21496;&#26377;&#20462;&#25913;\101&#20010;&#21035;&#25253;&#34920;_2016&#24180;&#24230;_&#28023;&#28286;&#29615;&#22659;_V0.2-&#20914;&#38144;&#35843;&#25972;&#29256;&#2641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GT\&#39033;&#30446;&#21756;&#21756;\&#22825;&#39532;&#24180;&#23457;\&#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GT\&#39033;&#30446;&#21756;&#21756;\&#22825;&#39532;&#24180;&#23457;\&#20256;&#33402;&#38598;&#22242;&#23457;&#35745;\02%20&#20010;&#25253;\2014&#24180;&#26368;&#32456;&#29256;\101&#20010;&#21035;&#25253;&#34920;_2012_&#20256;&#33402;&#31185;&#25216;_V0.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istrator.CNBJ-20161220VE/Desktop/2018&#24180;&#26368;&#32456;&#29256;&#25253;&#34920;/112&#20010;&#21035;&#25253;&#34920;_2018&#24180;&#24230;_&#21271;&#20140;&#22825;&#39532;_V0.1-&#20445;&#29702;&#35843;&#2597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1&#12289;&#24037;&#20316;&#25991;&#20214;&#22841;\2019.2&#20493;&#21319;&#20114;&#32852;\1&#12289;&#20493;&#21319;&#20114;&#32852;&#25253;&#34920;\11201&#20010;&#21035;&#25253;&#34920;_2018&#24180;&#24230;_&#20493;&#21319;&#20114;&#32852;&#21512;&#24182;_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E"/>
      <sheetName val="冲销调整"/>
      <sheetName val="TB"/>
      <sheetName val="递延所得税计算表"/>
      <sheetName val="坏账及减值表"/>
      <sheetName val="所得税计算表"/>
      <sheetName val="CF底稿"/>
      <sheetName val="BS"/>
      <sheetName val="IS"/>
      <sheetName val="preCF"/>
      <sheetName val="CF"/>
      <sheetName val="CE"/>
      <sheetName val="Chart2"/>
      <sheetName val="AJE"/>
      <sheetName val="noteChecks"/>
      <sheetName val="Notes"/>
      <sheetName val="423J应付账款审计调整事项汇总"/>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E2" t="str">
            <v>：</v>
          </cell>
          <cell r="G2" t="str">
            <v>资产负债表</v>
          </cell>
          <cell r="I2">
            <v>1</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E3" t="str">
            <v>：</v>
          </cell>
          <cell r="G3" t="str">
            <v>流动资产：</v>
          </cell>
          <cell r="I3">
            <v>1000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F4">
            <v>3100</v>
          </cell>
          <cell r="G4" t="str">
            <v>货币资金</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G5" t="str">
            <v>结算备付金</v>
          </cell>
          <cell r="I5">
            <v>1021</v>
          </cell>
          <cell r="J5" t="str">
            <v>J</v>
          </cell>
          <cell r="M5" t="str">
            <v>以公允价值计量且其变动计入当期损益的金融资产</v>
          </cell>
          <cell r="P5" t="str">
            <v>支付给职工以及为职工支付的现金</v>
          </cell>
          <cell r="S5" t="str">
            <v>1101a</v>
          </cell>
          <cell r="T5" t="str">
            <v>以公允价值计量且其变动计入当期损益的金融资产</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G6" t="str">
            <v>拆出资金</v>
          </cell>
          <cell r="I6">
            <v>1302</v>
          </cell>
          <cell r="J6" t="str">
            <v>J</v>
          </cell>
          <cell r="M6" t="str">
            <v>衍生金融资产</v>
          </cell>
          <cell r="P6" t="str">
            <v>支付的各项税费</v>
          </cell>
          <cell r="S6" t="str">
            <v>1101c</v>
          </cell>
          <cell r="T6" t="str">
            <v>以公允价值计量且其变动计入当期损益的金融资产（证券公司适用）</v>
          </cell>
          <cell r="U6" t="str">
            <v>项       目</v>
          </cell>
          <cell r="V6">
            <v>1</v>
          </cell>
          <cell r="W6">
            <v>1101</v>
          </cell>
          <cell r="X6">
            <v>2</v>
          </cell>
          <cell r="AG6" t="str">
            <v>客户初步同意调整</v>
          </cell>
          <cell r="AI6" t="str">
            <v>已取得关键证据</v>
          </cell>
          <cell r="AK6" t="str">
            <v>6损益</v>
          </cell>
        </row>
        <row r="7">
          <cell r="B7">
            <v>1101</v>
          </cell>
          <cell r="C7" t="str">
            <v>以公允价值计量且其变动计入当期损益的金融资产</v>
          </cell>
          <cell r="D7">
            <v>1</v>
          </cell>
          <cell r="F7" t="str">
            <v>3210_3280</v>
          </cell>
          <cell r="G7" t="str">
            <v>以公允价值计量且其变动计入当期损益的金融资产</v>
          </cell>
          <cell r="I7">
            <v>1101</v>
          </cell>
          <cell r="J7" t="str">
            <v>J</v>
          </cell>
          <cell r="M7" t="str">
            <v>应收票据</v>
          </cell>
          <cell r="P7" t="str">
            <v>支付其他与经营活动有关的现金</v>
          </cell>
          <cell r="S7" t="str">
            <v>1115a</v>
          </cell>
          <cell r="T7" t="str">
            <v>衍生金融资产</v>
          </cell>
          <cell r="U7" t="str">
            <v>项       目</v>
          </cell>
          <cell r="V7">
            <v>1</v>
          </cell>
          <cell r="W7">
            <v>1115</v>
          </cell>
          <cell r="X7">
            <v>1</v>
          </cell>
          <cell r="AG7" t="str">
            <v>客户有异议须继续沟通</v>
          </cell>
          <cell r="AK7" t="str">
            <v>61损益_收入</v>
          </cell>
        </row>
        <row r="8">
          <cell r="B8">
            <v>1115</v>
          </cell>
          <cell r="C8" t="str">
            <v>衍生金融资产</v>
          </cell>
          <cell r="D8">
            <v>1</v>
          </cell>
          <cell r="E8" t="str">
            <v>Ｘ</v>
          </cell>
          <cell r="F8">
            <v>3280</v>
          </cell>
          <cell r="G8" t="str">
            <v>衍生金融资产</v>
          </cell>
          <cell r="I8">
            <v>1115</v>
          </cell>
          <cell r="J8" t="str">
            <v>J</v>
          </cell>
          <cell r="M8" t="str">
            <v>应收账款</v>
          </cell>
          <cell r="P8" t="str">
            <v>收回投资收到的现金</v>
          </cell>
          <cell r="S8" t="str">
            <v>1123a</v>
          </cell>
          <cell r="T8" t="str">
            <v>应收票据及应收账款分类列示</v>
          </cell>
          <cell r="U8" t="str">
            <v>项       目</v>
          </cell>
          <cell r="V8">
            <v>1</v>
          </cell>
          <cell r="W8">
            <v>1123</v>
          </cell>
          <cell r="X8">
            <v>1</v>
          </cell>
          <cell r="AG8" t="str">
            <v>客户不同意调整</v>
          </cell>
          <cell r="AK8" t="str">
            <v>65损益_费用</v>
          </cell>
        </row>
        <row r="9">
          <cell r="B9">
            <v>1121</v>
          </cell>
          <cell r="C9" t="str">
            <v>应收票据</v>
          </cell>
          <cell r="D9">
            <v>1</v>
          </cell>
          <cell r="F9">
            <v>3310</v>
          </cell>
          <cell r="G9" t="str">
            <v>其中：应收票据</v>
          </cell>
          <cell r="I9">
            <v>1121</v>
          </cell>
          <cell r="J9" t="str">
            <v>J</v>
          </cell>
          <cell r="M9" t="str">
            <v>应收账款坏账准备</v>
          </cell>
          <cell r="P9" t="str">
            <v>取得投资收益收到的现金</v>
          </cell>
          <cell r="S9" t="str">
            <v>1121a</v>
          </cell>
          <cell r="T9" t="str">
            <v>应收票据分类</v>
          </cell>
          <cell r="U9" t="str">
            <v>种       类</v>
          </cell>
          <cell r="V9">
            <v>1</v>
          </cell>
          <cell r="W9">
            <v>1121</v>
          </cell>
          <cell r="X9">
            <v>1</v>
          </cell>
          <cell r="AG9" t="str">
            <v>客户正式同意调整</v>
          </cell>
        </row>
        <row r="10">
          <cell r="B10">
            <v>1122</v>
          </cell>
          <cell r="C10" t="str">
            <v>应收账款</v>
          </cell>
          <cell r="D10">
            <v>1</v>
          </cell>
          <cell r="F10">
            <v>3320</v>
          </cell>
          <cell r="G10" t="str">
            <v>其中：应收账款</v>
          </cell>
          <cell r="I10">
            <v>1122</v>
          </cell>
          <cell r="J10" t="str">
            <v>J</v>
          </cell>
          <cell r="M10" t="str">
            <v>应收票据及应收账款</v>
          </cell>
          <cell r="P10" t="str">
            <v>处置固定资产无形资产长期资产收回的现金</v>
          </cell>
          <cell r="S10" t="str">
            <v>1121b</v>
          </cell>
          <cell r="T10" t="str">
            <v>期末已质押的应收票据</v>
          </cell>
          <cell r="U10" t="str">
            <v>种       类</v>
          </cell>
          <cell r="V10">
            <v>1</v>
          </cell>
          <cell r="W10">
            <v>1121</v>
          </cell>
          <cell r="X10">
            <v>2</v>
          </cell>
          <cell r="AG10" t="str">
            <v>经理复核</v>
          </cell>
        </row>
        <row r="11">
          <cell r="B11">
            <v>1125</v>
          </cell>
          <cell r="C11" t="str">
            <v>预付款项</v>
          </cell>
          <cell r="D11">
            <v>1</v>
          </cell>
          <cell r="F11">
            <v>3330</v>
          </cell>
          <cell r="G11" t="str">
            <v>预付款项</v>
          </cell>
          <cell r="I11">
            <v>1125</v>
          </cell>
          <cell r="J11" t="str">
            <v>J</v>
          </cell>
          <cell r="M11" t="str">
            <v>预付款项</v>
          </cell>
          <cell r="P11" t="str">
            <v>处置子公司及其他营业单位收到的现金净额</v>
          </cell>
          <cell r="S11" t="str">
            <v>1121d</v>
          </cell>
          <cell r="T11" t="str">
            <v>期末已背书或贴现但尚未到期的应收票据</v>
          </cell>
          <cell r="U11" t="str">
            <v>种       类</v>
          </cell>
          <cell r="V11">
            <v>1</v>
          </cell>
          <cell r="W11">
            <v>1121</v>
          </cell>
          <cell r="X11">
            <v>2</v>
          </cell>
          <cell r="AG11" t="str">
            <v>合伙人复核</v>
          </cell>
        </row>
        <row r="12">
          <cell r="B12">
            <v>1127</v>
          </cell>
          <cell r="C12" t="str">
            <v>应收保费</v>
          </cell>
          <cell r="D12">
            <v>1</v>
          </cell>
          <cell r="E12" t="str">
            <v>△</v>
          </cell>
          <cell r="G12" t="str">
            <v>应收保费</v>
          </cell>
          <cell r="I12">
            <v>1127</v>
          </cell>
          <cell r="J12" t="str">
            <v>J</v>
          </cell>
          <cell r="M12" t="str">
            <v>预付款项坏账准备</v>
          </cell>
          <cell r="P12" t="str">
            <v>收到其他与投资活动有关的现金</v>
          </cell>
          <cell r="S12" t="str">
            <v>1121c</v>
          </cell>
          <cell r="T12" t="str">
            <v>期末因出票人未履约而转为应收账款的票据</v>
          </cell>
          <cell r="U12" t="str">
            <v>种       类</v>
          </cell>
          <cell r="V12">
            <v>1</v>
          </cell>
          <cell r="W12">
            <v>1121</v>
          </cell>
          <cell r="X12">
            <v>2</v>
          </cell>
          <cell r="AG12" t="str">
            <v>质控部复核</v>
          </cell>
        </row>
        <row r="13">
          <cell r="B13">
            <v>1211</v>
          </cell>
          <cell r="C13" t="str">
            <v>应收分保账款</v>
          </cell>
          <cell r="D13">
            <v>1</v>
          </cell>
          <cell r="E13" t="str">
            <v>△</v>
          </cell>
          <cell r="G13" t="str">
            <v>应收分保账款</v>
          </cell>
          <cell r="I13">
            <v>1211</v>
          </cell>
          <cell r="J13" t="str">
            <v>J</v>
          </cell>
          <cell r="M13" t="str">
            <v>应收股利</v>
          </cell>
          <cell r="P13" t="str">
            <v>购置固定资产无形资产长期资产支付的现金</v>
          </cell>
          <cell r="S13" t="str">
            <v>1122a</v>
          </cell>
          <cell r="T13" t="str">
            <v>应收账款按种类列示</v>
          </cell>
          <cell r="U13" t="str">
            <v>种       类</v>
          </cell>
          <cell r="V13">
            <v>1</v>
          </cell>
          <cell r="W13">
            <v>1122</v>
          </cell>
          <cell r="X13">
            <v>1</v>
          </cell>
        </row>
        <row r="14">
          <cell r="B14">
            <v>1212</v>
          </cell>
          <cell r="C14" t="str">
            <v>应收分保合同准备金</v>
          </cell>
          <cell r="D14">
            <v>1</v>
          </cell>
          <cell r="E14" t="str">
            <v>△</v>
          </cell>
          <cell r="G14" t="str">
            <v>应收分保准备金</v>
          </cell>
          <cell r="I14">
            <v>1212</v>
          </cell>
          <cell r="J14" t="str">
            <v>J</v>
          </cell>
          <cell r="M14" t="str">
            <v>应收利息</v>
          </cell>
          <cell r="P14" t="str">
            <v>投资支付的现金</v>
          </cell>
          <cell r="S14" t="str">
            <v>1122b</v>
          </cell>
          <cell r="T14" t="str">
            <v>应收账款按种类列示（续）</v>
          </cell>
          <cell r="U14" t="str">
            <v>种       类</v>
          </cell>
          <cell r="V14">
            <v>1</v>
          </cell>
          <cell r="W14">
            <v>1122</v>
          </cell>
          <cell r="X14">
            <v>2</v>
          </cell>
        </row>
        <row r="15">
          <cell r="B15">
            <v>1132</v>
          </cell>
          <cell r="C15" t="str">
            <v>应收利息</v>
          </cell>
          <cell r="D15">
            <v>1</v>
          </cell>
          <cell r="F15">
            <v>3350</v>
          </cell>
          <cell r="G15" t="str">
            <v>其中：应收利息</v>
          </cell>
          <cell r="I15">
            <v>1132</v>
          </cell>
          <cell r="J15" t="str">
            <v>J</v>
          </cell>
          <cell r="M15" t="str">
            <v>其他应收款</v>
          </cell>
          <cell r="P15" t="str">
            <v>取得子公司及其他营业单位支付的现金净额</v>
          </cell>
          <cell r="S15" t="str">
            <v>1122g</v>
          </cell>
          <cell r="T15" t="str">
            <v>期末单项金额重大并单项计提坏账准备的应收账款</v>
          </cell>
          <cell r="U15" t="str">
            <v>应收账款（按单位）</v>
          </cell>
          <cell r="V15">
            <v>1</v>
          </cell>
          <cell r="W15">
            <v>1122</v>
          </cell>
          <cell r="X15">
            <v>2</v>
          </cell>
        </row>
        <row r="16">
          <cell r="B16">
            <v>1131</v>
          </cell>
          <cell r="C16" t="str">
            <v>应收股利</v>
          </cell>
          <cell r="D16">
            <v>1</v>
          </cell>
          <cell r="F16">
            <v>3340</v>
          </cell>
          <cell r="G16" t="str">
            <v>其中：应收股利</v>
          </cell>
          <cell r="I16">
            <v>1131</v>
          </cell>
          <cell r="J16" t="str">
            <v>J</v>
          </cell>
          <cell r="M16" t="str">
            <v>其他应收款坏账准备</v>
          </cell>
          <cell r="P16" t="str">
            <v>支付其他与投资活动有关的现金</v>
          </cell>
          <cell r="S16" t="str">
            <v>1122d</v>
          </cell>
          <cell r="T16" t="str">
            <v>组合中按账龄分析法计提坏账准备的应收账款</v>
          </cell>
          <cell r="U16" t="str">
            <v>账  龄</v>
          </cell>
          <cell r="V16">
            <v>1</v>
          </cell>
          <cell r="W16">
            <v>1122</v>
          </cell>
          <cell r="X16">
            <v>2</v>
          </cell>
        </row>
        <row r="17">
          <cell r="B17">
            <v>1221</v>
          </cell>
          <cell r="C17" t="str">
            <v>其他应收款</v>
          </cell>
          <cell r="D17">
            <v>1</v>
          </cell>
          <cell r="F17">
            <v>3360</v>
          </cell>
          <cell r="G17" t="str">
            <v>其中：其他应收款</v>
          </cell>
          <cell r="I17">
            <v>1221</v>
          </cell>
          <cell r="J17" t="str">
            <v>J</v>
          </cell>
          <cell r="M17" t="str">
            <v>持有待售资产</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1111</v>
          </cell>
          <cell r="C18" t="str">
            <v>买入返售金融资产</v>
          </cell>
          <cell r="D18">
            <v>1</v>
          </cell>
          <cell r="E18" t="str">
            <v>△</v>
          </cell>
          <cell r="G18" t="str">
            <v>买入返售金融资产</v>
          </cell>
          <cell r="I18">
            <v>1111</v>
          </cell>
          <cell r="J18" t="str">
            <v>J</v>
          </cell>
          <cell r="M18" t="str">
            <v>存货</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1400</v>
          </cell>
          <cell r="C19" t="str">
            <v>存货</v>
          </cell>
          <cell r="D19">
            <v>1</v>
          </cell>
          <cell r="F19">
            <v>3400</v>
          </cell>
          <cell r="G19" t="str">
            <v>存货</v>
          </cell>
          <cell r="I19">
            <v>1400</v>
          </cell>
          <cell r="J19" t="str">
            <v>J</v>
          </cell>
          <cell r="M19" t="str">
            <v>材料采购</v>
          </cell>
          <cell r="P19" t="str">
            <v>取得借款收到的现金</v>
          </cell>
          <cell r="S19" t="str">
            <v>1122x</v>
          </cell>
          <cell r="T19" t="str">
            <v>应收账款补充资料</v>
          </cell>
          <cell r="U19" t="str">
            <v>项       目</v>
          </cell>
          <cell r="V19">
            <v>1</v>
          </cell>
          <cell r="W19">
            <v>1122</v>
          </cell>
          <cell r="X19">
            <v>2</v>
          </cell>
        </row>
        <row r="20">
          <cell r="B20">
            <v>1315</v>
          </cell>
          <cell r="C20" t="str">
            <v>持有待售资产</v>
          </cell>
          <cell r="D20">
            <v>1</v>
          </cell>
          <cell r="E20" t="str">
            <v>Ｘ</v>
          </cell>
          <cell r="F20">
            <v>3860</v>
          </cell>
          <cell r="G20" t="str">
            <v>持有待售资产</v>
          </cell>
          <cell r="I20">
            <v>1315</v>
          </cell>
          <cell r="J20" t="str">
            <v>J</v>
          </cell>
          <cell r="M20" t="str">
            <v>在途物资</v>
          </cell>
          <cell r="P20" t="str">
            <v>收到其他与筹资活动有关的现金</v>
          </cell>
          <cell r="S20" t="str">
            <v>1122h</v>
          </cell>
          <cell r="T20" t="str">
            <v>本期坏账准备转回或收回金额重要的</v>
          </cell>
          <cell r="U20" t="str">
            <v>单位名称</v>
          </cell>
          <cell r="V20">
            <v>1</v>
          </cell>
          <cell r="W20">
            <v>1122</v>
          </cell>
          <cell r="X20">
            <v>2</v>
          </cell>
        </row>
        <row r="21">
          <cell r="B21">
            <v>1495</v>
          </cell>
          <cell r="C21" t="str">
            <v>一年内到期的非流动资产</v>
          </cell>
          <cell r="D21">
            <v>1</v>
          </cell>
          <cell r="F21">
            <v>3380</v>
          </cell>
          <cell r="G21" t="str">
            <v>一年内到期的非流动资产</v>
          </cell>
          <cell r="I21">
            <v>1495</v>
          </cell>
          <cell r="J21" t="str">
            <v>J</v>
          </cell>
          <cell r="M21" t="str">
            <v>原材料</v>
          </cell>
          <cell r="P21" t="str">
            <v>偿还债务支付的现金</v>
          </cell>
          <cell r="S21" t="str">
            <v>1122i</v>
          </cell>
          <cell r="T21" t="str">
            <v>本期重要的应收账款核销情况</v>
          </cell>
          <cell r="U21" t="str">
            <v>单位名称</v>
          </cell>
          <cell r="V21">
            <v>1</v>
          </cell>
          <cell r="W21">
            <v>1122</v>
          </cell>
          <cell r="X21">
            <v>2</v>
          </cell>
        </row>
        <row r="22">
          <cell r="B22">
            <v>1496</v>
          </cell>
          <cell r="C22" t="str">
            <v>其他流动资产</v>
          </cell>
          <cell r="D22">
            <v>1</v>
          </cell>
          <cell r="F22">
            <v>3390</v>
          </cell>
          <cell r="G22" t="str">
            <v>其他流动资产</v>
          </cell>
          <cell r="I22">
            <v>1496</v>
          </cell>
          <cell r="J22" t="str">
            <v>J</v>
          </cell>
          <cell r="M22" t="str">
            <v>材料成本差异</v>
          </cell>
          <cell r="P22" t="str">
            <v>分配利润偿付利息支付的现金</v>
          </cell>
          <cell r="S22" t="str">
            <v>1122k</v>
          </cell>
          <cell r="T22" t="str">
            <v>按欠款方归集的应收账款期末余额前五名单位情况</v>
          </cell>
          <cell r="U22" t="str">
            <v>单位名称</v>
          </cell>
          <cell r="V22">
            <v>1</v>
          </cell>
          <cell r="W22">
            <v>1122</v>
          </cell>
          <cell r="X22">
            <v>2</v>
          </cell>
        </row>
        <row r="23">
          <cell r="B23">
            <v>1498</v>
          </cell>
          <cell r="C23" t="str">
            <v>流动资产</v>
          </cell>
          <cell r="E23" t="str">
            <v>＝</v>
          </cell>
          <cell r="G23" t="str">
            <v>流动资产合计</v>
          </cell>
          <cell r="I23">
            <v>1498</v>
          </cell>
          <cell r="M23" t="str">
            <v>库存商品</v>
          </cell>
          <cell r="P23" t="str">
            <v>子公司支付少数股东的现金股利</v>
          </cell>
          <cell r="S23" t="str">
            <v>1122m</v>
          </cell>
          <cell r="T23" t="str">
            <v>因金融资产转移而终止确认的应收账款情况</v>
          </cell>
          <cell r="U23" t="str">
            <v>项       目</v>
          </cell>
          <cell r="V23">
            <v>1</v>
          </cell>
          <cell r="W23">
            <v>1122</v>
          </cell>
          <cell r="X23">
            <v>2</v>
          </cell>
        </row>
        <row r="24">
          <cell r="B24">
            <v>1500</v>
          </cell>
          <cell r="C24" t="str">
            <v>非流动资产项目</v>
          </cell>
          <cell r="E24" t="str">
            <v>：</v>
          </cell>
          <cell r="G24" t="str">
            <v>非流动资产：</v>
          </cell>
          <cell r="I24">
            <v>1500</v>
          </cell>
          <cell r="M24" t="str">
            <v>发出商品</v>
          </cell>
          <cell r="P24" t="str">
            <v>支付其他与筹资活动有关的现金</v>
          </cell>
          <cell r="S24" t="str">
            <v>1122n</v>
          </cell>
          <cell r="T24" t="str">
            <v>转移应收账款且继续涉入形成的资产的金额</v>
          </cell>
          <cell r="U24" t="str">
            <v>项       目</v>
          </cell>
          <cell r="V24">
            <v>1</v>
          </cell>
          <cell r="W24">
            <v>1122</v>
          </cell>
          <cell r="X24">
            <v>2</v>
          </cell>
        </row>
        <row r="25">
          <cell r="B25">
            <v>1600</v>
          </cell>
          <cell r="C25" t="str">
            <v>发放委托贷款及垫款</v>
          </cell>
          <cell r="D25">
            <v>1</v>
          </cell>
          <cell r="E25" t="str">
            <v>△</v>
          </cell>
          <cell r="G25" t="str">
            <v>发放贷款及垫款</v>
          </cell>
          <cell r="I25">
            <v>1600</v>
          </cell>
          <cell r="J25" t="str">
            <v>J</v>
          </cell>
          <cell r="M25" t="str">
            <v>商品进销差价</v>
          </cell>
          <cell r="P25" t="str">
            <v>子公司减资支付给少数股东的现金</v>
          </cell>
          <cell r="S25" t="str">
            <v>1122o</v>
          </cell>
          <cell r="T25" t="str">
            <v>转移应收账款且继续涉入形成的负债的金额</v>
          </cell>
          <cell r="U25" t="str">
            <v>项       目</v>
          </cell>
          <cell r="V25">
            <v>1</v>
          </cell>
          <cell r="W25">
            <v>1122</v>
          </cell>
          <cell r="X25">
            <v>2</v>
          </cell>
        </row>
        <row r="26">
          <cell r="B26">
            <v>1503</v>
          </cell>
          <cell r="C26" t="str">
            <v>可供出售金融资产</v>
          </cell>
          <cell r="D26">
            <v>1</v>
          </cell>
          <cell r="F26">
            <v>3220</v>
          </cell>
          <cell r="G26" t="str">
            <v>可供出售金融资产</v>
          </cell>
          <cell r="I26">
            <v>1503</v>
          </cell>
          <cell r="J26" t="str">
            <v>J</v>
          </cell>
          <cell r="M26" t="str">
            <v>委托加工物资</v>
          </cell>
          <cell r="P26" t="str">
            <v>汇率变动对现金及现金等价物的影响</v>
          </cell>
          <cell r="S26" t="str">
            <v>1122c</v>
          </cell>
          <cell r="T26" t="str">
            <v>外币应收账款</v>
          </cell>
          <cell r="U26" t="str">
            <v>币       种</v>
          </cell>
          <cell r="V26">
            <v>1</v>
          </cell>
          <cell r="W26">
            <v>1122</v>
          </cell>
          <cell r="X26">
            <v>2</v>
          </cell>
        </row>
        <row r="27">
          <cell r="B27">
            <v>1501</v>
          </cell>
          <cell r="C27" t="str">
            <v>持有至到期投资</v>
          </cell>
          <cell r="D27">
            <v>1</v>
          </cell>
          <cell r="F27">
            <v>3230</v>
          </cell>
          <cell r="G27" t="str">
            <v>持有至到期投资</v>
          </cell>
          <cell r="I27">
            <v>1501</v>
          </cell>
          <cell r="J27" t="str">
            <v>J</v>
          </cell>
          <cell r="M27" t="str">
            <v>周转材料</v>
          </cell>
          <cell r="P27" t="str">
            <v>收到原保险合同保费取得的现金</v>
          </cell>
          <cell r="S27" t="str">
            <v>1122l</v>
          </cell>
          <cell r="T27" t="str">
            <v>关联方应收应付款项——应收账款</v>
          </cell>
          <cell r="U27" t="str">
            <v>关联方</v>
          </cell>
          <cell r="V27">
            <v>1</v>
          </cell>
          <cell r="W27">
            <v>1122</v>
          </cell>
          <cell r="X27">
            <v>2</v>
          </cell>
        </row>
        <row r="28">
          <cell r="B28">
            <v>1531</v>
          </cell>
          <cell r="C28" t="str">
            <v>长期应收款</v>
          </cell>
          <cell r="D28">
            <v>1</v>
          </cell>
          <cell r="F28">
            <v>3840</v>
          </cell>
          <cell r="G28" t="str">
            <v>长期应收款</v>
          </cell>
          <cell r="I28">
            <v>1531</v>
          </cell>
          <cell r="J28" t="str">
            <v>J</v>
          </cell>
          <cell r="M28" t="str">
            <v>消耗性生物资产</v>
          </cell>
          <cell r="P28" t="str">
            <v>收到再保险业务现金净额</v>
          </cell>
          <cell r="S28" t="str">
            <v>1125a</v>
          </cell>
          <cell r="T28" t="str">
            <v>预付款项按账龄列示</v>
          </cell>
          <cell r="U28" t="str">
            <v>账       龄</v>
          </cell>
          <cell r="V28">
            <v>1</v>
          </cell>
          <cell r="W28">
            <v>1125</v>
          </cell>
          <cell r="X28">
            <v>1</v>
          </cell>
        </row>
        <row r="29">
          <cell r="B29">
            <v>1515</v>
          </cell>
          <cell r="C29" t="str">
            <v>设定受益计划净资产</v>
          </cell>
          <cell r="D29">
            <v>1</v>
          </cell>
          <cell r="E29" t="str">
            <v>OEI</v>
          </cell>
          <cell r="F29">
            <v>4330</v>
          </cell>
          <cell r="G29" t="str">
            <v>设定受益计划净资产</v>
          </cell>
          <cell r="I29">
            <v>1515</v>
          </cell>
          <cell r="J29" t="str">
            <v>J</v>
          </cell>
          <cell r="M29" t="str">
            <v>存货跌价准备</v>
          </cell>
          <cell r="P29" t="str">
            <v>保户储金及投资款净增加额</v>
          </cell>
          <cell r="S29" t="str">
            <v>1125d</v>
          </cell>
          <cell r="T29" t="str">
            <v>账龄超过1年的金额重要的预付账款</v>
          </cell>
          <cell r="U29" t="str">
            <v>单位名称</v>
          </cell>
          <cell r="V29">
            <v>1</v>
          </cell>
          <cell r="W29">
            <v>1125</v>
          </cell>
          <cell r="X29">
            <v>2</v>
          </cell>
        </row>
        <row r="30">
          <cell r="B30">
            <v>1511</v>
          </cell>
          <cell r="C30" t="str">
            <v>长期股权投资</v>
          </cell>
          <cell r="D30">
            <v>1</v>
          </cell>
          <cell r="F30">
            <v>3240</v>
          </cell>
          <cell r="G30" t="str">
            <v>长期股权投资</v>
          </cell>
          <cell r="I30">
            <v>1511</v>
          </cell>
          <cell r="J30" t="str">
            <v>J</v>
          </cell>
          <cell r="M30" t="str">
            <v>生产成本</v>
          </cell>
          <cell r="P30" t="str">
            <v>处置交易性金融资产净增加额</v>
          </cell>
          <cell r="S30" t="str">
            <v>1125c</v>
          </cell>
          <cell r="T30" t="str">
            <v>按预付对象归集的预付款项期末余额前五名单位情况</v>
          </cell>
          <cell r="U30" t="str">
            <v>单位名称</v>
          </cell>
          <cell r="V30">
            <v>1</v>
          </cell>
          <cell r="W30">
            <v>1125</v>
          </cell>
          <cell r="X30">
            <v>2</v>
          </cell>
        </row>
        <row r="31">
          <cell r="B31">
            <v>1521</v>
          </cell>
          <cell r="C31" t="str">
            <v>投资性房地产</v>
          </cell>
          <cell r="D31">
            <v>1</v>
          </cell>
          <cell r="F31">
            <v>3710</v>
          </cell>
          <cell r="G31" t="str">
            <v>投资性房地产</v>
          </cell>
          <cell r="I31">
            <v>1521</v>
          </cell>
          <cell r="J31" t="str">
            <v>J</v>
          </cell>
          <cell r="M31" t="str">
            <v>制造费用</v>
          </cell>
          <cell r="P31" t="str">
            <v>收取利息手续费及佣金的现金</v>
          </cell>
          <cell r="S31" t="str">
            <v>1125b</v>
          </cell>
          <cell r="T31" t="str">
            <v>外币预付款项</v>
          </cell>
          <cell r="U31" t="str">
            <v>币       种</v>
          </cell>
          <cell r="V31">
            <v>1</v>
          </cell>
          <cell r="W31">
            <v>1125</v>
          </cell>
          <cell r="X31">
            <v>2</v>
          </cell>
        </row>
        <row r="32">
          <cell r="B32">
            <v>1601</v>
          </cell>
          <cell r="C32" t="str">
            <v>固定资产</v>
          </cell>
          <cell r="D32">
            <v>1</v>
          </cell>
          <cell r="F32">
            <v>3720</v>
          </cell>
          <cell r="G32" t="str">
            <v>其中：固定资产</v>
          </cell>
          <cell r="I32">
            <v>1601</v>
          </cell>
          <cell r="J32" t="str">
            <v>J</v>
          </cell>
          <cell r="M32" t="str">
            <v>工程施工</v>
          </cell>
          <cell r="P32" t="str">
            <v>拆入资金净增加额</v>
          </cell>
          <cell r="S32" t="str">
            <v>1125e</v>
          </cell>
          <cell r="T32" t="str">
            <v>关联方应收应付款项——预付款项</v>
          </cell>
          <cell r="U32" t="str">
            <v>单位名称</v>
          </cell>
          <cell r="V32">
            <v>1</v>
          </cell>
          <cell r="W32">
            <v>1125</v>
          </cell>
          <cell r="X32">
            <v>2</v>
          </cell>
        </row>
        <row r="33">
          <cell r="B33">
            <v>1604</v>
          </cell>
          <cell r="C33" t="str">
            <v>在建工程</v>
          </cell>
          <cell r="D33">
            <v>1</v>
          </cell>
          <cell r="F33">
            <v>3730</v>
          </cell>
          <cell r="G33" t="str">
            <v>其中：在建工程</v>
          </cell>
          <cell r="I33">
            <v>1604</v>
          </cell>
          <cell r="J33" t="str">
            <v>J</v>
          </cell>
          <cell r="M33" t="str">
            <v>一年内到期的非流动资产</v>
          </cell>
          <cell r="P33" t="str">
            <v>回购业务资金净增加额</v>
          </cell>
          <cell r="S33" t="str">
            <v>1125f</v>
          </cell>
          <cell r="T33" t="str">
            <v>预付款项按项目列示</v>
          </cell>
          <cell r="U33" t="str">
            <v>项       目</v>
          </cell>
          <cell r="V33">
            <v>1</v>
          </cell>
          <cell r="W33">
            <v>1125</v>
          </cell>
          <cell r="X33">
            <v>2</v>
          </cell>
        </row>
        <row r="34">
          <cell r="B34">
            <v>1605</v>
          </cell>
          <cell r="C34" t="str">
            <v>工程物资</v>
          </cell>
          <cell r="D34">
            <v>1</v>
          </cell>
          <cell r="F34">
            <v>3740</v>
          </cell>
          <cell r="G34" t="str">
            <v>其中：工程物资</v>
          </cell>
          <cell r="I34">
            <v>1605</v>
          </cell>
          <cell r="J34" t="str">
            <v>J</v>
          </cell>
          <cell r="M34" t="str">
            <v>其他流动资产</v>
          </cell>
          <cell r="P34" t="str">
            <v>客户贷款及垫款净增加额</v>
          </cell>
          <cell r="S34" t="str">
            <v>1125x</v>
          </cell>
          <cell r="T34" t="str">
            <v>预付款项补充资料</v>
          </cell>
          <cell r="U34" t="str">
            <v>项       目</v>
          </cell>
          <cell r="V34">
            <v>1</v>
          </cell>
          <cell r="W34">
            <v>1125</v>
          </cell>
          <cell r="X34">
            <v>2</v>
          </cell>
        </row>
        <row r="35">
          <cell r="B35">
            <v>1606</v>
          </cell>
          <cell r="C35" t="str">
            <v>固定资产清理</v>
          </cell>
          <cell r="D35">
            <v>1</v>
          </cell>
          <cell r="F35">
            <v>3750</v>
          </cell>
          <cell r="G35" t="str">
            <v>其中：固定资产清理</v>
          </cell>
          <cell r="I35">
            <v>1606</v>
          </cell>
          <cell r="J35" t="str">
            <v>J</v>
          </cell>
          <cell r="M35" t="str">
            <v>持有至到期投资</v>
          </cell>
          <cell r="P35" t="str">
            <v>存放中央银行和同业款项净增加额</v>
          </cell>
          <cell r="S35" t="str">
            <v>1220a</v>
          </cell>
          <cell r="T35" t="str">
            <v>其他应收款分类列示</v>
          </cell>
          <cell r="U35" t="str">
            <v>项       目</v>
          </cell>
          <cell r="V35">
            <v>1</v>
          </cell>
          <cell r="W35">
            <v>1220</v>
          </cell>
          <cell r="X35">
            <v>1</v>
          </cell>
        </row>
        <row r="36">
          <cell r="B36">
            <v>1621</v>
          </cell>
          <cell r="C36" t="str">
            <v>生产性生物资产</v>
          </cell>
          <cell r="D36">
            <v>1</v>
          </cell>
          <cell r="F36">
            <v>3760</v>
          </cell>
          <cell r="G36" t="str">
            <v>生产性生物资产</v>
          </cell>
          <cell r="I36">
            <v>1621</v>
          </cell>
          <cell r="J36" t="str">
            <v>J</v>
          </cell>
          <cell r="M36" t="str">
            <v>持有至到期投资减值准备</v>
          </cell>
          <cell r="P36" t="str">
            <v>支付原保险合同赔付款项的现金</v>
          </cell>
          <cell r="S36" t="str">
            <v>1132a</v>
          </cell>
          <cell r="T36" t="str">
            <v>应收利息明细项目</v>
          </cell>
          <cell r="U36" t="str">
            <v>项       目</v>
          </cell>
          <cell r="V36">
            <v>1</v>
          </cell>
          <cell r="W36">
            <v>1132</v>
          </cell>
          <cell r="X36">
            <v>1</v>
          </cell>
        </row>
        <row r="37">
          <cell r="B37">
            <v>1631</v>
          </cell>
          <cell r="C37" t="str">
            <v>油气资产</v>
          </cell>
          <cell r="D37">
            <v>1</v>
          </cell>
          <cell r="F37">
            <v>3770</v>
          </cell>
          <cell r="G37" t="str">
            <v>油气资产</v>
          </cell>
          <cell r="I37">
            <v>1631</v>
          </cell>
          <cell r="J37" t="str">
            <v>J</v>
          </cell>
          <cell r="M37" t="str">
            <v>可供出售金融资产</v>
          </cell>
          <cell r="P37" t="str">
            <v>支付利息手续费及佣金的现金</v>
          </cell>
          <cell r="S37" t="str">
            <v>1132b</v>
          </cell>
          <cell r="T37" t="str">
            <v>重要的逾期应收利息</v>
          </cell>
          <cell r="U37" t="str">
            <v>借款单位</v>
          </cell>
          <cell r="V37">
            <v>1</v>
          </cell>
          <cell r="W37">
            <v>1132</v>
          </cell>
          <cell r="X37">
            <v>2</v>
          </cell>
        </row>
        <row r="38">
          <cell r="B38">
            <v>1701</v>
          </cell>
          <cell r="C38" t="str">
            <v>无形资产</v>
          </cell>
          <cell r="D38">
            <v>1</v>
          </cell>
          <cell r="F38">
            <v>3810</v>
          </cell>
          <cell r="G38" t="str">
            <v>无形资产</v>
          </cell>
          <cell r="I38">
            <v>1701</v>
          </cell>
          <cell r="J38" t="str">
            <v>J</v>
          </cell>
          <cell r="M38" t="str">
            <v>可供出售金融资产减值准备</v>
          </cell>
          <cell r="P38" t="str">
            <v>支付保单红利的现金</v>
          </cell>
          <cell r="S38" t="str">
            <v>1131a</v>
          </cell>
          <cell r="T38" t="str">
            <v>应收股利明细项目</v>
          </cell>
          <cell r="U38" t="str">
            <v>项       目</v>
          </cell>
          <cell r="V38">
            <v>1</v>
          </cell>
          <cell r="W38">
            <v>1131</v>
          </cell>
          <cell r="X38">
            <v>1</v>
          </cell>
        </row>
        <row r="39">
          <cell r="B39">
            <v>1700</v>
          </cell>
          <cell r="C39" t="str">
            <v>开发支出</v>
          </cell>
          <cell r="D39">
            <v>1</v>
          </cell>
          <cell r="F39">
            <v>3820</v>
          </cell>
          <cell r="G39" t="str">
            <v>开发支出</v>
          </cell>
          <cell r="I39">
            <v>1700</v>
          </cell>
          <cell r="J39" t="str">
            <v>J</v>
          </cell>
          <cell r="M39" t="str">
            <v>长期股权投资</v>
          </cell>
          <cell r="P39" t="str">
            <v>质押贷款净增加额</v>
          </cell>
          <cell r="S39" t="str">
            <v>1131b</v>
          </cell>
          <cell r="T39" t="str">
            <v>重要的账龄超过1年的应收股利</v>
          </cell>
          <cell r="U39" t="str">
            <v>项       目</v>
          </cell>
          <cell r="V39">
            <v>1</v>
          </cell>
          <cell r="W39">
            <v>1131</v>
          </cell>
          <cell r="X39">
            <v>2</v>
          </cell>
        </row>
        <row r="40">
          <cell r="B40">
            <v>1711</v>
          </cell>
          <cell r="C40" t="str">
            <v>商誉</v>
          </cell>
          <cell r="D40">
            <v>1</v>
          </cell>
          <cell r="F40">
            <v>3830</v>
          </cell>
          <cell r="G40" t="str">
            <v>商誉</v>
          </cell>
          <cell r="I40">
            <v>1711</v>
          </cell>
          <cell r="J40" t="str">
            <v>J</v>
          </cell>
          <cell r="M40" t="str">
            <v>长期股权投资减值准备</v>
          </cell>
          <cell r="P40" t="str">
            <v>发行债券收到的现金</v>
          </cell>
          <cell r="S40" t="str">
            <v>1221b</v>
          </cell>
          <cell r="T40" t="str">
            <v>其他应收款按种类列示（续）</v>
          </cell>
          <cell r="U40" t="str">
            <v xml:space="preserve">类       别  </v>
          </cell>
          <cell r="V40">
            <v>1</v>
          </cell>
          <cell r="W40">
            <v>1221</v>
          </cell>
          <cell r="X40">
            <v>2</v>
          </cell>
        </row>
        <row r="41">
          <cell r="B41">
            <v>1801</v>
          </cell>
          <cell r="C41" t="str">
            <v>长期待摊费用</v>
          </cell>
          <cell r="D41">
            <v>1</v>
          </cell>
          <cell r="F41">
            <v>3850</v>
          </cell>
          <cell r="G41" t="str">
            <v>长期待摊费用</v>
          </cell>
          <cell r="I41">
            <v>1801</v>
          </cell>
          <cell r="J41" t="str">
            <v>J</v>
          </cell>
          <cell r="M41" t="str">
            <v>设定受益计划净资产</v>
          </cell>
          <cell r="P41" t="str">
            <v>客户存款和同业存放款项净增加额</v>
          </cell>
          <cell r="S41" t="str">
            <v>1221a</v>
          </cell>
          <cell r="T41" t="str">
            <v>其他应收款按种类列示</v>
          </cell>
          <cell r="U41" t="str">
            <v xml:space="preserve">类       别  </v>
          </cell>
          <cell r="V41">
            <v>1</v>
          </cell>
          <cell r="W41">
            <v>1221</v>
          </cell>
          <cell r="X41">
            <v>1</v>
          </cell>
        </row>
        <row r="42">
          <cell r="B42">
            <v>1811</v>
          </cell>
          <cell r="C42" t="str">
            <v>递延所得税资产</v>
          </cell>
          <cell r="D42">
            <v>1</v>
          </cell>
          <cell r="F42">
            <v>3880</v>
          </cell>
          <cell r="G42" t="str">
            <v>递延所得税资产</v>
          </cell>
          <cell r="I42">
            <v>1811</v>
          </cell>
          <cell r="J42" t="str">
            <v>J</v>
          </cell>
          <cell r="M42" t="str">
            <v>投资性房地产</v>
          </cell>
          <cell r="P42" t="str">
            <v>向中央银行借款净增加额</v>
          </cell>
          <cell r="S42" t="str">
            <v>1221g</v>
          </cell>
          <cell r="T42" t="str">
            <v>期末单项金额重大并单项计提坏账准备的其他应收款</v>
          </cell>
          <cell r="U42" t="str">
            <v>其他应收款（按单位）</v>
          </cell>
          <cell r="V42">
            <v>1</v>
          </cell>
          <cell r="W42">
            <v>1221</v>
          </cell>
          <cell r="X42">
            <v>2</v>
          </cell>
        </row>
        <row r="43">
          <cell r="B43">
            <v>1996</v>
          </cell>
          <cell r="C43" t="str">
            <v>其他非流动资产</v>
          </cell>
          <cell r="D43">
            <v>1</v>
          </cell>
          <cell r="F43">
            <v>3890</v>
          </cell>
          <cell r="G43" t="str">
            <v>其他非流动资产</v>
          </cell>
          <cell r="I43">
            <v>1996</v>
          </cell>
          <cell r="J43" t="str">
            <v>J</v>
          </cell>
          <cell r="M43" t="str">
            <v>投资性房地产减值准备</v>
          </cell>
          <cell r="P43" t="str">
            <v>向其他金融机构拆入资金净增加额</v>
          </cell>
          <cell r="S43" t="str">
            <v>1221d</v>
          </cell>
          <cell r="T43" t="str">
            <v>组合中按账龄分析法计提坏账准备的其他应收款</v>
          </cell>
          <cell r="U43" t="str">
            <v>账  龄</v>
          </cell>
          <cell r="V43">
            <v>1</v>
          </cell>
          <cell r="W43">
            <v>1221</v>
          </cell>
          <cell r="X43">
            <v>2</v>
          </cell>
        </row>
        <row r="44">
          <cell r="B44">
            <v>1998</v>
          </cell>
          <cell r="C44" t="str">
            <v>非流动资产</v>
          </cell>
          <cell r="E44" t="str">
            <v>＝</v>
          </cell>
          <cell r="G44" t="str">
            <v>非流动资产合计</v>
          </cell>
          <cell r="I44">
            <v>1998</v>
          </cell>
          <cell r="M44" t="str">
            <v>投资性房地产累计折旧</v>
          </cell>
          <cell r="P44" t="str">
            <v>收到原保险合同保费取得的现金</v>
          </cell>
          <cell r="S44" t="str">
            <v>1221e</v>
          </cell>
          <cell r="T44" t="str">
            <v>组合中采用余额百分比法计提坏账准备的其他应收款</v>
          </cell>
          <cell r="U44" t="str">
            <v>组合名称</v>
          </cell>
          <cell r="V44">
            <v>1</v>
          </cell>
          <cell r="W44">
            <v>1221</v>
          </cell>
          <cell r="X44">
            <v>2</v>
          </cell>
        </row>
        <row r="45">
          <cell r="B45">
            <v>1999</v>
          </cell>
          <cell r="C45" t="str">
            <v>资产</v>
          </cell>
          <cell r="E45" t="str">
            <v>＝</v>
          </cell>
          <cell r="G45" t="str">
            <v>资产总计</v>
          </cell>
          <cell r="I45">
            <v>1999</v>
          </cell>
          <cell r="M45" t="str">
            <v>长期应收款</v>
          </cell>
          <cell r="P45" t="str">
            <v>收到再保险业务现金净额</v>
          </cell>
          <cell r="S45" t="str">
            <v>1221f</v>
          </cell>
          <cell r="T45" t="str">
            <v>组合中采用其他方法计提坏账准备的其他应收款</v>
          </cell>
          <cell r="U45" t="str">
            <v>组合名称</v>
          </cell>
          <cell r="V45">
            <v>1</v>
          </cell>
          <cell r="W45">
            <v>1221</v>
          </cell>
          <cell r="X45">
            <v>2</v>
          </cell>
        </row>
        <row r="46">
          <cell r="B46">
            <v>2000</v>
          </cell>
          <cell r="C46" t="str">
            <v>流动负债项目</v>
          </cell>
          <cell r="E46" t="str">
            <v>：</v>
          </cell>
          <cell r="G46" t="str">
            <v>流动负债：</v>
          </cell>
          <cell r="I46">
            <v>2000</v>
          </cell>
          <cell r="M46" t="str">
            <v>固定资产</v>
          </cell>
          <cell r="P46" t="str">
            <v>保户储金及投资款净增加额</v>
          </cell>
          <cell r="S46" t="str">
            <v>1221h</v>
          </cell>
          <cell r="T46" t="str">
            <v>本期其他应收款坏账准备转回或收回金额重要的</v>
          </cell>
          <cell r="U46" t="str">
            <v>单位名称</v>
          </cell>
          <cell r="V46">
            <v>1</v>
          </cell>
          <cell r="W46">
            <v>1221</v>
          </cell>
          <cell r="X46">
            <v>2</v>
          </cell>
        </row>
        <row r="47">
          <cell r="B47">
            <v>2001</v>
          </cell>
          <cell r="C47" t="str">
            <v>短期借款</v>
          </cell>
          <cell r="D47">
            <v>-1</v>
          </cell>
          <cell r="F47">
            <v>4110</v>
          </cell>
          <cell r="G47" t="str">
            <v>短期借款</v>
          </cell>
          <cell r="I47">
            <v>2001</v>
          </cell>
          <cell r="J47" t="str">
            <v>J</v>
          </cell>
          <cell r="M47" t="str">
            <v>累计折旧</v>
          </cell>
          <cell r="P47" t="str">
            <v>处置交易性金融资产净增加额</v>
          </cell>
          <cell r="S47" t="str">
            <v>1221i</v>
          </cell>
          <cell r="T47" t="str">
            <v>本期重要的其他应收款核销情况</v>
          </cell>
          <cell r="U47" t="str">
            <v>单位名称</v>
          </cell>
          <cell r="V47">
            <v>1</v>
          </cell>
          <cell r="W47">
            <v>1221</v>
          </cell>
          <cell r="X47">
            <v>2</v>
          </cell>
        </row>
        <row r="48">
          <cell r="B48">
            <v>2004</v>
          </cell>
          <cell r="C48" t="str">
            <v>向中央银行借款</v>
          </cell>
          <cell r="D48">
            <v>-1</v>
          </cell>
          <cell r="E48" t="str">
            <v>△</v>
          </cell>
          <cell r="G48" t="str">
            <v>向中央银行借款</v>
          </cell>
          <cell r="I48">
            <v>2004</v>
          </cell>
          <cell r="J48" t="str">
            <v>J</v>
          </cell>
          <cell r="M48" t="str">
            <v>固定资产减值准备</v>
          </cell>
          <cell r="P48" t="str">
            <v>收取利息手续费及佣金的现金</v>
          </cell>
          <cell r="S48" t="str">
            <v>1221l</v>
          </cell>
          <cell r="T48" t="str">
            <v>其他应收款按款项性质披露</v>
          </cell>
          <cell r="U48" t="str">
            <v>单位名称</v>
          </cell>
          <cell r="V48">
            <v>1</v>
          </cell>
          <cell r="W48">
            <v>1221</v>
          </cell>
          <cell r="X48">
            <v>2</v>
          </cell>
        </row>
        <row r="49">
          <cell r="B49">
            <v>2010</v>
          </cell>
          <cell r="C49" t="str">
            <v>吸收存款及同业存放</v>
          </cell>
          <cell r="D49">
            <v>-1</v>
          </cell>
          <cell r="E49" t="str">
            <v>△</v>
          </cell>
          <cell r="G49" t="str">
            <v>吸收存款及同业存放</v>
          </cell>
          <cell r="I49">
            <v>2010</v>
          </cell>
          <cell r="J49" t="str">
            <v>J</v>
          </cell>
          <cell r="M49" t="str">
            <v>在建工程</v>
          </cell>
          <cell r="P49" t="str">
            <v>拆入资金净增加额</v>
          </cell>
          <cell r="S49" t="str">
            <v>1221k</v>
          </cell>
          <cell r="T49" t="str">
            <v>按欠款方归集的其他应收款期末余额前五名单位情况</v>
          </cell>
          <cell r="U49" t="str">
            <v>单位名称</v>
          </cell>
          <cell r="V49">
            <v>1</v>
          </cell>
          <cell r="W49">
            <v>1221</v>
          </cell>
          <cell r="X49">
            <v>2</v>
          </cell>
        </row>
        <row r="50">
          <cell r="B50">
            <v>2003</v>
          </cell>
          <cell r="C50" t="str">
            <v>拆入资金</v>
          </cell>
          <cell r="D50">
            <v>-1</v>
          </cell>
          <cell r="E50" t="str">
            <v>△</v>
          </cell>
          <cell r="G50" t="str">
            <v>拆入资金</v>
          </cell>
          <cell r="I50">
            <v>2003</v>
          </cell>
          <cell r="J50" t="str">
            <v>J</v>
          </cell>
          <cell r="M50" t="str">
            <v>在建工程减值准备</v>
          </cell>
          <cell r="P50" t="str">
            <v>回购业务资金净增加额</v>
          </cell>
          <cell r="S50" t="str">
            <v>1221r</v>
          </cell>
          <cell r="T50" t="str">
            <v>应收政府补助情况</v>
          </cell>
          <cell r="U50" t="str">
            <v>单位名称</v>
          </cell>
          <cell r="V50">
            <v>1</v>
          </cell>
          <cell r="W50">
            <v>1221</v>
          </cell>
          <cell r="X50">
            <v>2</v>
          </cell>
        </row>
        <row r="51">
          <cell r="B51">
            <v>2101</v>
          </cell>
          <cell r="C51" t="str">
            <v>以公允价值计量且其变动计入当期损益的金融负债</v>
          </cell>
          <cell r="D51">
            <v>-1</v>
          </cell>
          <cell r="F51" t="str">
            <v>4610_4620</v>
          </cell>
          <cell r="G51" t="str">
            <v>以公允价值计量且其变动计入当期损益的金融负债</v>
          </cell>
          <cell r="I51">
            <v>2101</v>
          </cell>
          <cell r="J51" t="str">
            <v>J</v>
          </cell>
          <cell r="M51" t="str">
            <v>工程物资</v>
          </cell>
          <cell r="P51" t="str">
            <v>客户贷款及垫款净增加额</v>
          </cell>
          <cell r="S51" t="str">
            <v>1221n</v>
          </cell>
          <cell r="T51" t="str">
            <v>因金融资产转移而终止确认的其他应收款情况</v>
          </cell>
          <cell r="U51" t="str">
            <v>项       目</v>
          </cell>
          <cell r="V51">
            <v>1</v>
          </cell>
          <cell r="W51">
            <v>1221</v>
          </cell>
          <cell r="X51">
            <v>2</v>
          </cell>
        </row>
        <row r="52">
          <cell r="B52">
            <v>2115</v>
          </cell>
          <cell r="C52" t="str">
            <v>衍生金融负债</v>
          </cell>
          <cell r="D52">
            <v>-1</v>
          </cell>
          <cell r="E52" t="str">
            <v>Ｘ</v>
          </cell>
          <cell r="F52">
            <v>4620</v>
          </cell>
          <cell r="G52" t="str">
            <v>衍生金融负债</v>
          </cell>
          <cell r="I52">
            <v>2115</v>
          </cell>
          <cell r="J52" t="str">
            <v>J</v>
          </cell>
          <cell r="M52" t="str">
            <v>工程物资减值准备</v>
          </cell>
          <cell r="P52" t="str">
            <v>存放中央银行和同业款项净增加额</v>
          </cell>
          <cell r="S52" t="str">
            <v>1221o</v>
          </cell>
          <cell r="T52" t="str">
            <v>转移其他应收款且继续涉入形成的资产金额</v>
          </cell>
          <cell r="U52" t="str">
            <v>项       目</v>
          </cell>
          <cell r="V52">
            <v>1</v>
          </cell>
          <cell r="W52">
            <v>1221</v>
          </cell>
          <cell r="X52">
            <v>2</v>
          </cell>
        </row>
        <row r="53">
          <cell r="B53">
            <v>2201</v>
          </cell>
          <cell r="C53" t="str">
            <v>应付票据</v>
          </cell>
          <cell r="D53">
            <v>-1</v>
          </cell>
          <cell r="F53">
            <v>4220</v>
          </cell>
          <cell r="G53" t="str">
            <v>其中：应付票据</v>
          </cell>
          <cell r="I53">
            <v>2201</v>
          </cell>
          <cell r="J53" t="str">
            <v>J</v>
          </cell>
          <cell r="M53" t="str">
            <v>固定资产清理</v>
          </cell>
          <cell r="P53" t="str">
            <v>支付原保险合同赔付款项的现金</v>
          </cell>
          <cell r="S53" t="str">
            <v>1221p</v>
          </cell>
          <cell r="T53" t="str">
            <v>转移其他应收款且继续涉入形成的负债金额</v>
          </cell>
          <cell r="U53" t="str">
            <v>项       目</v>
          </cell>
          <cell r="V53">
            <v>1</v>
          </cell>
          <cell r="W53">
            <v>1221</v>
          </cell>
          <cell r="X53">
            <v>2</v>
          </cell>
        </row>
        <row r="54">
          <cell r="B54">
            <v>2202</v>
          </cell>
          <cell r="C54" t="str">
            <v>应付账款</v>
          </cell>
          <cell r="D54">
            <v>-1</v>
          </cell>
          <cell r="F54">
            <v>4230</v>
          </cell>
          <cell r="G54" t="str">
            <v>其中：应付账款</v>
          </cell>
          <cell r="I54">
            <v>2202</v>
          </cell>
          <cell r="J54" t="str">
            <v>J</v>
          </cell>
          <cell r="M54" t="str">
            <v>生产性生物资产</v>
          </cell>
          <cell r="P54" t="str">
            <v>支付利息手续费及佣金的现金</v>
          </cell>
          <cell r="S54" t="str">
            <v>1221c</v>
          </cell>
          <cell r="T54" t="str">
            <v>外币其他应收款</v>
          </cell>
          <cell r="U54" t="str">
            <v>币       种</v>
          </cell>
          <cell r="V54">
            <v>1</v>
          </cell>
          <cell r="W54">
            <v>1221</v>
          </cell>
          <cell r="X54">
            <v>2</v>
          </cell>
        </row>
        <row r="55">
          <cell r="B55">
            <v>2205</v>
          </cell>
          <cell r="C55" t="str">
            <v>预收款项</v>
          </cell>
          <cell r="D55">
            <v>-1</v>
          </cell>
          <cell r="F55">
            <v>4240</v>
          </cell>
          <cell r="G55" t="str">
            <v>预收款项</v>
          </cell>
          <cell r="I55">
            <v>2205</v>
          </cell>
          <cell r="J55" t="str">
            <v>J</v>
          </cell>
          <cell r="M55" t="str">
            <v>生产性生物资产累计折旧</v>
          </cell>
          <cell r="P55" t="str">
            <v>支付保单红利的现金</v>
          </cell>
          <cell r="S55" t="str">
            <v>1221m</v>
          </cell>
          <cell r="T55" t="str">
            <v>关联方应收应付款项——其他应收款</v>
          </cell>
          <cell r="U55" t="str">
            <v>单位名称</v>
          </cell>
          <cell r="V55">
            <v>1</v>
          </cell>
          <cell r="W55">
            <v>1221</v>
          </cell>
          <cell r="X55">
            <v>2</v>
          </cell>
        </row>
        <row r="56">
          <cell r="B56">
            <v>2111</v>
          </cell>
          <cell r="C56" t="str">
            <v>卖出回购金融资产款</v>
          </cell>
          <cell r="D56">
            <v>-1</v>
          </cell>
          <cell r="E56" t="str">
            <v>△</v>
          </cell>
          <cell r="G56" t="str">
            <v>卖出回购金融资产款</v>
          </cell>
          <cell r="I56">
            <v>2111</v>
          </cell>
          <cell r="J56" t="str">
            <v>J</v>
          </cell>
          <cell r="M56" t="str">
            <v>生产性生物资产减值准备</v>
          </cell>
          <cell r="P56" t="str">
            <v>质押贷款净增加额</v>
          </cell>
          <cell r="S56" t="str">
            <v>1221x</v>
          </cell>
          <cell r="T56" t="str">
            <v>其他应收款补充资料</v>
          </cell>
          <cell r="U56" t="str">
            <v>项       目</v>
          </cell>
          <cell r="V56">
            <v>1</v>
          </cell>
          <cell r="W56">
            <v>1221</v>
          </cell>
          <cell r="X56">
            <v>2</v>
          </cell>
        </row>
        <row r="57">
          <cell r="B57">
            <v>2240</v>
          </cell>
          <cell r="C57" t="str">
            <v>应付手续费及佣金</v>
          </cell>
          <cell r="D57">
            <v>-1</v>
          </cell>
          <cell r="E57" t="str">
            <v>△</v>
          </cell>
          <cell r="G57" t="str">
            <v>应付手续费及佣金</v>
          </cell>
          <cell r="I57">
            <v>2240</v>
          </cell>
          <cell r="J57" t="str">
            <v>J</v>
          </cell>
          <cell r="M57" t="str">
            <v>油气资产</v>
          </cell>
          <cell r="P57" t="str">
            <v>期初现金及现金等价物余额</v>
          </cell>
          <cell r="S57" t="str">
            <v>1400a</v>
          </cell>
          <cell r="T57" t="str">
            <v>存货分类列示</v>
          </cell>
          <cell r="U57" t="str">
            <v>存货种类</v>
          </cell>
          <cell r="V57">
            <v>1</v>
          </cell>
          <cell r="W57">
            <v>1400</v>
          </cell>
          <cell r="X57">
            <v>1</v>
          </cell>
        </row>
        <row r="58">
          <cell r="B58">
            <v>2211</v>
          </cell>
          <cell r="C58" t="str">
            <v>应付职工薪酬</v>
          </cell>
          <cell r="D58">
            <v>-1</v>
          </cell>
          <cell r="F58">
            <v>4300</v>
          </cell>
          <cell r="G58" t="str">
            <v>应付职工薪酬</v>
          </cell>
          <cell r="I58">
            <v>2211</v>
          </cell>
          <cell r="J58" t="str">
            <v>J</v>
          </cell>
          <cell r="M58" t="str">
            <v>累计折耗</v>
          </cell>
          <cell r="P58" t="str">
            <v>现金流量调整</v>
          </cell>
          <cell r="S58" t="str">
            <v>1400b</v>
          </cell>
          <cell r="T58" t="str">
            <v>存货跌价准备的增减变动情况</v>
          </cell>
          <cell r="U58" t="str">
            <v>存货种类</v>
          </cell>
          <cell r="V58">
            <v>1</v>
          </cell>
          <cell r="W58">
            <v>1400</v>
          </cell>
          <cell r="X58">
            <v>2</v>
          </cell>
        </row>
        <row r="59">
          <cell r="B59">
            <v>2221</v>
          </cell>
          <cell r="C59" t="str">
            <v>应交税费</v>
          </cell>
          <cell r="D59">
            <v>-1</v>
          </cell>
          <cell r="F59">
            <v>4410</v>
          </cell>
          <cell r="G59" t="str">
            <v>应交税费</v>
          </cell>
          <cell r="I59">
            <v>2221</v>
          </cell>
          <cell r="J59" t="str">
            <v>J</v>
          </cell>
          <cell r="M59" t="str">
            <v>油气资产减值准备</v>
          </cell>
          <cell r="S59" t="str">
            <v>1400c</v>
          </cell>
          <cell r="T59" t="str">
            <v>存货跌价准备计提依据与转回情况</v>
          </cell>
          <cell r="U59" t="str">
            <v>存货种类</v>
          </cell>
          <cell r="V59">
            <v>1</v>
          </cell>
          <cell r="W59">
            <v>1400</v>
          </cell>
          <cell r="X59">
            <v>2</v>
          </cell>
        </row>
        <row r="60">
          <cell r="B60">
            <v>2231</v>
          </cell>
          <cell r="C60" t="str">
            <v>应付利息</v>
          </cell>
          <cell r="D60">
            <v>-1</v>
          </cell>
          <cell r="F60">
            <v>4250</v>
          </cell>
          <cell r="G60" t="str">
            <v>其中：应付利息</v>
          </cell>
          <cell r="I60">
            <v>2231</v>
          </cell>
          <cell r="J60" t="str">
            <v>J</v>
          </cell>
          <cell r="M60" t="str">
            <v>开发支出</v>
          </cell>
          <cell r="S60" t="str">
            <v>1400t</v>
          </cell>
          <cell r="T60" t="str">
            <v>存货期末余额中含有借款费用资本化金额的说明</v>
          </cell>
          <cell r="U60" t="str">
            <v>项       目</v>
          </cell>
          <cell r="V60">
            <v>1</v>
          </cell>
          <cell r="W60">
            <v>1400</v>
          </cell>
          <cell r="X60">
            <v>2</v>
          </cell>
        </row>
        <row r="61">
          <cell r="B61">
            <v>2232</v>
          </cell>
          <cell r="C61" t="str">
            <v>应付股利</v>
          </cell>
          <cell r="D61">
            <v>-1</v>
          </cell>
          <cell r="F61">
            <v>4260</v>
          </cell>
          <cell r="G61" t="str">
            <v>其中：应付股利</v>
          </cell>
          <cell r="I61">
            <v>2232</v>
          </cell>
          <cell r="J61" t="str">
            <v>J</v>
          </cell>
          <cell r="M61" t="str">
            <v>无形资产</v>
          </cell>
          <cell r="S61" t="str">
            <v>1400d</v>
          </cell>
          <cell r="T61" t="str">
            <v>开发成本</v>
          </cell>
          <cell r="U61" t="str">
            <v>项目名称</v>
          </cell>
          <cell r="V61">
            <v>1</v>
          </cell>
          <cell r="W61">
            <v>1400</v>
          </cell>
          <cell r="X61">
            <v>2</v>
          </cell>
        </row>
        <row r="62">
          <cell r="B62">
            <v>2241</v>
          </cell>
          <cell r="C62" t="str">
            <v>其他应付款</v>
          </cell>
          <cell r="D62">
            <v>-1</v>
          </cell>
          <cell r="F62">
            <v>4270</v>
          </cell>
          <cell r="G62" t="str">
            <v>其中：其他应付款</v>
          </cell>
          <cell r="I62">
            <v>2241</v>
          </cell>
          <cell r="J62" t="str">
            <v>J</v>
          </cell>
          <cell r="M62" t="str">
            <v>累计摊销</v>
          </cell>
          <cell r="S62" t="str">
            <v>1400e</v>
          </cell>
          <cell r="T62" t="str">
            <v>开发产品</v>
          </cell>
          <cell r="U62" t="str">
            <v>项目名称</v>
          </cell>
          <cell r="V62">
            <v>1</v>
          </cell>
          <cell r="W62">
            <v>1400</v>
          </cell>
          <cell r="X62">
            <v>2</v>
          </cell>
        </row>
        <row r="63">
          <cell r="B63">
            <v>2261</v>
          </cell>
          <cell r="C63" t="str">
            <v>应付分保账款</v>
          </cell>
          <cell r="D63">
            <v>-1</v>
          </cell>
          <cell r="E63" t="str">
            <v>△</v>
          </cell>
          <cell r="G63" t="str">
            <v>应付分保账款</v>
          </cell>
          <cell r="I63">
            <v>2261</v>
          </cell>
          <cell r="J63" t="str">
            <v>J</v>
          </cell>
          <cell r="M63" t="str">
            <v>无形资产减值准备</v>
          </cell>
          <cell r="S63" t="str">
            <v>1400g</v>
          </cell>
          <cell r="T63" t="str">
            <v>周转房</v>
          </cell>
          <cell r="U63" t="str">
            <v>项目名称</v>
          </cell>
          <cell r="V63">
            <v>1</v>
          </cell>
          <cell r="W63">
            <v>1400</v>
          </cell>
          <cell r="X63">
            <v>2</v>
          </cell>
        </row>
        <row r="64">
          <cell r="B64">
            <v>2310</v>
          </cell>
          <cell r="C64" t="str">
            <v>保险合同准备金</v>
          </cell>
          <cell r="D64">
            <v>-1</v>
          </cell>
          <cell r="E64" t="str">
            <v>△</v>
          </cell>
          <cell r="G64" t="str">
            <v>保险合同准备金</v>
          </cell>
          <cell r="I64">
            <v>2310</v>
          </cell>
          <cell r="J64" t="str">
            <v>J</v>
          </cell>
          <cell r="M64" t="str">
            <v>商誉</v>
          </cell>
          <cell r="S64" t="str">
            <v>1400h</v>
          </cell>
          <cell r="T64" t="str">
            <v>建造合同形成的已完工未结算资产</v>
          </cell>
          <cell r="U64" t="str">
            <v>项       目</v>
          </cell>
          <cell r="V64">
            <v>1</v>
          </cell>
          <cell r="W64">
            <v>1400</v>
          </cell>
          <cell r="X64">
            <v>2</v>
          </cell>
        </row>
        <row r="65">
          <cell r="B65">
            <v>2311</v>
          </cell>
          <cell r="C65" t="str">
            <v>代理买卖证券款</v>
          </cell>
          <cell r="D65">
            <v>-1</v>
          </cell>
          <cell r="E65" t="str">
            <v>△</v>
          </cell>
          <cell r="G65" t="str">
            <v>代理买卖证券款</v>
          </cell>
          <cell r="I65">
            <v>2311</v>
          </cell>
          <cell r="J65" t="str">
            <v>J</v>
          </cell>
          <cell r="M65" t="str">
            <v>商誉减值准备</v>
          </cell>
          <cell r="S65" t="str">
            <v>1400s</v>
          </cell>
          <cell r="T65" t="str">
            <v>期末用于债务担保的存货</v>
          </cell>
          <cell r="U65" t="str">
            <v>项       目</v>
          </cell>
          <cell r="V65">
            <v>1</v>
          </cell>
          <cell r="W65">
            <v>1400</v>
          </cell>
          <cell r="X65">
            <v>2</v>
          </cell>
        </row>
        <row r="66">
          <cell r="B66">
            <v>2312</v>
          </cell>
          <cell r="C66" t="str">
            <v>代理承销证券款</v>
          </cell>
          <cell r="D66">
            <v>-1</v>
          </cell>
          <cell r="E66" t="str">
            <v>△</v>
          </cell>
          <cell r="G66" t="str">
            <v>代理承销证券款</v>
          </cell>
          <cell r="I66">
            <v>2312</v>
          </cell>
          <cell r="J66" t="str">
            <v>J</v>
          </cell>
          <cell r="M66" t="str">
            <v>长期待摊费用</v>
          </cell>
          <cell r="S66" t="str">
            <v>1400x</v>
          </cell>
          <cell r="T66" t="str">
            <v>存货补充资料</v>
          </cell>
          <cell r="U66" t="str">
            <v>项       目</v>
          </cell>
          <cell r="V66">
            <v>1</v>
          </cell>
          <cell r="W66">
            <v>1400</v>
          </cell>
          <cell r="X66">
            <v>2</v>
          </cell>
        </row>
        <row r="67">
          <cell r="B67">
            <v>2315</v>
          </cell>
          <cell r="C67" t="str">
            <v>持有待售负债</v>
          </cell>
          <cell r="D67">
            <v>-1</v>
          </cell>
          <cell r="E67" t="str">
            <v>Ｘ</v>
          </cell>
          <cell r="F67">
            <v>4550</v>
          </cell>
          <cell r="G67" t="str">
            <v>持有待售负债</v>
          </cell>
          <cell r="I67">
            <v>2315</v>
          </cell>
          <cell r="J67" t="str">
            <v>J</v>
          </cell>
          <cell r="M67" t="str">
            <v>递延所得税资产</v>
          </cell>
          <cell r="S67" t="str">
            <v>1315e</v>
          </cell>
          <cell r="T67" t="str">
            <v>持有待售资产明细</v>
          </cell>
          <cell r="U67" t="str">
            <v>项       目</v>
          </cell>
          <cell r="V67">
            <v>1</v>
          </cell>
          <cell r="W67">
            <v>1315</v>
          </cell>
          <cell r="X67">
            <v>1</v>
          </cell>
        </row>
        <row r="68">
          <cell r="B68">
            <v>2395</v>
          </cell>
          <cell r="C68" t="str">
            <v>一年内到期的非流动负债</v>
          </cell>
          <cell r="D68">
            <v>-1</v>
          </cell>
          <cell r="F68">
            <v>4280</v>
          </cell>
          <cell r="G68" t="str">
            <v>一年内到期的非流动负债</v>
          </cell>
          <cell r="I68">
            <v>2395</v>
          </cell>
          <cell r="J68" t="str">
            <v>J</v>
          </cell>
          <cell r="M68" t="str">
            <v>其他非流动资产</v>
          </cell>
          <cell r="S68" t="str">
            <v>1315a</v>
          </cell>
          <cell r="T68" t="str">
            <v>持有待售资产</v>
          </cell>
          <cell r="U68" t="str">
            <v>项       目</v>
          </cell>
          <cell r="V68">
            <v>1</v>
          </cell>
          <cell r="W68">
            <v>1315</v>
          </cell>
          <cell r="X68">
            <v>2</v>
          </cell>
        </row>
        <row r="69">
          <cell r="B69">
            <v>2396</v>
          </cell>
          <cell r="C69" t="str">
            <v>其他流动负债</v>
          </cell>
          <cell r="D69">
            <v>-1</v>
          </cell>
          <cell r="F69">
            <v>4290</v>
          </cell>
          <cell r="G69" t="str">
            <v>其他流动负债</v>
          </cell>
          <cell r="I69">
            <v>2396</v>
          </cell>
          <cell r="J69" t="str">
            <v>J</v>
          </cell>
          <cell r="M69" t="str">
            <v>公益性生物资产</v>
          </cell>
          <cell r="S69" t="str">
            <v>2315a</v>
          </cell>
          <cell r="T69" t="str">
            <v>持有待售负债</v>
          </cell>
          <cell r="U69" t="str">
            <v>项       目</v>
          </cell>
          <cell r="V69">
            <v>1</v>
          </cell>
          <cell r="W69">
            <v>2315</v>
          </cell>
          <cell r="X69">
            <v>1</v>
          </cell>
        </row>
        <row r="70">
          <cell r="B70">
            <v>2498</v>
          </cell>
          <cell r="C70" t="str">
            <v>流动负债</v>
          </cell>
          <cell r="E70" t="str">
            <v>＝</v>
          </cell>
          <cell r="G70" t="str">
            <v>流动负债合计</v>
          </cell>
          <cell r="I70">
            <v>2498</v>
          </cell>
          <cell r="M70" t="str">
            <v>短期借款</v>
          </cell>
          <cell r="S70" t="str">
            <v>1315f</v>
          </cell>
          <cell r="T70" t="str">
            <v>持有待售资产减值准备</v>
          </cell>
          <cell r="U70" t="str">
            <v>项       目</v>
          </cell>
          <cell r="V70">
            <v>1</v>
          </cell>
          <cell r="W70">
            <v>1315</v>
          </cell>
          <cell r="X70">
            <v>2</v>
          </cell>
        </row>
        <row r="71">
          <cell r="B71">
            <v>2500</v>
          </cell>
          <cell r="C71" t="str">
            <v>非流动负债项目</v>
          </cell>
          <cell r="E71" t="str">
            <v>：</v>
          </cell>
          <cell r="G71" t="str">
            <v>非流动负债：</v>
          </cell>
          <cell r="I71">
            <v>2500</v>
          </cell>
          <cell r="M71" t="str">
            <v>以公允价值计量且其变动计入当期损益的金融负债</v>
          </cell>
          <cell r="S71" t="str">
            <v>1315b</v>
          </cell>
          <cell r="T71" t="str">
            <v>持有待售的非流动资产</v>
          </cell>
          <cell r="U71" t="str">
            <v>项       目</v>
          </cell>
          <cell r="V71">
            <v>1</v>
          </cell>
          <cell r="W71">
            <v>1315</v>
          </cell>
          <cell r="X71">
            <v>2</v>
          </cell>
        </row>
        <row r="72">
          <cell r="B72">
            <v>2501</v>
          </cell>
          <cell r="C72" t="str">
            <v>长期借款</v>
          </cell>
          <cell r="D72">
            <v>-1</v>
          </cell>
          <cell r="F72">
            <v>4120</v>
          </cell>
          <cell r="G72" t="str">
            <v>长期借款</v>
          </cell>
          <cell r="I72">
            <v>2501</v>
          </cell>
          <cell r="J72" t="str">
            <v>J</v>
          </cell>
          <cell r="M72" t="str">
            <v>衍生金融负债</v>
          </cell>
          <cell r="S72" t="str">
            <v>1315c</v>
          </cell>
          <cell r="T72" t="str">
            <v>持有待售的处置组（一）</v>
          </cell>
          <cell r="U72" t="str">
            <v>项       目</v>
          </cell>
          <cell r="V72">
            <v>1</v>
          </cell>
          <cell r="W72">
            <v>1315</v>
          </cell>
          <cell r="X72">
            <v>2</v>
          </cell>
        </row>
        <row r="73">
          <cell r="B73">
            <v>2502</v>
          </cell>
          <cell r="C73" t="str">
            <v>应付债券</v>
          </cell>
          <cell r="D73">
            <v>-1</v>
          </cell>
          <cell r="F73">
            <v>4130</v>
          </cell>
          <cell r="G73" t="str">
            <v>应付债券</v>
          </cell>
          <cell r="I73">
            <v>2502</v>
          </cell>
          <cell r="J73" t="str">
            <v>J</v>
          </cell>
          <cell r="M73" t="str">
            <v>应付票据</v>
          </cell>
          <cell r="S73" t="str">
            <v>1315d</v>
          </cell>
          <cell r="T73" t="str">
            <v>持有待售的处置组（二）</v>
          </cell>
          <cell r="U73" t="str">
            <v>项       目</v>
          </cell>
          <cell r="V73">
            <v>1</v>
          </cell>
          <cell r="W73">
            <v>1315</v>
          </cell>
          <cell r="X73">
            <v>2</v>
          </cell>
        </row>
        <row r="74">
          <cell r="B74">
            <v>2502.11</v>
          </cell>
          <cell r="C74" t="str">
            <v>应付债券_优先股</v>
          </cell>
          <cell r="D74">
            <v>-1</v>
          </cell>
          <cell r="E74" t="str">
            <v>OEI</v>
          </cell>
          <cell r="G74" t="str">
            <v>其中：优先股</v>
          </cell>
          <cell r="I74">
            <v>2502.11</v>
          </cell>
          <cell r="J74" t="str">
            <v>J</v>
          </cell>
          <cell r="M74" t="str">
            <v>应付账款</v>
          </cell>
          <cell r="S74" t="str">
            <v>1495a</v>
          </cell>
          <cell r="T74" t="str">
            <v>一年内到期的非流动资产</v>
          </cell>
          <cell r="U74" t="str">
            <v>项       目</v>
          </cell>
          <cell r="V74">
            <v>1</v>
          </cell>
          <cell r="W74">
            <v>1495</v>
          </cell>
          <cell r="X74">
            <v>1</v>
          </cell>
        </row>
        <row r="75">
          <cell r="B75">
            <v>2502.31</v>
          </cell>
          <cell r="C75" t="str">
            <v>应付债券_永续债</v>
          </cell>
          <cell r="D75">
            <v>-1</v>
          </cell>
          <cell r="E75" t="str">
            <v>OEI</v>
          </cell>
          <cell r="G75" t="str">
            <v xml:space="preserve">      永续债</v>
          </cell>
          <cell r="I75">
            <v>2502.31</v>
          </cell>
          <cell r="J75" t="str">
            <v>J</v>
          </cell>
          <cell r="M75" t="str">
            <v>应付票据及应付账款</v>
          </cell>
          <cell r="S75" t="str">
            <v>1496a</v>
          </cell>
          <cell r="T75" t="str">
            <v>其他流动资产明细列示</v>
          </cell>
          <cell r="U75" t="str">
            <v>项       目</v>
          </cell>
          <cell r="V75">
            <v>1</v>
          </cell>
          <cell r="W75">
            <v>1496</v>
          </cell>
          <cell r="X75">
            <v>1</v>
          </cell>
        </row>
        <row r="76">
          <cell r="B76">
            <v>2701</v>
          </cell>
          <cell r="C76" t="str">
            <v>长期应付款</v>
          </cell>
          <cell r="D76">
            <v>-1</v>
          </cell>
          <cell r="F76">
            <v>4510</v>
          </cell>
          <cell r="G76" t="str">
            <v>其中：长期应付款</v>
          </cell>
          <cell r="I76">
            <v>2701</v>
          </cell>
          <cell r="J76" t="str">
            <v>J</v>
          </cell>
          <cell r="M76" t="str">
            <v>预收款项</v>
          </cell>
          <cell r="S76" t="str">
            <v>1503a</v>
          </cell>
          <cell r="T76" t="str">
            <v>可供出售金融资产情况</v>
          </cell>
          <cell r="U76" t="str">
            <v>项       目</v>
          </cell>
          <cell r="V76">
            <v>1</v>
          </cell>
          <cell r="W76">
            <v>1503</v>
          </cell>
          <cell r="X76">
            <v>1</v>
          </cell>
        </row>
        <row r="77">
          <cell r="B77">
            <v>2715</v>
          </cell>
          <cell r="C77" t="str">
            <v>长期应付职工薪酬</v>
          </cell>
          <cell r="D77">
            <v>-1</v>
          </cell>
          <cell r="F77">
            <v>4320</v>
          </cell>
          <cell r="G77" t="str">
            <v>长期应付职工薪酬</v>
          </cell>
          <cell r="I77">
            <v>2715</v>
          </cell>
          <cell r="J77" t="str">
            <v>J</v>
          </cell>
          <cell r="M77" t="str">
            <v>应付职工薪酬</v>
          </cell>
          <cell r="S77" t="str">
            <v>1503e</v>
          </cell>
          <cell r="T77" t="str">
            <v>按公允价值计量的可供出售金融资产</v>
          </cell>
          <cell r="U77" t="str">
            <v>可供出售金融资产分类</v>
          </cell>
          <cell r="V77">
            <v>1</v>
          </cell>
          <cell r="W77">
            <v>1503</v>
          </cell>
          <cell r="X77">
            <v>2</v>
          </cell>
        </row>
        <row r="78">
          <cell r="B78">
            <v>2711</v>
          </cell>
          <cell r="C78" t="str">
            <v>专项应付款</v>
          </cell>
          <cell r="D78">
            <v>-1</v>
          </cell>
          <cell r="F78">
            <v>4520</v>
          </cell>
          <cell r="G78" t="str">
            <v>其中：专项应付款</v>
          </cell>
          <cell r="I78">
            <v>2711</v>
          </cell>
          <cell r="J78" t="str">
            <v>J</v>
          </cell>
          <cell r="M78" t="str">
            <v>应交税费</v>
          </cell>
          <cell r="S78" t="str">
            <v>1503f</v>
          </cell>
          <cell r="T78" t="str">
            <v>采用成本计量的可供出售权益工具</v>
          </cell>
          <cell r="U78" t="str">
            <v>被投资单位</v>
          </cell>
          <cell r="V78">
            <v>1</v>
          </cell>
          <cell r="W78">
            <v>1503</v>
          </cell>
          <cell r="X78">
            <v>2</v>
          </cell>
        </row>
        <row r="79">
          <cell r="B79">
            <v>2801</v>
          </cell>
          <cell r="C79" t="str">
            <v>预计负债</v>
          </cell>
          <cell r="D79">
            <v>-1</v>
          </cell>
          <cell r="F79">
            <v>4530</v>
          </cell>
          <cell r="G79" t="str">
            <v>预计负债</v>
          </cell>
          <cell r="I79">
            <v>2801</v>
          </cell>
          <cell r="J79" t="str">
            <v>J</v>
          </cell>
          <cell r="M79" t="str">
            <v>应付利息</v>
          </cell>
          <cell r="S79" t="str">
            <v>1503d</v>
          </cell>
          <cell r="T79" t="str">
            <v>报告期内可供出售金融资产减值的变动情况</v>
          </cell>
          <cell r="U79" t="str">
            <v>可供出售金融资产分类</v>
          </cell>
          <cell r="V79">
            <v>1</v>
          </cell>
          <cell r="W79">
            <v>1503</v>
          </cell>
          <cell r="X79">
            <v>2</v>
          </cell>
        </row>
        <row r="80">
          <cell r="B80">
            <v>2401</v>
          </cell>
          <cell r="C80" t="str">
            <v>递延收益</v>
          </cell>
          <cell r="D80">
            <v>-1</v>
          </cell>
          <cell r="F80">
            <v>4540</v>
          </cell>
          <cell r="G80" t="str">
            <v>递延收益</v>
          </cell>
          <cell r="I80">
            <v>2401</v>
          </cell>
          <cell r="J80" t="str">
            <v>J</v>
          </cell>
          <cell r="M80" t="str">
            <v>应付股利</v>
          </cell>
          <cell r="S80" t="str">
            <v>1503g</v>
          </cell>
          <cell r="T80" t="str">
            <v>可供出售权益工具期末公允价值大幅下跌或持续下跌但未计提减值准备的相关说明</v>
          </cell>
          <cell r="U80" t="str">
            <v>可供出售权益工具项目</v>
          </cell>
          <cell r="V80">
            <v>1</v>
          </cell>
          <cell r="W80">
            <v>1503</v>
          </cell>
          <cell r="X80">
            <v>2</v>
          </cell>
        </row>
        <row r="81">
          <cell r="B81">
            <v>2901</v>
          </cell>
          <cell r="C81" t="str">
            <v>递延所得税负债</v>
          </cell>
          <cell r="D81">
            <v>-1</v>
          </cell>
          <cell r="F81">
            <v>4420</v>
          </cell>
          <cell r="G81" t="str">
            <v>递延所得税负债</v>
          </cell>
          <cell r="I81">
            <v>2901</v>
          </cell>
          <cell r="J81" t="str">
            <v>J</v>
          </cell>
          <cell r="M81" t="str">
            <v>其他应付款</v>
          </cell>
          <cell r="S81" t="str">
            <v>1501a</v>
          </cell>
          <cell r="T81" t="str">
            <v>持有至到期投资分项列示</v>
          </cell>
          <cell r="U81" t="str">
            <v>项       目</v>
          </cell>
          <cell r="V81">
            <v>1</v>
          </cell>
          <cell r="W81">
            <v>1501</v>
          </cell>
          <cell r="X81">
            <v>1</v>
          </cell>
        </row>
        <row r="82">
          <cell r="B82">
            <v>2996</v>
          </cell>
          <cell r="C82" t="str">
            <v>其他非流动负债</v>
          </cell>
          <cell r="D82">
            <v>-1</v>
          </cell>
          <cell r="F82">
            <v>4590</v>
          </cell>
          <cell r="G82" t="str">
            <v>其他非流动负债</v>
          </cell>
          <cell r="I82">
            <v>2996</v>
          </cell>
          <cell r="J82" t="str">
            <v>J</v>
          </cell>
          <cell r="M82" t="str">
            <v>持有待售负债</v>
          </cell>
          <cell r="S82" t="str">
            <v>1501d</v>
          </cell>
          <cell r="T82" t="str">
            <v>重要的持有至到期投资</v>
          </cell>
          <cell r="U82" t="str">
            <v>债券项目</v>
          </cell>
          <cell r="V82">
            <v>1</v>
          </cell>
          <cell r="W82">
            <v>1501</v>
          </cell>
          <cell r="X82">
            <v>2</v>
          </cell>
        </row>
        <row r="83">
          <cell r="B83">
            <v>2998</v>
          </cell>
          <cell r="C83" t="str">
            <v>非流动负债</v>
          </cell>
          <cell r="E83" t="str">
            <v>＝</v>
          </cell>
          <cell r="G83" t="str">
            <v>非流动负债合计</v>
          </cell>
          <cell r="I83">
            <v>2998</v>
          </cell>
          <cell r="M83" t="str">
            <v>一年内到期的非流动负债</v>
          </cell>
          <cell r="S83" t="str">
            <v>1501e</v>
          </cell>
          <cell r="T83" t="str">
            <v>持有至到期投资重分类情况</v>
          </cell>
          <cell r="U83" t="str">
            <v>项       目</v>
          </cell>
          <cell r="V83">
            <v>1</v>
          </cell>
          <cell r="W83">
            <v>1501</v>
          </cell>
          <cell r="X83">
            <v>2</v>
          </cell>
        </row>
        <row r="84">
          <cell r="B84">
            <v>2999</v>
          </cell>
          <cell r="C84" t="str">
            <v>负债</v>
          </cell>
          <cell r="E84" t="str">
            <v>＝</v>
          </cell>
          <cell r="G84" t="str">
            <v>负债合计</v>
          </cell>
          <cell r="I84">
            <v>2999</v>
          </cell>
          <cell r="M84" t="str">
            <v>其他流动负债</v>
          </cell>
          <cell r="S84" t="str">
            <v>1531a</v>
          </cell>
          <cell r="T84" t="str">
            <v>长期应收款按性质披露</v>
          </cell>
          <cell r="U84" t="str">
            <v>项       目</v>
          </cell>
          <cell r="V84">
            <v>1</v>
          </cell>
          <cell r="W84">
            <v>1531</v>
          </cell>
          <cell r="X84">
            <v>1</v>
          </cell>
        </row>
        <row r="85">
          <cell r="B85">
            <v>4000</v>
          </cell>
          <cell r="C85" t="str">
            <v>所有者权益项目</v>
          </cell>
          <cell r="E85" t="str">
            <v>：</v>
          </cell>
          <cell r="G85" t="str">
            <v>股东（或所有者）权益：</v>
          </cell>
          <cell r="H85" t="str">
            <v>所有者权益(或股东权益)：</v>
          </cell>
          <cell r="I85">
            <v>4000</v>
          </cell>
          <cell r="M85" t="str">
            <v>递延收益</v>
          </cell>
          <cell r="S85" t="str">
            <v>1531b</v>
          </cell>
          <cell r="T85" t="str">
            <v>长期应收款逾期情况</v>
          </cell>
          <cell r="U85" t="str">
            <v>逾  期</v>
          </cell>
          <cell r="V85">
            <v>1</v>
          </cell>
          <cell r="W85">
            <v>1531</v>
          </cell>
          <cell r="X85">
            <v>2</v>
          </cell>
        </row>
        <row r="86">
          <cell r="B86">
            <v>4001</v>
          </cell>
          <cell r="C86" t="str">
            <v>实收资本</v>
          </cell>
          <cell r="D86">
            <v>-1</v>
          </cell>
          <cell r="F86">
            <v>5110</v>
          </cell>
          <cell r="G86" t="str">
            <v>股本</v>
          </cell>
          <cell r="H86" t="str">
            <v>实收资本（或股本）</v>
          </cell>
          <cell r="I86">
            <v>4001</v>
          </cell>
          <cell r="J86" t="str">
            <v>J</v>
          </cell>
          <cell r="M86" t="str">
            <v>长期借款</v>
          </cell>
          <cell r="S86" t="str">
            <v>1531c</v>
          </cell>
          <cell r="T86" t="str">
            <v>终止确认的长期应收款情况</v>
          </cell>
          <cell r="U86" t="str">
            <v>项       目</v>
          </cell>
          <cell r="V86">
            <v>1</v>
          </cell>
          <cell r="W86">
            <v>1531</v>
          </cell>
          <cell r="X86">
            <v>2</v>
          </cell>
        </row>
        <row r="87">
          <cell r="B87">
            <v>4015</v>
          </cell>
          <cell r="C87" t="str">
            <v>其他权益工具</v>
          </cell>
          <cell r="D87">
            <v>-1</v>
          </cell>
          <cell r="E87" t="str">
            <v>OEI</v>
          </cell>
          <cell r="F87">
            <v>5120</v>
          </cell>
          <cell r="G87" t="str">
            <v>其他权益工具</v>
          </cell>
          <cell r="H87" t="str">
            <v>其他权益工具</v>
          </cell>
          <cell r="I87">
            <v>4015</v>
          </cell>
          <cell r="J87" t="str">
            <v>J</v>
          </cell>
          <cell r="M87" t="str">
            <v>应付债券</v>
          </cell>
          <cell r="S87" t="str">
            <v>1531d</v>
          </cell>
          <cell r="T87" t="str">
            <v>转移长期应收款且继续涉入形成的资产</v>
          </cell>
          <cell r="U87" t="str">
            <v>项       目</v>
          </cell>
          <cell r="V87">
            <v>1</v>
          </cell>
          <cell r="W87">
            <v>1531</v>
          </cell>
          <cell r="X87">
            <v>2</v>
          </cell>
        </row>
        <row r="88">
          <cell r="B88">
            <v>4015.11</v>
          </cell>
          <cell r="C88" t="str">
            <v>其他权益工具_优先股</v>
          </cell>
          <cell r="D88">
            <v>-1</v>
          </cell>
          <cell r="E88" t="str">
            <v>OEI</v>
          </cell>
          <cell r="G88" t="str">
            <v>其中：优先股</v>
          </cell>
          <cell r="H88" t="str">
            <v>其中：优先股</v>
          </cell>
          <cell r="I88">
            <v>4015.11</v>
          </cell>
          <cell r="J88" t="str">
            <v>J</v>
          </cell>
          <cell r="M88" t="str">
            <v>应付债券_优先股</v>
          </cell>
          <cell r="S88" t="str">
            <v>1531e</v>
          </cell>
          <cell r="T88" t="str">
            <v>转移长期应收款且继续涉入形成的负债</v>
          </cell>
          <cell r="U88" t="str">
            <v>项       目</v>
          </cell>
          <cell r="V88">
            <v>1</v>
          </cell>
          <cell r="W88">
            <v>1531</v>
          </cell>
          <cell r="X88">
            <v>2</v>
          </cell>
        </row>
        <row r="89">
          <cell r="B89">
            <v>4015.31</v>
          </cell>
          <cell r="C89" t="str">
            <v>其他权益工具_永续债</v>
          </cell>
          <cell r="D89">
            <v>-1</v>
          </cell>
          <cell r="E89" t="str">
            <v>OEI</v>
          </cell>
          <cell r="G89" t="str">
            <v xml:space="preserve">      永续债</v>
          </cell>
          <cell r="H89" t="str">
            <v xml:space="preserve">      永续债</v>
          </cell>
          <cell r="I89">
            <v>4015.31</v>
          </cell>
          <cell r="J89" t="str">
            <v>J</v>
          </cell>
          <cell r="M89" t="str">
            <v>应付债券_永续债</v>
          </cell>
          <cell r="S89" t="str">
            <v>1531f</v>
          </cell>
          <cell r="T89" t="str">
            <v>外币长期应收款</v>
          </cell>
          <cell r="U89" t="str">
            <v>币       种</v>
          </cell>
          <cell r="V89">
            <v>1</v>
          </cell>
          <cell r="W89">
            <v>1531</v>
          </cell>
          <cell r="X89">
            <v>2</v>
          </cell>
        </row>
        <row r="90">
          <cell r="B90">
            <v>4015.91</v>
          </cell>
          <cell r="C90" t="str">
            <v>其他权益工具_其他</v>
          </cell>
          <cell r="D90">
            <v>-1</v>
          </cell>
          <cell r="E90" t="str">
            <v>OEI</v>
          </cell>
          <cell r="G90" t="str">
            <v xml:space="preserve">      其他</v>
          </cell>
          <cell r="H90" t="str">
            <v xml:space="preserve">      其他</v>
          </cell>
          <cell r="I90">
            <v>4015.91</v>
          </cell>
          <cell r="J90" t="str">
            <v>J</v>
          </cell>
          <cell r="M90" t="str">
            <v>长期应付款</v>
          </cell>
          <cell r="S90" t="str">
            <v>1515a</v>
          </cell>
          <cell r="T90" t="str">
            <v>设定受益计划净资产</v>
          </cell>
          <cell r="U90" t="str">
            <v>项       目</v>
          </cell>
          <cell r="V90">
            <v>1</v>
          </cell>
          <cell r="W90">
            <v>1515</v>
          </cell>
          <cell r="X90">
            <v>1</v>
          </cell>
        </row>
        <row r="91">
          <cell r="B91">
            <v>4002</v>
          </cell>
          <cell r="C91" t="str">
            <v>资本公积</v>
          </cell>
          <cell r="D91">
            <v>-1</v>
          </cell>
          <cell r="F91">
            <v>5210</v>
          </cell>
          <cell r="G91" t="str">
            <v>资本公积</v>
          </cell>
          <cell r="H91" t="str">
            <v>资本公积</v>
          </cell>
          <cell r="I91">
            <v>4002</v>
          </cell>
          <cell r="J91" t="str">
            <v>J</v>
          </cell>
          <cell r="M91" t="str">
            <v>专项应付款</v>
          </cell>
          <cell r="S91" t="str">
            <v>1515b</v>
          </cell>
          <cell r="T91" t="str">
            <v>设定受益计划义务现值变动情况</v>
          </cell>
          <cell r="U91" t="str">
            <v>项       目</v>
          </cell>
          <cell r="V91">
            <v>1</v>
          </cell>
          <cell r="W91">
            <v>1515</v>
          </cell>
          <cell r="X91">
            <v>2</v>
          </cell>
        </row>
        <row r="92">
          <cell r="B92">
            <v>4201</v>
          </cell>
          <cell r="C92" t="str">
            <v>库存股</v>
          </cell>
          <cell r="D92">
            <v>1</v>
          </cell>
          <cell r="F92">
            <v>5310</v>
          </cell>
          <cell r="G92" t="str">
            <v>减：库存股</v>
          </cell>
          <cell r="H92" t="str">
            <v>减：库存股</v>
          </cell>
          <cell r="I92">
            <v>4201</v>
          </cell>
          <cell r="J92" t="str">
            <v>J</v>
          </cell>
          <cell r="M92" t="str">
            <v>长期应付职工薪酬</v>
          </cell>
          <cell r="S92" t="str">
            <v>1515c</v>
          </cell>
          <cell r="T92" t="str">
            <v>设定受益计划资产变动情况</v>
          </cell>
          <cell r="U92" t="str">
            <v>项       目</v>
          </cell>
          <cell r="V92">
            <v>1</v>
          </cell>
          <cell r="W92">
            <v>1515</v>
          </cell>
          <cell r="X92">
            <v>2</v>
          </cell>
        </row>
        <row r="93">
          <cell r="B93">
            <v>4215</v>
          </cell>
          <cell r="C93" t="str">
            <v>其他综合收益</v>
          </cell>
          <cell r="D93">
            <v>-1</v>
          </cell>
          <cell r="F93">
            <v>6710</v>
          </cell>
          <cell r="G93" t="str">
            <v>其他综合收益</v>
          </cell>
          <cell r="H93" t="str">
            <v>其他综合收益</v>
          </cell>
          <cell r="I93">
            <v>4215</v>
          </cell>
          <cell r="J93" t="str">
            <v>J</v>
          </cell>
          <cell r="M93" t="str">
            <v>预计负债</v>
          </cell>
          <cell r="S93" t="str">
            <v>1515d</v>
          </cell>
          <cell r="T93" t="str">
            <v>设定受益计划净资产变动情况</v>
          </cell>
          <cell r="U93" t="str">
            <v>项       目</v>
          </cell>
          <cell r="V93">
            <v>1</v>
          </cell>
          <cell r="W93">
            <v>1515</v>
          </cell>
          <cell r="X93">
            <v>2</v>
          </cell>
        </row>
        <row r="94">
          <cell r="B94">
            <v>4301</v>
          </cell>
          <cell r="C94" t="str">
            <v>专项储备</v>
          </cell>
          <cell r="D94">
            <v>-1</v>
          </cell>
          <cell r="F94">
            <v>5510</v>
          </cell>
          <cell r="G94" t="str">
            <v>专项储备</v>
          </cell>
          <cell r="H94" t="str">
            <v>专项储备</v>
          </cell>
          <cell r="I94">
            <v>4301</v>
          </cell>
          <cell r="J94" t="str">
            <v>J</v>
          </cell>
          <cell r="M94" t="str">
            <v>递延所得税负债</v>
          </cell>
          <cell r="S94" t="str">
            <v>1515e</v>
          </cell>
          <cell r="T94" t="str">
            <v>未折现的离职后福利预计到期分析</v>
          </cell>
          <cell r="U94" t="str">
            <v>项       目</v>
          </cell>
          <cell r="V94">
            <v>1</v>
          </cell>
          <cell r="W94">
            <v>1515</v>
          </cell>
          <cell r="X94">
            <v>2</v>
          </cell>
        </row>
        <row r="95">
          <cell r="B95">
            <v>4101</v>
          </cell>
          <cell r="C95" t="str">
            <v>盈余公积</v>
          </cell>
          <cell r="D95">
            <v>-1</v>
          </cell>
          <cell r="F95">
            <v>5410</v>
          </cell>
          <cell r="G95" t="str">
            <v>盈余公积</v>
          </cell>
          <cell r="H95" t="str">
            <v>盈余公积</v>
          </cell>
          <cell r="I95">
            <v>4101</v>
          </cell>
          <cell r="J95" t="str">
            <v>J</v>
          </cell>
          <cell r="M95" t="str">
            <v>其他非流动负债</v>
          </cell>
          <cell r="S95" t="str">
            <v>1515f</v>
          </cell>
          <cell r="T95" t="str">
            <v>设定受益计划资产明细</v>
          </cell>
          <cell r="U95" t="str">
            <v>项       目</v>
          </cell>
          <cell r="V95">
            <v>1</v>
          </cell>
          <cell r="W95">
            <v>1515</v>
          </cell>
          <cell r="X95">
            <v>2</v>
          </cell>
        </row>
        <row r="96">
          <cell r="B96">
            <v>4102</v>
          </cell>
          <cell r="C96" t="str">
            <v>一般风险准备</v>
          </cell>
          <cell r="D96">
            <v>-1</v>
          </cell>
          <cell r="G96" t="str">
            <v>一般风险准备</v>
          </cell>
          <cell r="H96" t="str">
            <v>一般风险准备</v>
          </cell>
          <cell r="I96">
            <v>4102</v>
          </cell>
          <cell r="J96" t="str">
            <v>J</v>
          </cell>
          <cell r="M96" t="str">
            <v>营业收入</v>
          </cell>
          <cell r="S96" t="str">
            <v>1515g</v>
          </cell>
          <cell r="T96" t="str">
            <v>设定受益计划精算假设</v>
          </cell>
          <cell r="U96" t="str">
            <v>项       目</v>
          </cell>
          <cell r="V96">
            <v>1</v>
          </cell>
          <cell r="W96">
            <v>1515</v>
          </cell>
          <cell r="X96">
            <v>2</v>
          </cell>
        </row>
        <row r="97">
          <cell r="B97">
            <v>4200</v>
          </cell>
          <cell r="C97" t="str">
            <v>未分配利润</v>
          </cell>
          <cell r="D97">
            <v>-1</v>
          </cell>
          <cell r="F97">
            <v>5610</v>
          </cell>
          <cell r="G97" t="str">
            <v>未分配利润</v>
          </cell>
          <cell r="H97" t="str">
            <v>未分配利润</v>
          </cell>
          <cell r="I97">
            <v>4200</v>
          </cell>
          <cell r="J97" t="str">
            <v>J</v>
          </cell>
          <cell r="M97" t="str">
            <v>公允价值变动收益</v>
          </cell>
          <cell r="S97" t="str">
            <v>1515h</v>
          </cell>
          <cell r="T97" t="str">
            <v>设定受益计划敏感性分析</v>
          </cell>
          <cell r="U97" t="str">
            <v>项       目</v>
          </cell>
          <cell r="V97">
            <v>1</v>
          </cell>
          <cell r="W97">
            <v>1515</v>
          </cell>
          <cell r="X97">
            <v>2</v>
          </cell>
        </row>
        <row r="98">
          <cell r="B98">
            <v>4210</v>
          </cell>
          <cell r="C98" t="str">
            <v>外币报表折算差额</v>
          </cell>
          <cell r="D98">
            <v>-1</v>
          </cell>
          <cell r="E98" t="str">
            <v>※</v>
          </cell>
          <cell r="G98" t="str">
            <v>外币报表折算差额</v>
          </cell>
          <cell r="H98" t="str">
            <v>外币报表折算差额</v>
          </cell>
          <cell r="I98">
            <v>4210</v>
          </cell>
          <cell r="M98" t="str">
            <v>投资收益</v>
          </cell>
          <cell r="S98" t="str">
            <v>1511b</v>
          </cell>
          <cell r="T98" t="str">
            <v>长期股权投资本期增减变动</v>
          </cell>
          <cell r="U98" t="str">
            <v>被投资单位</v>
          </cell>
          <cell r="V98">
            <v>1</v>
          </cell>
          <cell r="W98">
            <v>1511</v>
          </cell>
          <cell r="X98">
            <v>1</v>
          </cell>
        </row>
        <row r="99">
          <cell r="B99">
            <v>4298</v>
          </cell>
          <cell r="C99" t="str">
            <v>归属于母公司所有者权益</v>
          </cell>
          <cell r="E99" t="str">
            <v>※</v>
          </cell>
          <cell r="G99" t="str">
            <v>归属于母公司股东权益合计</v>
          </cell>
          <cell r="H99" t="str">
            <v>归属于母公司所有者权益合计</v>
          </cell>
          <cell r="I99">
            <v>4298</v>
          </cell>
          <cell r="M99" t="str">
            <v>对联营企业和合营企业的投资收益</v>
          </cell>
          <cell r="S99" t="str">
            <v>1511a</v>
          </cell>
          <cell r="T99" t="str">
            <v>长期股权投资分项列示</v>
          </cell>
          <cell r="U99" t="str">
            <v>被投资单位</v>
          </cell>
          <cell r="V99">
            <v>1</v>
          </cell>
          <cell r="W99">
            <v>1511</v>
          </cell>
          <cell r="X99">
            <v>2</v>
          </cell>
        </row>
        <row r="100">
          <cell r="B100">
            <v>4398</v>
          </cell>
          <cell r="C100" t="str">
            <v>少数股东权益</v>
          </cell>
          <cell r="D100">
            <v>-1</v>
          </cell>
          <cell r="E100" t="str">
            <v>※</v>
          </cell>
          <cell r="G100" t="str">
            <v>少数股东权益</v>
          </cell>
          <cell r="H100" t="str">
            <v>少数股东权益</v>
          </cell>
          <cell r="I100">
            <v>4398</v>
          </cell>
          <cell r="J100" t="str">
            <v>J</v>
          </cell>
          <cell r="M100" t="str">
            <v>资产处置收益</v>
          </cell>
          <cell r="S100" t="str">
            <v>1521d</v>
          </cell>
          <cell r="T100" t="str">
            <v>按成本计量的投资性房地产账面原值</v>
          </cell>
          <cell r="U100" t="str">
            <v>项       目</v>
          </cell>
          <cell r="V100">
            <v>1</v>
          </cell>
          <cell r="W100">
            <v>1521</v>
          </cell>
          <cell r="X100">
            <v>2</v>
          </cell>
        </row>
        <row r="101">
          <cell r="B101">
            <v>4999</v>
          </cell>
          <cell r="C101" t="str">
            <v>所有者权益</v>
          </cell>
          <cell r="E101" t="str">
            <v>＝</v>
          </cell>
          <cell r="G101" t="str">
            <v>股东（或所有者）权益合计</v>
          </cell>
          <cell r="H101" t="str">
            <v>所有者权益（或股东权益）合计</v>
          </cell>
          <cell r="I101">
            <v>4999</v>
          </cell>
          <cell r="M101" t="str">
            <v>其他收益</v>
          </cell>
          <cell r="S101" t="str">
            <v>1521e</v>
          </cell>
          <cell r="T101" t="str">
            <v>按成本计量的投资性房地产累计折旧和累计摊销</v>
          </cell>
          <cell r="U101" t="str">
            <v>项       目</v>
          </cell>
          <cell r="V101">
            <v>1</v>
          </cell>
          <cell r="W101">
            <v>1521</v>
          </cell>
          <cell r="X101">
            <v>2</v>
          </cell>
        </row>
        <row r="102">
          <cell r="B102">
            <v>5000</v>
          </cell>
          <cell r="C102" t="str">
            <v>负债和所有者权益</v>
          </cell>
          <cell r="E102" t="str">
            <v>＝</v>
          </cell>
          <cell r="G102" t="str">
            <v>负债和股东（或所有者）权益总计</v>
          </cell>
          <cell r="H102" t="str">
            <v>负债和所有者权益（或股东权益）总计</v>
          </cell>
          <cell r="I102">
            <v>5000</v>
          </cell>
          <cell r="M102" t="str">
            <v>营业成本</v>
          </cell>
          <cell r="S102" t="str">
            <v>1521f</v>
          </cell>
          <cell r="T102" t="str">
            <v>按成本计量的投资性房地产减值准备</v>
          </cell>
          <cell r="U102" t="str">
            <v>项       目</v>
          </cell>
          <cell r="V102">
            <v>1</v>
          </cell>
          <cell r="W102">
            <v>1521</v>
          </cell>
          <cell r="X102">
            <v>2</v>
          </cell>
        </row>
        <row r="103">
          <cell r="B103">
            <v>6</v>
          </cell>
          <cell r="C103" t="str">
            <v>利润表</v>
          </cell>
          <cell r="E103" t="str">
            <v>：</v>
          </cell>
          <cell r="G103" t="str">
            <v>利润表</v>
          </cell>
          <cell r="I103">
            <v>6</v>
          </cell>
          <cell r="M103" t="str">
            <v>税金及附加</v>
          </cell>
          <cell r="S103" t="str">
            <v>1521g</v>
          </cell>
          <cell r="T103" t="str">
            <v>按成本计量的投资性房地产账面价值</v>
          </cell>
          <cell r="U103" t="str">
            <v>项       目</v>
          </cell>
          <cell r="V103">
            <v>1</v>
          </cell>
          <cell r="W103">
            <v>1521</v>
          </cell>
          <cell r="X103">
            <v>1</v>
          </cell>
        </row>
        <row r="104">
          <cell r="B104">
            <v>6098</v>
          </cell>
          <cell r="C104" t="str">
            <v>营业总收入</v>
          </cell>
          <cell r="E104" t="str">
            <v>※</v>
          </cell>
          <cell r="G104" t="str">
            <v>一、营业总收入</v>
          </cell>
          <cell r="H104" t="str">
            <v>一、营业总收入</v>
          </cell>
          <cell r="I104">
            <v>6098</v>
          </cell>
          <cell r="M104" t="str">
            <v>销售费用</v>
          </cell>
          <cell r="S104" t="str">
            <v>1521b</v>
          </cell>
          <cell r="T104" t="str">
            <v>按公允价值计量的投资性房地产</v>
          </cell>
          <cell r="U104" t="str">
            <v>项       目</v>
          </cell>
          <cell r="V104">
            <v>1</v>
          </cell>
          <cell r="W104">
            <v>1521</v>
          </cell>
          <cell r="X104">
            <v>2</v>
          </cell>
        </row>
        <row r="105">
          <cell r="B105">
            <v>6001</v>
          </cell>
          <cell r="C105" t="str">
            <v>营业收入</v>
          </cell>
          <cell r="D105">
            <v>-1</v>
          </cell>
          <cell r="F105">
            <v>6100</v>
          </cell>
          <cell r="G105" t="str">
            <v>一、营业收入</v>
          </cell>
          <cell r="H105" t="str">
            <v>其中：营业收入</v>
          </cell>
          <cell r="I105">
            <v>6001</v>
          </cell>
          <cell r="J105" t="str">
            <v>J</v>
          </cell>
          <cell r="M105" t="str">
            <v>管理费用</v>
          </cell>
          <cell r="S105" t="str">
            <v>1521c</v>
          </cell>
          <cell r="T105" t="str">
            <v>未办妥产权证书的情况</v>
          </cell>
          <cell r="U105" t="str">
            <v>项       目</v>
          </cell>
          <cell r="V105">
            <v>1</v>
          </cell>
          <cell r="W105">
            <v>1521</v>
          </cell>
          <cell r="X105">
            <v>2</v>
          </cell>
        </row>
        <row r="106">
          <cell r="B106">
            <v>6011</v>
          </cell>
          <cell r="C106" t="str">
            <v>利息收入</v>
          </cell>
          <cell r="D106">
            <v>-1</v>
          </cell>
          <cell r="E106" t="str">
            <v>△</v>
          </cell>
          <cell r="G106" t="str">
            <v>利息收入</v>
          </cell>
          <cell r="H106" t="str">
            <v>利息收入</v>
          </cell>
          <cell r="I106">
            <v>6011</v>
          </cell>
          <cell r="J106" t="str">
            <v>J</v>
          </cell>
          <cell r="M106" t="str">
            <v>财务费用</v>
          </cell>
          <cell r="S106" t="str">
            <v>1521s</v>
          </cell>
          <cell r="T106" t="str">
            <v>投资性房地产抵押情况</v>
          </cell>
          <cell r="U106" t="str">
            <v>抵押资产明细项目</v>
          </cell>
          <cell r="V106">
            <v>1</v>
          </cell>
          <cell r="W106">
            <v>1521</v>
          </cell>
          <cell r="X106">
            <v>2</v>
          </cell>
        </row>
        <row r="107">
          <cell r="B107">
            <v>6030</v>
          </cell>
          <cell r="C107" t="str">
            <v>已赚保费</v>
          </cell>
          <cell r="D107">
            <v>-1</v>
          </cell>
          <cell r="E107" t="str">
            <v>△</v>
          </cell>
          <cell r="G107" t="str">
            <v>已赚保费</v>
          </cell>
          <cell r="H107" t="str">
            <v>已赚保费</v>
          </cell>
          <cell r="I107">
            <v>6030</v>
          </cell>
          <cell r="J107" t="str">
            <v>J</v>
          </cell>
          <cell r="M107" t="str">
            <v>财务费用_利息费用</v>
          </cell>
          <cell r="S107" t="str">
            <v>1521a</v>
          </cell>
          <cell r="T107" t="str">
            <v>采用成本计量模式的投资性房地产增减变动</v>
          </cell>
          <cell r="U107" t="str">
            <v>项       目</v>
          </cell>
          <cell r="V107">
            <v>1</v>
          </cell>
          <cell r="W107">
            <v>1521</v>
          </cell>
          <cell r="X107">
            <v>2</v>
          </cell>
        </row>
        <row r="108">
          <cell r="B108">
            <v>6021</v>
          </cell>
          <cell r="C108" t="str">
            <v>手续费及佣金收入</v>
          </cell>
          <cell r="D108">
            <v>-1</v>
          </cell>
          <cell r="E108" t="str">
            <v>△</v>
          </cell>
          <cell r="G108" t="str">
            <v>手续费及佣金收入</v>
          </cell>
          <cell r="H108" t="str">
            <v>手续费及佣金收入</v>
          </cell>
          <cell r="I108">
            <v>6021</v>
          </cell>
          <cell r="J108" t="str">
            <v>J</v>
          </cell>
          <cell r="M108" t="str">
            <v>财务费用_利息收入</v>
          </cell>
          <cell r="S108" t="str">
            <v>1611a</v>
          </cell>
          <cell r="T108" t="str">
            <v>固定资产分类列示</v>
          </cell>
          <cell r="U108" t="str">
            <v>项       目</v>
          </cell>
          <cell r="V108">
            <v>1</v>
          </cell>
          <cell r="W108">
            <v>1611</v>
          </cell>
          <cell r="X108">
            <v>1</v>
          </cell>
        </row>
        <row r="109">
          <cell r="B109">
            <v>6598</v>
          </cell>
          <cell r="C109" t="str">
            <v>营业总成本</v>
          </cell>
          <cell r="E109" t="str">
            <v>※</v>
          </cell>
          <cell r="G109" t="str">
            <v>二、营业总成本</v>
          </cell>
          <cell r="H109" t="str">
            <v>二、营业总成本</v>
          </cell>
          <cell r="I109">
            <v>6598</v>
          </cell>
          <cell r="M109" t="str">
            <v>研发费用</v>
          </cell>
          <cell r="S109" t="str">
            <v>1601g</v>
          </cell>
          <cell r="T109" t="str">
            <v>固定资产原值</v>
          </cell>
          <cell r="U109" t="str">
            <v>项       目</v>
          </cell>
          <cell r="V109">
            <v>1</v>
          </cell>
          <cell r="W109">
            <v>1601</v>
          </cell>
          <cell r="X109">
            <v>2</v>
          </cell>
        </row>
        <row r="110">
          <cell r="B110">
            <v>6401</v>
          </cell>
          <cell r="C110" t="str">
            <v>营业成本</v>
          </cell>
          <cell r="D110">
            <v>1</v>
          </cell>
          <cell r="F110">
            <v>6200</v>
          </cell>
          <cell r="G110" t="str">
            <v>减：营业成本</v>
          </cell>
          <cell r="H110" t="str">
            <v>其中：营业成本</v>
          </cell>
          <cell r="I110">
            <v>6401</v>
          </cell>
          <cell r="J110" t="str">
            <v>J</v>
          </cell>
          <cell r="M110" t="str">
            <v>资产减值损失</v>
          </cell>
          <cell r="S110" t="str">
            <v>1601h</v>
          </cell>
          <cell r="T110" t="str">
            <v>固定资产累计折旧</v>
          </cell>
          <cell r="U110" t="str">
            <v>项       目</v>
          </cell>
          <cell r="V110">
            <v>1</v>
          </cell>
          <cell r="W110">
            <v>1601</v>
          </cell>
          <cell r="X110">
            <v>2</v>
          </cell>
        </row>
        <row r="111">
          <cell r="B111">
            <v>6411</v>
          </cell>
          <cell r="C111" t="str">
            <v>利息支出</v>
          </cell>
          <cell r="D111">
            <v>1</v>
          </cell>
          <cell r="E111" t="str">
            <v>△</v>
          </cell>
          <cell r="G111" t="str">
            <v>利息支出</v>
          </cell>
          <cell r="H111" t="str">
            <v>利息支出</v>
          </cell>
          <cell r="I111">
            <v>6411</v>
          </cell>
          <cell r="J111" t="str">
            <v>J</v>
          </cell>
          <cell r="M111" t="str">
            <v>营业外收入</v>
          </cell>
          <cell r="S111" t="str">
            <v>1601i</v>
          </cell>
          <cell r="T111" t="str">
            <v>固定资产减值准备</v>
          </cell>
          <cell r="U111" t="str">
            <v>项       目</v>
          </cell>
          <cell r="V111">
            <v>1</v>
          </cell>
          <cell r="W111">
            <v>1601</v>
          </cell>
          <cell r="X111">
            <v>2</v>
          </cell>
        </row>
        <row r="112">
          <cell r="B112">
            <v>6421</v>
          </cell>
          <cell r="C112" t="str">
            <v>手续费及佣金支出</v>
          </cell>
          <cell r="D112">
            <v>1</v>
          </cell>
          <cell r="E112" t="str">
            <v>△</v>
          </cell>
          <cell r="G112" t="str">
            <v>手续费及佣金支出</v>
          </cell>
          <cell r="H112" t="str">
            <v>手续费及佣金支出</v>
          </cell>
          <cell r="I112">
            <v>6421</v>
          </cell>
          <cell r="J112" t="str">
            <v>J</v>
          </cell>
          <cell r="M112" t="str">
            <v>营业外支出</v>
          </cell>
          <cell r="S112" t="str">
            <v>1601j</v>
          </cell>
          <cell r="T112" t="str">
            <v>固定资产账面价值</v>
          </cell>
          <cell r="U112" t="str">
            <v>项       目</v>
          </cell>
          <cell r="V112">
            <v>1</v>
          </cell>
          <cell r="W112">
            <v>1601</v>
          </cell>
          <cell r="X112">
            <v>1</v>
          </cell>
        </row>
        <row r="113">
          <cell r="B113">
            <v>6531</v>
          </cell>
          <cell r="C113" t="str">
            <v>退保金</v>
          </cell>
          <cell r="D113">
            <v>1</v>
          </cell>
          <cell r="E113" t="str">
            <v>△</v>
          </cell>
          <cell r="G113" t="str">
            <v>退保金</v>
          </cell>
          <cell r="H113" t="str">
            <v>退保金</v>
          </cell>
          <cell r="I113">
            <v>6531</v>
          </cell>
          <cell r="J113" t="str">
            <v>J</v>
          </cell>
          <cell r="M113" t="str">
            <v>所得税费用</v>
          </cell>
          <cell r="S113" t="str">
            <v>1601b</v>
          </cell>
          <cell r="T113" t="str">
            <v>暂时闲置的固定资产情况</v>
          </cell>
          <cell r="U113" t="str">
            <v>类       别</v>
          </cell>
          <cell r="V113">
            <v>1</v>
          </cell>
          <cell r="W113">
            <v>1601</v>
          </cell>
          <cell r="X113">
            <v>2</v>
          </cell>
        </row>
        <row r="114">
          <cell r="B114">
            <v>6510</v>
          </cell>
          <cell r="C114" t="str">
            <v>赔付支出净额</v>
          </cell>
          <cell r="D114">
            <v>1</v>
          </cell>
          <cell r="E114" t="str">
            <v>△</v>
          </cell>
          <cell r="G114" t="str">
            <v>赔付支出净额</v>
          </cell>
          <cell r="H114" t="str">
            <v>赔付支出净额</v>
          </cell>
          <cell r="I114">
            <v>6510</v>
          </cell>
          <cell r="J114" t="str">
            <v>J</v>
          </cell>
          <cell r="M114" t="str">
            <v>少数股东损益</v>
          </cell>
          <cell r="S114" t="str">
            <v>1601c</v>
          </cell>
          <cell r="T114" t="str">
            <v>通过融资租赁租入的固定资产情况</v>
          </cell>
          <cell r="U114" t="str">
            <v>资产类别</v>
          </cell>
          <cell r="V114">
            <v>1</v>
          </cell>
          <cell r="W114">
            <v>1601</v>
          </cell>
          <cell r="X114">
            <v>2</v>
          </cell>
        </row>
        <row r="115">
          <cell r="B115">
            <v>6505</v>
          </cell>
          <cell r="C115" t="str">
            <v>提取保险合同准备金净额</v>
          </cell>
          <cell r="D115">
            <v>1</v>
          </cell>
          <cell r="E115" t="str">
            <v>△</v>
          </cell>
          <cell r="G115" t="str">
            <v>提取保险合同准备金净额</v>
          </cell>
          <cell r="H115" t="str">
            <v>提取保险合同准备金净额</v>
          </cell>
          <cell r="I115">
            <v>6505</v>
          </cell>
          <cell r="J115" t="str">
            <v>J</v>
          </cell>
          <cell r="M115" t="str">
            <v>重新计量设定受益计划变动额</v>
          </cell>
          <cell r="S115" t="str">
            <v>1601d</v>
          </cell>
          <cell r="T115" t="str">
            <v>通过经营租赁租出的固定资产</v>
          </cell>
          <cell r="U115" t="str">
            <v>资产类别</v>
          </cell>
          <cell r="V115">
            <v>1</v>
          </cell>
          <cell r="W115">
            <v>1601</v>
          </cell>
          <cell r="X115">
            <v>2</v>
          </cell>
        </row>
        <row r="116">
          <cell r="B116">
            <v>6521</v>
          </cell>
          <cell r="C116" t="str">
            <v>保单红利支出</v>
          </cell>
          <cell r="D116">
            <v>1</v>
          </cell>
          <cell r="E116" t="str">
            <v>△</v>
          </cell>
          <cell r="G116" t="str">
            <v>保单红利支出</v>
          </cell>
          <cell r="H116" t="str">
            <v>保单红利支出</v>
          </cell>
          <cell r="I116">
            <v>6521</v>
          </cell>
          <cell r="J116" t="str">
            <v>J</v>
          </cell>
          <cell r="M116" t="str">
            <v>权益法下不能转损益的其他综合收益</v>
          </cell>
          <cell r="S116" t="str">
            <v>1601f</v>
          </cell>
          <cell r="T116" t="str">
            <v>未办妥产权证书的固定资产情况</v>
          </cell>
          <cell r="U116" t="str">
            <v>项       目</v>
          </cell>
          <cell r="V116">
            <v>1</v>
          </cell>
          <cell r="W116">
            <v>1601</v>
          </cell>
          <cell r="X116">
            <v>2</v>
          </cell>
        </row>
        <row r="117">
          <cell r="B117">
            <v>6542</v>
          </cell>
          <cell r="C117" t="str">
            <v>分保费用</v>
          </cell>
          <cell r="D117">
            <v>1</v>
          </cell>
          <cell r="E117" t="str">
            <v>△</v>
          </cell>
          <cell r="G117" t="str">
            <v>分保费用</v>
          </cell>
          <cell r="H117" t="str">
            <v>分保费用</v>
          </cell>
          <cell r="I117">
            <v>6542</v>
          </cell>
          <cell r="J117" t="str">
            <v>J</v>
          </cell>
          <cell r="M117" t="str">
            <v>其他以后不能重分类进损益的其他综合收益</v>
          </cell>
          <cell r="S117" t="str">
            <v>1601s</v>
          </cell>
          <cell r="T117" t="str">
            <v>固定资产抵押情况</v>
          </cell>
          <cell r="U117" t="str">
            <v>抵押资产明细项目</v>
          </cell>
          <cell r="V117">
            <v>1</v>
          </cell>
          <cell r="W117">
            <v>1601</v>
          </cell>
          <cell r="X117">
            <v>2</v>
          </cell>
        </row>
        <row r="118">
          <cell r="B118">
            <v>6600</v>
          </cell>
          <cell r="C118" t="str">
            <v>税金及附加</v>
          </cell>
          <cell r="D118">
            <v>1</v>
          </cell>
          <cell r="F118">
            <v>6610</v>
          </cell>
          <cell r="G118" t="str">
            <v>税金及附加</v>
          </cell>
          <cell r="H118" t="str">
            <v>税金及附加</v>
          </cell>
          <cell r="I118">
            <v>6600</v>
          </cell>
          <cell r="J118" t="str">
            <v>J</v>
          </cell>
          <cell r="M118" t="str">
            <v>权益法下可转损益的其他综合收益</v>
          </cell>
          <cell r="S118" t="str">
            <v>1601t</v>
          </cell>
          <cell r="T118" t="str">
            <v>本期冲减固定资产账面价值的政府补助</v>
          </cell>
          <cell r="U118" t="str">
            <v>项       目</v>
          </cell>
          <cell r="V118">
            <v>1</v>
          </cell>
          <cell r="W118">
            <v>1601</v>
          </cell>
          <cell r="X118">
            <v>2</v>
          </cell>
        </row>
        <row r="119">
          <cell r="B119">
            <v>6601</v>
          </cell>
          <cell r="C119" t="str">
            <v>销售费用</v>
          </cell>
          <cell r="D119">
            <v>1</v>
          </cell>
          <cell r="F119">
            <v>6310</v>
          </cell>
          <cell r="G119" t="str">
            <v>销售费用</v>
          </cell>
          <cell r="H119" t="str">
            <v>销售费用</v>
          </cell>
          <cell r="I119">
            <v>6601</v>
          </cell>
          <cell r="J119" t="str">
            <v>J</v>
          </cell>
          <cell r="M119" t="str">
            <v>可供出售金融资产公允价值变动损益</v>
          </cell>
          <cell r="S119" t="str">
            <v>1601a</v>
          </cell>
          <cell r="T119" t="str">
            <v>固定资产及其累计折旧明细项目和增减变动</v>
          </cell>
          <cell r="U119" t="str">
            <v>项       目</v>
          </cell>
          <cell r="V119">
            <v>1</v>
          </cell>
          <cell r="W119">
            <v>1601</v>
          </cell>
          <cell r="X119">
            <v>2</v>
          </cell>
        </row>
        <row r="120">
          <cell r="B120">
            <v>6602</v>
          </cell>
          <cell r="C120" t="str">
            <v>管理费用</v>
          </cell>
          <cell r="D120">
            <v>1</v>
          </cell>
          <cell r="F120">
            <v>6320</v>
          </cell>
          <cell r="G120" t="str">
            <v>管理费用</v>
          </cell>
          <cell r="H120" t="str">
            <v>管理费用</v>
          </cell>
          <cell r="I120">
            <v>6602</v>
          </cell>
          <cell r="J120" t="str">
            <v>J</v>
          </cell>
          <cell r="M120" t="str">
            <v>持有至到期投资重分类为可供出售金融资产损益</v>
          </cell>
          <cell r="S120" t="str">
            <v>1601x</v>
          </cell>
          <cell r="T120" t="str">
            <v>固定资产累计折旧补充资料</v>
          </cell>
          <cell r="U120" t="str">
            <v>项       目</v>
          </cell>
          <cell r="V120">
            <v>1</v>
          </cell>
          <cell r="W120">
            <v>1601</v>
          </cell>
          <cell r="X120">
            <v>2</v>
          </cell>
        </row>
        <row r="121">
          <cell r="B121">
            <v>6603</v>
          </cell>
          <cell r="C121" t="str">
            <v>财务费用</v>
          </cell>
          <cell r="D121">
            <v>1</v>
          </cell>
          <cell r="F121">
            <v>6330</v>
          </cell>
          <cell r="G121" t="str">
            <v>财务费用</v>
          </cell>
          <cell r="H121" t="str">
            <v>财务费用</v>
          </cell>
          <cell r="I121">
            <v>6603</v>
          </cell>
          <cell r="J121" t="str">
            <v>J</v>
          </cell>
          <cell r="M121" t="str">
            <v>现金流量套期损益的有效部分</v>
          </cell>
          <cell r="S121" t="str">
            <v>1616a</v>
          </cell>
          <cell r="T121" t="str">
            <v>在建工程分类列示</v>
          </cell>
          <cell r="U121" t="str">
            <v>项       目</v>
          </cell>
          <cell r="V121">
            <v>1</v>
          </cell>
          <cell r="W121">
            <v>1616</v>
          </cell>
          <cell r="X121">
            <v>1</v>
          </cell>
        </row>
        <row r="122">
          <cell r="B122">
            <v>6671</v>
          </cell>
          <cell r="C122" t="str">
            <v>资产减值损失</v>
          </cell>
          <cell r="D122">
            <v>1</v>
          </cell>
          <cell r="F122">
            <v>6350</v>
          </cell>
          <cell r="G122" t="str">
            <v>资产减值损失</v>
          </cell>
          <cell r="H122" t="str">
            <v>资产减值损失</v>
          </cell>
          <cell r="I122">
            <v>6671</v>
          </cell>
          <cell r="J122" t="str">
            <v>J</v>
          </cell>
          <cell r="M122" t="str">
            <v>外币财务报表折算差额</v>
          </cell>
          <cell r="S122" t="str">
            <v>1604a</v>
          </cell>
          <cell r="T122" t="str">
            <v>在建工程明细</v>
          </cell>
          <cell r="U122" t="str">
            <v>项       目</v>
          </cell>
          <cell r="V122">
            <v>1</v>
          </cell>
          <cell r="W122">
            <v>1604</v>
          </cell>
          <cell r="X122">
            <v>1</v>
          </cell>
        </row>
        <row r="123">
          <cell r="B123">
            <v>6101</v>
          </cell>
          <cell r="C123" t="str">
            <v>公允价值变动收益</v>
          </cell>
          <cell r="D123">
            <v>-1</v>
          </cell>
          <cell r="F123">
            <v>6410</v>
          </cell>
          <cell r="G123" t="str">
            <v>公允价值变动收益（损失以“-”号填列）</v>
          </cell>
          <cell r="H123" t="str">
            <v>公允价值变动收益（损失以“-”号填列）</v>
          </cell>
          <cell r="I123">
            <v>6101</v>
          </cell>
          <cell r="J123" t="str">
            <v>J</v>
          </cell>
          <cell r="M123" t="str">
            <v>自用房地产或作为存货的房地产转换为以公允价值计量的投资性房地产在转换日公允价值大于账面价值部分</v>
          </cell>
          <cell r="S123" t="str">
            <v>1604c</v>
          </cell>
          <cell r="T123" t="str">
            <v>重要在建工程项目变动情况（续）</v>
          </cell>
          <cell r="U123" t="str">
            <v>工程名称</v>
          </cell>
          <cell r="V123">
            <v>1</v>
          </cell>
          <cell r="W123">
            <v>1604</v>
          </cell>
          <cell r="X123">
            <v>2</v>
          </cell>
        </row>
        <row r="124">
          <cell r="B124">
            <v>6111</v>
          </cell>
          <cell r="C124" t="str">
            <v>投资收益</v>
          </cell>
          <cell r="D124">
            <v>-1</v>
          </cell>
          <cell r="F124">
            <v>6420</v>
          </cell>
          <cell r="G124" t="str">
            <v>投资收益（损失以“-”号填列）</v>
          </cell>
          <cell r="H124" t="str">
            <v>投资收益（损失以“-”号填列）</v>
          </cell>
          <cell r="I124">
            <v>6111</v>
          </cell>
          <cell r="J124" t="str">
            <v>J</v>
          </cell>
          <cell r="M124" t="str">
            <v>多次交易分步处置子公司股权构成一揽子交易的丧失控制权之前各次交易处置价款与对应净资产账面价值份额的差额</v>
          </cell>
          <cell r="S124" t="str">
            <v>1604b</v>
          </cell>
          <cell r="T124" t="str">
            <v>重要在建工程项目变动情况</v>
          </cell>
          <cell r="U124" t="str">
            <v>工程名称</v>
          </cell>
          <cell r="V124">
            <v>1</v>
          </cell>
          <cell r="W124">
            <v>1604</v>
          </cell>
          <cell r="X124">
            <v>2</v>
          </cell>
        </row>
        <row r="125">
          <cell r="B125">
            <v>6111.01</v>
          </cell>
          <cell r="C125" t="str">
            <v>对联营企业和合营企业的投资收益</v>
          </cell>
          <cell r="D125">
            <v>-1</v>
          </cell>
          <cell r="G125" t="str">
            <v>其中：对联营企业和合营企业的投资收益</v>
          </cell>
          <cell r="H125" t="str">
            <v>其中：对联营企业和合营企业的投资收益</v>
          </cell>
          <cell r="I125">
            <v>6111.01</v>
          </cell>
          <cell r="J125" t="str">
            <v>J</v>
          </cell>
          <cell r="M125" t="str">
            <v>其他以后将重分类进损益的其他综合收益</v>
          </cell>
          <cell r="S125" t="str">
            <v>1604d</v>
          </cell>
          <cell r="T125" t="str">
            <v>在建工程减值准备</v>
          </cell>
          <cell r="U125" t="str">
            <v>项       目</v>
          </cell>
          <cell r="V125">
            <v>1</v>
          </cell>
          <cell r="W125">
            <v>1604</v>
          </cell>
          <cell r="X125">
            <v>2</v>
          </cell>
        </row>
        <row r="126">
          <cell r="B126">
            <v>6161</v>
          </cell>
          <cell r="C126" t="str">
            <v>汇兑收益</v>
          </cell>
          <cell r="D126">
            <v>-1</v>
          </cell>
          <cell r="E126" t="str">
            <v>△</v>
          </cell>
          <cell r="G126" t="str">
            <v>汇兑收益（损失以“-”号填列）</v>
          </cell>
          <cell r="H126" t="str">
            <v>汇兑收益（损失以“-”号填列）</v>
          </cell>
          <cell r="I126">
            <v>6161</v>
          </cell>
          <cell r="J126" t="str">
            <v>J</v>
          </cell>
          <cell r="M126" t="str">
            <v>少数股东其他综合收益_重新计量设定受益计划变动额</v>
          </cell>
          <cell r="S126" t="str">
            <v>1605a</v>
          </cell>
          <cell r="T126" t="str">
            <v>工程物资明细项目</v>
          </cell>
          <cell r="U126" t="str">
            <v>项       目</v>
          </cell>
          <cell r="V126">
            <v>1</v>
          </cell>
          <cell r="W126">
            <v>1605</v>
          </cell>
          <cell r="X126">
            <v>1</v>
          </cell>
        </row>
        <row r="127">
          <cell r="B127">
            <v>6689</v>
          </cell>
          <cell r="C127" t="str">
            <v>营业利润</v>
          </cell>
          <cell r="E127" t="str">
            <v>＝</v>
          </cell>
          <cell r="G127" t="str">
            <v>二、营业利润（亏损以“-”号填列）</v>
          </cell>
          <cell r="H127" t="str">
            <v>三、营业利润（亏损以“-”号填列）</v>
          </cell>
          <cell r="I127">
            <v>6689</v>
          </cell>
          <cell r="M127" t="str">
            <v>少数股东其他综合收益_权益法下不能转损益的其他综合收益</v>
          </cell>
          <cell r="S127" t="str">
            <v>1606a</v>
          </cell>
          <cell r="T127" t="str">
            <v>固定资产清理明细项目</v>
          </cell>
          <cell r="U127" t="str">
            <v>类       别</v>
          </cell>
          <cell r="V127">
            <v>1</v>
          </cell>
          <cell r="W127">
            <v>1606</v>
          </cell>
          <cell r="X127">
            <v>1</v>
          </cell>
        </row>
        <row r="128">
          <cell r="B128">
            <v>6710</v>
          </cell>
          <cell r="C128" t="str">
            <v>营业外收入</v>
          </cell>
          <cell r="D128">
            <v>-1</v>
          </cell>
          <cell r="F128">
            <v>6510</v>
          </cell>
          <cell r="G128" t="str">
            <v>加：营业外收入</v>
          </cell>
          <cell r="H128" t="str">
            <v>加：营业外收入</v>
          </cell>
          <cell r="I128">
            <v>6710</v>
          </cell>
          <cell r="J128" t="str">
            <v>J</v>
          </cell>
          <cell r="M128" t="str">
            <v>少数股东其他综合收益_其他以后不能重分类进损益的其他综合收益</v>
          </cell>
          <cell r="S128" t="str">
            <v>1621c</v>
          </cell>
          <cell r="T128" t="str">
            <v>以成本计量的生产性生物资产账面原值</v>
          </cell>
          <cell r="U128" t="str">
            <v>项       目</v>
          </cell>
          <cell r="V128">
            <v>1</v>
          </cell>
          <cell r="W128">
            <v>1621</v>
          </cell>
          <cell r="X128">
            <v>2</v>
          </cell>
        </row>
        <row r="129">
          <cell r="B129">
            <v>6710.11</v>
          </cell>
          <cell r="C129" t="str">
            <v>营业外收入_非流动资产处置利得</v>
          </cell>
          <cell r="D129">
            <v>-1</v>
          </cell>
          <cell r="G129" t="str">
            <v>其中：非流动资产处置利得</v>
          </cell>
          <cell r="H129" t="str">
            <v>其中：非流动资产处置利得</v>
          </cell>
          <cell r="I129">
            <v>6710.11</v>
          </cell>
          <cell r="M129" t="str">
            <v>少数股东其他综合收益_权益法下可转损益的其他综合收益</v>
          </cell>
          <cell r="S129" t="str">
            <v>1621d</v>
          </cell>
          <cell r="T129" t="str">
            <v>以成本计量的生产性生物资产累计折旧</v>
          </cell>
          <cell r="U129" t="str">
            <v>项       目</v>
          </cell>
          <cell r="V129">
            <v>1</v>
          </cell>
          <cell r="W129">
            <v>1621</v>
          </cell>
          <cell r="X129">
            <v>2</v>
          </cell>
        </row>
        <row r="130">
          <cell r="B130">
            <v>6711</v>
          </cell>
          <cell r="C130" t="str">
            <v>营业外支出</v>
          </cell>
          <cell r="D130">
            <v>1</v>
          </cell>
          <cell r="F130">
            <v>6520</v>
          </cell>
          <cell r="G130" t="str">
            <v>减：营业外支出</v>
          </cell>
          <cell r="H130" t="str">
            <v>减：营业外支出</v>
          </cell>
          <cell r="I130">
            <v>6711</v>
          </cell>
          <cell r="J130" t="str">
            <v>J</v>
          </cell>
          <cell r="M130" t="str">
            <v>少数股东其他综合收益_可供出售金融资产公允价值变动损益</v>
          </cell>
          <cell r="S130" t="str">
            <v>1621e</v>
          </cell>
          <cell r="T130" t="str">
            <v>以成本计量的生产性生物资产减值准备</v>
          </cell>
          <cell r="U130" t="str">
            <v>项       目</v>
          </cell>
          <cell r="V130">
            <v>1</v>
          </cell>
          <cell r="W130">
            <v>1621</v>
          </cell>
          <cell r="X130">
            <v>2</v>
          </cell>
        </row>
        <row r="131">
          <cell r="B131">
            <v>6711.01</v>
          </cell>
          <cell r="C131" t="str">
            <v>非流动资产处置损失</v>
          </cell>
          <cell r="D131">
            <v>1</v>
          </cell>
          <cell r="G131" t="str">
            <v>其中：非流动资产处置损失</v>
          </cell>
          <cell r="H131" t="str">
            <v>其中：非流动资产处置损失</v>
          </cell>
          <cell r="I131">
            <v>6711.01</v>
          </cell>
          <cell r="M131" t="str">
            <v>少数股东其他综合收益_持有至到期投资重分类为可供出售金融资产损益</v>
          </cell>
          <cell r="S131" t="str">
            <v>1621f</v>
          </cell>
          <cell r="T131" t="str">
            <v>以成本计量的生产性生物资产账面价值</v>
          </cell>
          <cell r="U131" t="str">
            <v>项       目</v>
          </cell>
          <cell r="V131">
            <v>1</v>
          </cell>
          <cell r="W131">
            <v>1621</v>
          </cell>
          <cell r="X131">
            <v>1</v>
          </cell>
        </row>
        <row r="132">
          <cell r="B132">
            <v>6788</v>
          </cell>
          <cell r="C132" t="str">
            <v>利润总额</v>
          </cell>
          <cell r="E132" t="str">
            <v>＝</v>
          </cell>
          <cell r="G132" t="str">
            <v>三、利润总额（亏损总额以“-”号填列）</v>
          </cell>
          <cell r="H132" t="str">
            <v>四、利润总额（亏损总额以“-”号填列）</v>
          </cell>
          <cell r="I132">
            <v>6788</v>
          </cell>
          <cell r="M132" t="str">
            <v>少数股东其他综合收益_现金流量套期损益的有效部分</v>
          </cell>
          <cell r="S132" t="str">
            <v>1621b</v>
          </cell>
          <cell r="T132" t="str">
            <v>以公允价值计量的生产性生物资产明细列示</v>
          </cell>
          <cell r="U132" t="str">
            <v>项       目</v>
          </cell>
          <cell r="V132">
            <v>1</v>
          </cell>
          <cell r="W132">
            <v>1621</v>
          </cell>
          <cell r="X132">
            <v>2</v>
          </cell>
        </row>
        <row r="133">
          <cell r="B133">
            <v>6791</v>
          </cell>
          <cell r="C133" t="str">
            <v>所得税费用</v>
          </cell>
          <cell r="D133">
            <v>1</v>
          </cell>
          <cell r="F133">
            <v>6620</v>
          </cell>
          <cell r="G133" t="str">
            <v>减：所得税费用</v>
          </cell>
          <cell r="H133" t="str">
            <v>减：所得税费用</v>
          </cell>
          <cell r="I133">
            <v>6791</v>
          </cell>
          <cell r="J133" t="str">
            <v>J</v>
          </cell>
          <cell r="M133" t="str">
            <v>少数股东其他综合收益_外币财务报表折算差额</v>
          </cell>
          <cell r="S133" t="str">
            <v>1621a</v>
          </cell>
          <cell r="T133" t="str">
            <v>以成本计量的生产性生物资产明细列示</v>
          </cell>
          <cell r="U133" t="str">
            <v>项       目</v>
          </cell>
          <cell r="V133">
            <v>1</v>
          </cell>
          <cell r="W133">
            <v>1621</v>
          </cell>
          <cell r="X133">
            <v>2</v>
          </cell>
        </row>
        <row r="134">
          <cell r="B134">
            <v>6799</v>
          </cell>
          <cell r="C134" t="str">
            <v>净利润</v>
          </cell>
          <cell r="E134" t="str">
            <v>＝</v>
          </cell>
          <cell r="G134" t="str">
            <v>四、净利润（净亏损以“-”号填列）</v>
          </cell>
          <cell r="H134" t="str">
            <v>五、净利润（净亏损以“-”号填列）</v>
          </cell>
          <cell r="I134">
            <v>6799</v>
          </cell>
          <cell r="M134" t="str">
            <v>少数股东其他综合收益_自用房地产或作为存货的房地产转换为以公允价值计量的投资性房地产在转换日公允价值大于账面价值部分</v>
          </cell>
          <cell r="S134" t="str">
            <v>1631a</v>
          </cell>
          <cell r="T134" t="str">
            <v>油气资产明细项目</v>
          </cell>
          <cell r="U134" t="str">
            <v>项       目</v>
          </cell>
          <cell r="V134">
            <v>1</v>
          </cell>
          <cell r="W134">
            <v>1631</v>
          </cell>
          <cell r="X134">
            <v>1</v>
          </cell>
        </row>
        <row r="135">
          <cell r="B135">
            <v>6805</v>
          </cell>
          <cell r="C135" t="str">
            <v>同一控制下企业合并的被合并方在合并前实现的净利润</v>
          </cell>
          <cell r="D135">
            <v>1</v>
          </cell>
          <cell r="E135" t="str">
            <v>※</v>
          </cell>
          <cell r="G135" t="str">
            <v>其中：同一控制下企业合并的被合并方在合并前实现的净利润</v>
          </cell>
          <cell r="H135" t="str">
            <v>其中：同一控制下企业合并的被合并方在合并前实现的净利润</v>
          </cell>
          <cell r="I135">
            <v>6805</v>
          </cell>
          <cell r="M135" t="str">
            <v>少数股东其他综合收益_多次交易分步处置子公司股权构成一揽子交易的丧失控制权之前各次交易处置价款与对应净资产账面价值份额的差额</v>
          </cell>
          <cell r="S135" t="str">
            <v>1705b</v>
          </cell>
          <cell r="T135" t="str">
            <v>开发支出明细项目</v>
          </cell>
          <cell r="U135" t="str">
            <v>项       目</v>
          </cell>
          <cell r="V135">
            <v>-1</v>
          </cell>
          <cell r="W135">
            <v>1700</v>
          </cell>
          <cell r="X135">
            <v>1</v>
          </cell>
        </row>
        <row r="136">
          <cell r="B136">
            <v>6811</v>
          </cell>
          <cell r="C136" t="str">
            <v>归属于母公司所有者的净利润</v>
          </cell>
          <cell r="D136">
            <v>-1</v>
          </cell>
          <cell r="E136" t="str">
            <v>※</v>
          </cell>
          <cell r="G136" t="str">
            <v>归属于母公司股东的净利润</v>
          </cell>
          <cell r="H136" t="str">
            <v>归属于母公司股东的净利润（净亏损以“-”号填列）</v>
          </cell>
          <cell r="I136">
            <v>6811</v>
          </cell>
          <cell r="M136" t="str">
            <v>少数股东其他综合收益_其他以后将重分类进损益的其他综合收益</v>
          </cell>
          <cell r="S136" t="str">
            <v>1701a</v>
          </cell>
          <cell r="T136" t="str">
            <v>无形资产账面原值</v>
          </cell>
          <cell r="U136" t="str">
            <v>项       目</v>
          </cell>
          <cell r="V136">
            <v>1</v>
          </cell>
          <cell r="W136">
            <v>1701</v>
          </cell>
          <cell r="X136">
            <v>2</v>
          </cell>
        </row>
        <row r="137">
          <cell r="B137">
            <v>6812</v>
          </cell>
          <cell r="C137" t="str">
            <v>少数股东损益</v>
          </cell>
          <cell r="D137">
            <v>1</v>
          </cell>
          <cell r="E137" t="str">
            <v>※</v>
          </cell>
          <cell r="G137" t="str">
            <v>少数股东损益</v>
          </cell>
          <cell r="H137" t="str">
            <v>其中：少数股东损益（净亏损以“-”号填列）</v>
          </cell>
          <cell r="I137">
            <v>6812</v>
          </cell>
          <cell r="J137" t="str">
            <v>J</v>
          </cell>
          <cell r="M137" t="str">
            <v>实收资本_上年年末余额</v>
          </cell>
          <cell r="S137" t="str">
            <v>1701b</v>
          </cell>
          <cell r="T137" t="str">
            <v>无形资产累计摊销</v>
          </cell>
          <cell r="U137" t="str">
            <v>项       目</v>
          </cell>
          <cell r="V137">
            <v>1</v>
          </cell>
          <cell r="W137">
            <v>1701</v>
          </cell>
          <cell r="X137">
            <v>2</v>
          </cell>
        </row>
        <row r="138">
          <cell r="B138">
            <v>6820</v>
          </cell>
          <cell r="C138" t="str">
            <v>每股收益</v>
          </cell>
          <cell r="E138" t="str">
            <v>：</v>
          </cell>
          <cell r="G138" t="str">
            <v>七、每股收益：</v>
          </cell>
          <cell r="H138" t="str">
            <v>八、每股收益：</v>
          </cell>
          <cell r="I138">
            <v>6820</v>
          </cell>
          <cell r="M138" t="str">
            <v>实收资本_会计政策变更调整上年年末余额</v>
          </cell>
          <cell r="S138" t="str">
            <v>1701c</v>
          </cell>
          <cell r="T138" t="str">
            <v>无形资产减值准备</v>
          </cell>
          <cell r="U138" t="str">
            <v>项       目</v>
          </cell>
          <cell r="V138">
            <v>1</v>
          </cell>
          <cell r="W138">
            <v>1701</v>
          </cell>
          <cell r="X138">
            <v>2</v>
          </cell>
        </row>
        <row r="139">
          <cell r="B139">
            <v>6821</v>
          </cell>
          <cell r="C139" t="str">
            <v>基本每股收益</v>
          </cell>
          <cell r="G139" t="str">
            <v>（一）基本每股收益</v>
          </cell>
          <cell r="H139" t="str">
            <v>基本每股收益</v>
          </cell>
          <cell r="I139">
            <v>6821</v>
          </cell>
          <cell r="M139" t="str">
            <v>实收资本_前期差错更正调整上年年末余额</v>
          </cell>
          <cell r="S139" t="str">
            <v>1701d</v>
          </cell>
          <cell r="T139" t="str">
            <v>无形资产账面价值</v>
          </cell>
          <cell r="U139" t="str">
            <v>项       目</v>
          </cell>
          <cell r="V139">
            <v>1</v>
          </cell>
          <cell r="W139">
            <v>1701</v>
          </cell>
          <cell r="X139">
            <v>1</v>
          </cell>
        </row>
        <row r="140">
          <cell r="B140">
            <v>6822</v>
          </cell>
          <cell r="C140" t="str">
            <v>稀释每股收益</v>
          </cell>
          <cell r="G140" t="str">
            <v>（二）稀释每股收益</v>
          </cell>
          <cell r="H140" t="str">
            <v>稀释每股收益</v>
          </cell>
          <cell r="I140">
            <v>6822</v>
          </cell>
          <cell r="M140" t="str">
            <v>实收资本_同一控制下企业合并调整上年年末余额</v>
          </cell>
          <cell r="S140" t="str">
            <v>1701e</v>
          </cell>
          <cell r="T140" t="str">
            <v>未办妥产权证书的土地使用权情况</v>
          </cell>
          <cell r="U140" t="str">
            <v>项       目</v>
          </cell>
          <cell r="V140">
            <v>1</v>
          </cell>
          <cell r="W140">
            <v>1701</v>
          </cell>
          <cell r="X140">
            <v>2</v>
          </cell>
        </row>
        <row r="141">
          <cell r="B141">
            <v>6829</v>
          </cell>
          <cell r="C141" t="str">
            <v>其他综合收益的税后净额</v>
          </cell>
          <cell r="E141" t="str">
            <v>＝</v>
          </cell>
          <cell r="G141" t="str">
            <v>五、其他综合收益的税后净额</v>
          </cell>
          <cell r="H141" t="str">
            <v>六、其他综合收益的税后净额</v>
          </cell>
          <cell r="I141">
            <v>6829</v>
          </cell>
          <cell r="M141" t="str">
            <v>实收资本_其他原因调整上年年末余额</v>
          </cell>
          <cell r="S141" t="str">
            <v>1705t</v>
          </cell>
          <cell r="T141" t="str">
            <v>无形资产抵押情况</v>
          </cell>
          <cell r="U141" t="str">
            <v>项       目</v>
          </cell>
          <cell r="V141">
            <v>1</v>
          </cell>
          <cell r="W141">
            <v>1701</v>
          </cell>
          <cell r="X141">
            <v>2</v>
          </cell>
        </row>
        <row r="142">
          <cell r="B142">
            <v>6829.2</v>
          </cell>
          <cell r="C142" t="str">
            <v>归属于母公司所有者的其他综合收益的税后净额</v>
          </cell>
          <cell r="E142" t="str">
            <v>※</v>
          </cell>
          <cell r="G142" t="str">
            <v>归属于母公司股东的其他综合收益的税后净额</v>
          </cell>
          <cell r="H142" t="str">
            <v>归属于母公司股东的其他综合收益的税后净额</v>
          </cell>
          <cell r="I142">
            <v>6829.2</v>
          </cell>
          <cell r="M142" t="str">
            <v>实收资本_净利润增加权益</v>
          </cell>
          <cell r="S142" t="str">
            <v>1705a</v>
          </cell>
          <cell r="T142" t="str">
            <v>无形资产情况</v>
          </cell>
          <cell r="U142" t="str">
            <v>项       目</v>
          </cell>
          <cell r="V142">
            <v>-1</v>
          </cell>
          <cell r="W142">
            <v>1701</v>
          </cell>
          <cell r="X142">
            <v>2</v>
          </cell>
        </row>
        <row r="143">
          <cell r="B143">
            <v>6829.21</v>
          </cell>
          <cell r="C143" t="str">
            <v>以后不能重分类进损益的其他综合收益</v>
          </cell>
          <cell r="E143" t="str">
            <v>＝</v>
          </cell>
          <cell r="G143" t="str">
            <v>（一）不能重分类进损益的其他综合收益</v>
          </cell>
          <cell r="H143" t="str">
            <v>（一）不能重分类进损益的其他综合收益</v>
          </cell>
          <cell r="I143">
            <v>6829.21</v>
          </cell>
          <cell r="M143" t="str">
            <v>实收资本_其他综合收益增加权益</v>
          </cell>
          <cell r="S143" t="str">
            <v>1701x</v>
          </cell>
          <cell r="T143" t="str">
            <v>无形资产累计摊销补充资料</v>
          </cell>
          <cell r="U143" t="str">
            <v>项       目</v>
          </cell>
          <cell r="V143">
            <v>1</v>
          </cell>
          <cell r="W143">
            <v>1701</v>
          </cell>
          <cell r="X143">
            <v>2</v>
          </cell>
        </row>
        <row r="144">
          <cell r="B144">
            <v>6829.2110000000002</v>
          </cell>
          <cell r="C144" t="str">
            <v>重新计量设定受益计划变动额</v>
          </cell>
          <cell r="D144">
            <v>-1</v>
          </cell>
          <cell r="E144" t="str">
            <v>Ｘ</v>
          </cell>
          <cell r="G144" t="str">
            <v>1、重新计量设定受益计划变动额</v>
          </cell>
          <cell r="H144" t="str">
            <v>其中：1.重新计量设定受益计划变动额</v>
          </cell>
          <cell r="I144">
            <v>6829.2110000000002</v>
          </cell>
          <cell r="J144" t="str">
            <v>J</v>
          </cell>
          <cell r="M144" t="str">
            <v>实收资本_综合收益总额增加权益</v>
          </cell>
          <cell r="S144" t="str">
            <v>1711a</v>
          </cell>
          <cell r="T144" t="str">
            <v>商誉账面原值</v>
          </cell>
          <cell r="U144" t="str">
            <v>被投资单位名称或形成商誉的事项</v>
          </cell>
          <cell r="V144">
            <v>1</v>
          </cell>
          <cell r="W144">
            <v>1711</v>
          </cell>
          <cell r="X144">
            <v>1</v>
          </cell>
        </row>
        <row r="145">
          <cell r="B145">
            <v>6829.2120000000004</v>
          </cell>
          <cell r="C145" t="str">
            <v>权益法下不能转损益的其他综合收益</v>
          </cell>
          <cell r="D145">
            <v>-1</v>
          </cell>
          <cell r="E145" t="str">
            <v>Ｘ</v>
          </cell>
          <cell r="G145" t="str">
            <v>2、权益法下不能转损益的其他综合收益</v>
          </cell>
          <cell r="H145" t="str">
            <v>2.权益法下不能转损益的其他综合收益</v>
          </cell>
          <cell r="I145">
            <v>6829.2120000000004</v>
          </cell>
          <cell r="J145" t="str">
            <v>J</v>
          </cell>
          <cell r="M145" t="str">
            <v>实收资本_所有者投入资本</v>
          </cell>
          <cell r="S145" t="str">
            <v>1711b</v>
          </cell>
          <cell r="T145" t="str">
            <v xml:space="preserve">商誉减值准备 </v>
          </cell>
          <cell r="U145" t="str">
            <v>被投资单位名称或形成商誉的事项</v>
          </cell>
          <cell r="V145">
            <v>1</v>
          </cell>
          <cell r="W145">
            <v>1711</v>
          </cell>
          <cell r="X145">
            <v>2</v>
          </cell>
        </row>
        <row r="146">
          <cell r="B146">
            <v>6829.2190000000001</v>
          </cell>
          <cell r="C146" t="str">
            <v>其他以后不能重分类进损益的其他综合收益</v>
          </cell>
          <cell r="D146">
            <v>-1</v>
          </cell>
          <cell r="G146" t="str">
            <v>3、其他</v>
          </cell>
          <cell r="H146" t="str">
            <v>3.其他</v>
          </cell>
          <cell r="I146">
            <v>6829.2190000000001</v>
          </cell>
          <cell r="J146" t="str">
            <v>J</v>
          </cell>
          <cell r="M146" t="str">
            <v>实收资本_股份支付计入所有者权益的金额</v>
          </cell>
          <cell r="S146" t="str">
            <v>1801a</v>
          </cell>
          <cell r="T146" t="str">
            <v>长期待摊费用明细项目</v>
          </cell>
          <cell r="U146" t="str">
            <v>项       目</v>
          </cell>
          <cell r="V146">
            <v>1</v>
          </cell>
          <cell r="W146">
            <v>1801</v>
          </cell>
          <cell r="X146">
            <v>1</v>
          </cell>
        </row>
        <row r="147">
          <cell r="B147">
            <v>6829.23</v>
          </cell>
          <cell r="C147" t="str">
            <v>以后将重分类进损益的其他综合收益</v>
          </cell>
          <cell r="E147" t="str">
            <v>＝</v>
          </cell>
          <cell r="G147" t="str">
            <v>（二）将重分类进损益的其他综合收益</v>
          </cell>
          <cell r="H147" t="str">
            <v>（二）将重分类进损益的其他综合收益</v>
          </cell>
          <cell r="I147">
            <v>6829.23</v>
          </cell>
          <cell r="M147" t="str">
            <v>实收资本_其他权益工具持有者投入资本</v>
          </cell>
          <cell r="S147" t="str">
            <v>1801x</v>
          </cell>
          <cell r="T147" t="str">
            <v>长期待摊费用补充资料</v>
          </cell>
          <cell r="U147" t="str">
            <v>项       目</v>
          </cell>
          <cell r="V147">
            <v>1</v>
          </cell>
          <cell r="W147">
            <v>1801</v>
          </cell>
          <cell r="X147">
            <v>2</v>
          </cell>
        </row>
        <row r="148">
          <cell r="B148">
            <v>6829.2309999999998</v>
          </cell>
          <cell r="C148" t="str">
            <v>权益法下可转损益的其他综合收益</v>
          </cell>
          <cell r="D148">
            <v>-1</v>
          </cell>
          <cell r="E148" t="str">
            <v>Ｘ</v>
          </cell>
          <cell r="G148" t="str">
            <v>1、权益法下可转损益的其他综合收益</v>
          </cell>
          <cell r="H148" t="str">
            <v>其中：1.权益法下可转损益的其他综合收益</v>
          </cell>
          <cell r="I148">
            <v>6829.2309999999998</v>
          </cell>
          <cell r="J148" t="str">
            <v>J</v>
          </cell>
          <cell r="M148" t="str">
            <v>实收资本_所有者其他投入和减少资本</v>
          </cell>
          <cell r="S148" t="str">
            <v>1829a</v>
          </cell>
          <cell r="T148" t="str">
            <v>未经抵销的递延所得税资产</v>
          </cell>
          <cell r="U148" t="str">
            <v>项       目</v>
          </cell>
          <cell r="V148">
            <v>-1</v>
          </cell>
          <cell r="W148">
            <v>1811</v>
          </cell>
          <cell r="X148">
            <v>1</v>
          </cell>
        </row>
        <row r="149">
          <cell r="B149">
            <v>6829.232</v>
          </cell>
          <cell r="C149" t="str">
            <v>可供出售金融资产公允价值变动损益</v>
          </cell>
          <cell r="D149">
            <v>-1</v>
          </cell>
          <cell r="E149" t="str">
            <v>Ｘ</v>
          </cell>
          <cell r="G149" t="str">
            <v>2、可供出售金融资产公允价值变动损益</v>
          </cell>
          <cell r="H149" t="str">
            <v>2.可供出售金融资产公允价值变动损益</v>
          </cell>
          <cell r="I149">
            <v>6829.232</v>
          </cell>
          <cell r="J149" t="str">
            <v>J</v>
          </cell>
          <cell r="M149" t="str">
            <v>实收资本_提取盈余公积影响权益</v>
          </cell>
          <cell r="S149" t="str">
            <v>1829b</v>
          </cell>
          <cell r="T149" t="str">
            <v>未经抵销的递延所得税负债</v>
          </cell>
          <cell r="U149" t="str">
            <v>项       目</v>
          </cell>
          <cell r="V149">
            <v>-1</v>
          </cell>
          <cell r="W149">
            <v>2901</v>
          </cell>
          <cell r="X149">
            <v>1</v>
          </cell>
        </row>
        <row r="150">
          <cell r="B150">
            <v>6829.2330000000002</v>
          </cell>
          <cell r="C150" t="str">
            <v>持有至到期投资重分类为可供出售金融资产损益</v>
          </cell>
          <cell r="D150">
            <v>-1</v>
          </cell>
          <cell r="E150" t="str">
            <v>Ｘ</v>
          </cell>
          <cell r="G150" t="str">
            <v>3、持有至到期投资重分类为可供出售金融资产损益</v>
          </cell>
          <cell r="H150" t="str">
            <v>3.持有至到期投资重分类为可供出售金融资产损益</v>
          </cell>
          <cell r="I150">
            <v>6829.2330000000002</v>
          </cell>
          <cell r="J150" t="str">
            <v>J</v>
          </cell>
          <cell r="M150" t="str">
            <v>实收资本_提取一般风险准备影响权益</v>
          </cell>
          <cell r="S150" t="str">
            <v>1829c</v>
          </cell>
          <cell r="T150" t="str">
            <v>以抵销后净额列示的递延所得税资产或负债</v>
          </cell>
          <cell r="U150" t="str">
            <v>项       目</v>
          </cell>
          <cell r="V150">
            <v>-1</v>
          </cell>
          <cell r="X150">
            <v>2</v>
          </cell>
        </row>
        <row r="151">
          <cell r="B151">
            <v>6829.2340000000004</v>
          </cell>
          <cell r="C151" t="str">
            <v>现金流量套期损益的有效部分</v>
          </cell>
          <cell r="D151">
            <v>-1</v>
          </cell>
          <cell r="E151" t="str">
            <v>Ｘ</v>
          </cell>
          <cell r="G151" t="str">
            <v>4、现金流量套期损益的有效部分</v>
          </cell>
          <cell r="H151" t="str">
            <v>4.现金流量套期损益的有效部分</v>
          </cell>
          <cell r="I151">
            <v>6829.2340000000004</v>
          </cell>
          <cell r="J151" t="str">
            <v>J</v>
          </cell>
          <cell r="M151" t="str">
            <v>实收资本_对所有者的分配影响权益</v>
          </cell>
          <cell r="S151" t="str">
            <v>1829e</v>
          </cell>
          <cell r="T151" t="str">
            <v>未确认递延所得税资产的可抵扣暂时性差异及可抵扣亏损明细</v>
          </cell>
          <cell r="U151" t="str">
            <v>项       目</v>
          </cell>
          <cell r="V151">
            <v>-1</v>
          </cell>
          <cell r="X151">
            <v>2</v>
          </cell>
        </row>
        <row r="152">
          <cell r="B152">
            <v>6829.2349999999997</v>
          </cell>
          <cell r="C152" t="str">
            <v>外币财务报表折算差额</v>
          </cell>
          <cell r="D152">
            <v>-1</v>
          </cell>
          <cell r="E152" t="str">
            <v>Ｘ</v>
          </cell>
          <cell r="G152" t="str">
            <v>5、外币财务报表折算差额</v>
          </cell>
          <cell r="H152" t="str">
            <v>5.外币财务报表折算差额</v>
          </cell>
          <cell r="I152">
            <v>6829.2349999999997</v>
          </cell>
          <cell r="J152" t="str">
            <v>J</v>
          </cell>
          <cell r="M152" t="str">
            <v>实收资本_其他利润分配影响权益</v>
          </cell>
          <cell r="S152" t="str">
            <v>1829f</v>
          </cell>
          <cell r="T152" t="str">
            <v>未确认递延所得税资产的可抵扣亏损将于以下年度到期</v>
          </cell>
          <cell r="U152" t="str">
            <v>年       份</v>
          </cell>
          <cell r="V152">
            <v>-1</v>
          </cell>
          <cell r="X152">
            <v>2</v>
          </cell>
        </row>
        <row r="153">
          <cell r="B153">
            <v>6829.2359999999999</v>
          </cell>
          <cell r="C153" t="str">
            <v>自用房地产或作为存货的房地产转换为以公允价值计量的投资性房地产在转换日公允价值大于账面价值部分</v>
          </cell>
          <cell r="D153">
            <v>-1</v>
          </cell>
          <cell r="E153" t="str">
            <v>Ｘ</v>
          </cell>
          <cell r="G153" t="str">
            <v>6、自用房地产或作为存货的房地产转换为以公允价值计量的投资性房地产在转换日公允价值大于账面价值部分</v>
          </cell>
          <cell r="H153" t="str">
            <v>6.自用房地产或作为存货的房地产转换为以公允价值计量的投资性房地产在转换日公允价值大于账面价值部分</v>
          </cell>
          <cell r="I153">
            <v>6829.2359999999999</v>
          </cell>
          <cell r="J153" t="str">
            <v>J</v>
          </cell>
          <cell r="M153" t="str">
            <v>实收资本_资本公积转增</v>
          </cell>
          <cell r="S153" t="str">
            <v>1996a</v>
          </cell>
          <cell r="T153" t="str">
            <v>其他非流动资产明细项目</v>
          </cell>
          <cell r="U153" t="str">
            <v>项       目</v>
          </cell>
          <cell r="V153">
            <v>1</v>
          </cell>
          <cell r="W153">
            <v>1996</v>
          </cell>
          <cell r="X153">
            <v>1</v>
          </cell>
        </row>
        <row r="154">
          <cell r="B154">
            <v>6829.2370000000001</v>
          </cell>
          <cell r="C154" t="str">
            <v>多次交易分步处置子公司股权构成一揽子交易的丧失控制权之前各次交易处置价款与对应净资产账面价值份额的差额</v>
          </cell>
          <cell r="D154">
            <v>-1</v>
          </cell>
          <cell r="E154" t="str">
            <v>Ｘ</v>
          </cell>
          <cell r="G154" t="str">
            <v>7、多次交易分步处置子公司股权构成一揽子交易的，丧失控制权之前各次交易处置价款与对应净资产账面价值份额的差额</v>
          </cell>
          <cell r="H154" t="str">
            <v>7.多次交易分步处置子公司股权构成一揽子交易的，丧失控制权之前各次交易处置价款与对应净资产账面价值份额的差额</v>
          </cell>
          <cell r="I154">
            <v>6829.2370000000001</v>
          </cell>
          <cell r="J154" t="str">
            <v>J</v>
          </cell>
          <cell r="M154" t="str">
            <v>实收资本_盈余公积转增</v>
          </cell>
          <cell r="S154" t="str">
            <v>2001a</v>
          </cell>
          <cell r="T154" t="str">
            <v>短期借款明细项目</v>
          </cell>
          <cell r="U154" t="str">
            <v>借款类别</v>
          </cell>
          <cell r="V154">
            <v>1</v>
          </cell>
          <cell r="W154">
            <v>2001</v>
          </cell>
          <cell r="X154">
            <v>1</v>
          </cell>
        </row>
        <row r="155">
          <cell r="B155">
            <v>6829.2389999999996</v>
          </cell>
          <cell r="C155" t="str">
            <v>其他以后将重分类进损益的其他综合收益</v>
          </cell>
          <cell r="D155">
            <v>-1</v>
          </cell>
          <cell r="G155" t="str">
            <v>8、其他</v>
          </cell>
          <cell r="H155" t="str">
            <v>8.其他</v>
          </cell>
          <cell r="I155">
            <v>6829.2389999999996</v>
          </cell>
          <cell r="J155" t="str">
            <v>J</v>
          </cell>
          <cell r="M155" t="str">
            <v>实收资本_盈余公积弥补亏损影响权益</v>
          </cell>
          <cell r="S155" t="str">
            <v>2001b</v>
          </cell>
          <cell r="T155" t="str">
            <v>重要的逾期借款情况</v>
          </cell>
          <cell r="U155" t="str">
            <v>贷款单位</v>
          </cell>
          <cell r="V155">
            <v>1</v>
          </cell>
          <cell r="W155">
            <v>2001</v>
          </cell>
          <cell r="X155">
            <v>2</v>
          </cell>
        </row>
        <row r="156">
          <cell r="B156">
            <v>6829.5</v>
          </cell>
          <cell r="C156" t="str">
            <v>归属于少数股东的其他综合收益的税后净额</v>
          </cell>
          <cell r="D156">
            <v>1</v>
          </cell>
          <cell r="E156" t="str">
            <v>※</v>
          </cell>
          <cell r="G156" t="str">
            <v>归属于少数股东的其他综合收益的税后净额</v>
          </cell>
          <cell r="H156" t="str">
            <v>归属于少数股东的其他综合收益的税后净额</v>
          </cell>
          <cell r="I156">
            <v>6829.5</v>
          </cell>
          <cell r="M156" t="str">
            <v>实收资本_设定受益计划变动额结转留存收益</v>
          </cell>
          <cell r="S156" t="str">
            <v>2001c</v>
          </cell>
          <cell r="T156" t="str">
            <v>外币短期借款</v>
          </cell>
          <cell r="U156" t="str">
            <v>币       种</v>
          </cell>
          <cell r="V156">
            <v>1</v>
          </cell>
          <cell r="W156">
            <v>2001</v>
          </cell>
          <cell r="X156">
            <v>2</v>
          </cell>
        </row>
        <row r="157">
          <cell r="B157">
            <v>6839</v>
          </cell>
          <cell r="C157" t="str">
            <v>综合收益总额</v>
          </cell>
          <cell r="E157" t="str">
            <v>＝</v>
          </cell>
          <cell r="G157" t="str">
            <v>六、综合收益总额</v>
          </cell>
          <cell r="H157" t="str">
            <v>七、综合收益总额</v>
          </cell>
          <cell r="I157">
            <v>6839</v>
          </cell>
          <cell r="M157" t="str">
            <v>实收资本_所有者权益其他内部结转</v>
          </cell>
          <cell r="S157" t="str">
            <v>2001d</v>
          </cell>
          <cell r="T157" t="str">
            <v>短期借款中的质押借款明细列示</v>
          </cell>
          <cell r="U157" t="str">
            <v>项       目</v>
          </cell>
          <cell r="V157">
            <v>1</v>
          </cell>
          <cell r="W157">
            <v>2001</v>
          </cell>
          <cell r="X157">
            <v>2</v>
          </cell>
        </row>
        <row r="158">
          <cell r="B158">
            <v>6841</v>
          </cell>
          <cell r="C158" t="str">
            <v>归属于母公司所有者的综合收益总额</v>
          </cell>
          <cell r="D158">
            <v>-1</v>
          </cell>
          <cell r="E158" t="str">
            <v>※</v>
          </cell>
          <cell r="G158" t="str">
            <v>归属于母公司股东的综合收益总额</v>
          </cell>
          <cell r="H158" t="str">
            <v>归属于母公司所有者的综合收益总额</v>
          </cell>
          <cell r="I158">
            <v>6841</v>
          </cell>
          <cell r="M158" t="str">
            <v>实收资本_专项储备本期提取</v>
          </cell>
          <cell r="S158" t="str">
            <v>2001e</v>
          </cell>
          <cell r="T158" t="str">
            <v>短期借款中的抵押借款明细列示</v>
          </cell>
          <cell r="U158" t="str">
            <v>项       目</v>
          </cell>
          <cell r="V158">
            <v>1</v>
          </cell>
          <cell r="W158">
            <v>2001</v>
          </cell>
          <cell r="X158">
            <v>2</v>
          </cell>
        </row>
        <row r="159">
          <cell r="B159">
            <v>6842</v>
          </cell>
          <cell r="C159" t="str">
            <v>归属于少数股东的综合收益总额</v>
          </cell>
          <cell r="D159">
            <v>1</v>
          </cell>
          <cell r="E159" t="str">
            <v>※</v>
          </cell>
          <cell r="G159" t="str">
            <v>归属于少数股东的综合收益总额</v>
          </cell>
          <cell r="H159" t="str">
            <v>归属于少数股东的综合收益总额</v>
          </cell>
          <cell r="I159">
            <v>6842</v>
          </cell>
          <cell r="M159" t="str">
            <v>实收资本_专项储备本期使用</v>
          </cell>
          <cell r="S159" t="str">
            <v>2001f</v>
          </cell>
          <cell r="T159" t="str">
            <v>短期借款中的保证借款明细列示</v>
          </cell>
          <cell r="U159" t="str">
            <v>项       目</v>
          </cell>
          <cell r="V159">
            <v>1</v>
          </cell>
          <cell r="W159">
            <v>2001</v>
          </cell>
          <cell r="X159">
            <v>2</v>
          </cell>
        </row>
        <row r="160">
          <cell r="B160">
            <v>8</v>
          </cell>
          <cell r="C160" t="str">
            <v>所有者权益变动表</v>
          </cell>
          <cell r="E160" t="str">
            <v>：</v>
          </cell>
          <cell r="G160" t="str">
            <v>所有者权益变动表</v>
          </cell>
          <cell r="H160" t="str">
            <v>所有者权益变动表</v>
          </cell>
          <cell r="I160">
            <v>8</v>
          </cell>
          <cell r="M160" t="str">
            <v>实收资本_本期其他增减变动</v>
          </cell>
          <cell r="S160" t="str">
            <v>2101a</v>
          </cell>
          <cell r="T160" t="str">
            <v>以公允价值计量且其变动计入当期损益的金融负债</v>
          </cell>
          <cell r="U160" t="str">
            <v>项       目</v>
          </cell>
          <cell r="V160">
            <v>1</v>
          </cell>
          <cell r="W160">
            <v>2101</v>
          </cell>
          <cell r="X160">
            <v>1</v>
          </cell>
        </row>
        <row r="161">
          <cell r="B161">
            <v>8000</v>
          </cell>
          <cell r="C161" t="str">
            <v>所有者权益增减变动</v>
          </cell>
          <cell r="E161" t="str">
            <v>：</v>
          </cell>
          <cell r="G161" t="str">
            <v>所有者权益增减变动</v>
          </cell>
          <cell r="H161" t="str">
            <v>所有者权益增减变动</v>
          </cell>
          <cell r="I161">
            <v>8000</v>
          </cell>
          <cell r="M161" t="str">
            <v>资本公积_上年年末余额</v>
          </cell>
          <cell r="S161" t="str">
            <v>2115a</v>
          </cell>
          <cell r="T161" t="str">
            <v>衍生金融负债</v>
          </cell>
          <cell r="U161" t="str">
            <v>项       目</v>
          </cell>
          <cell r="V161">
            <v>1</v>
          </cell>
          <cell r="W161">
            <v>2115</v>
          </cell>
          <cell r="X161">
            <v>1</v>
          </cell>
        </row>
        <row r="162">
          <cell r="B162">
            <v>8001</v>
          </cell>
          <cell r="C162" t="str">
            <v>所有者权益_上年年末余额</v>
          </cell>
          <cell r="D162">
            <v>-1</v>
          </cell>
          <cell r="E162" t="str">
            <v>＝</v>
          </cell>
          <cell r="G162" t="str">
            <v>一、上年年末余额</v>
          </cell>
          <cell r="H162" t="str">
            <v>一、上年年末余额</v>
          </cell>
          <cell r="I162">
            <v>8001</v>
          </cell>
          <cell r="M162" t="str">
            <v>资本公积_会计政策变更调整上年年末余额</v>
          </cell>
          <cell r="S162" t="str">
            <v>2203a</v>
          </cell>
          <cell r="T162" t="str">
            <v>应付票据及应付账款分类列示</v>
          </cell>
          <cell r="U162" t="str">
            <v>项       目</v>
          </cell>
          <cell r="V162">
            <v>1</v>
          </cell>
          <cell r="W162">
            <v>2203</v>
          </cell>
          <cell r="X162">
            <v>1</v>
          </cell>
        </row>
        <row r="163">
          <cell r="B163">
            <v>8002</v>
          </cell>
          <cell r="C163" t="str">
            <v>所有者权益_会计政策变更调整上年年末余额</v>
          </cell>
          <cell r="D163">
            <v>-1</v>
          </cell>
          <cell r="E163" t="str">
            <v>＝</v>
          </cell>
          <cell r="G163" t="str">
            <v>加：会计政策变更</v>
          </cell>
          <cell r="H163" t="str">
            <v>加：会计政策变更</v>
          </cell>
          <cell r="I163">
            <v>8002</v>
          </cell>
          <cell r="M163" t="str">
            <v>资本公积_前期差错更正调整上年年末余额</v>
          </cell>
          <cell r="S163" t="str">
            <v>2201a</v>
          </cell>
          <cell r="T163" t="str">
            <v>应付票据明细项目</v>
          </cell>
          <cell r="U163" t="str">
            <v>种       类</v>
          </cell>
          <cell r="V163">
            <v>1</v>
          </cell>
          <cell r="W163">
            <v>2201</v>
          </cell>
          <cell r="X163">
            <v>1</v>
          </cell>
        </row>
        <row r="164">
          <cell r="B164">
            <v>8003</v>
          </cell>
          <cell r="C164" t="str">
            <v>所有者权益_前期差错更正调整上年年末余额</v>
          </cell>
          <cell r="D164">
            <v>-1</v>
          </cell>
          <cell r="E164" t="str">
            <v>＝</v>
          </cell>
          <cell r="G164" t="str">
            <v>前期差错更正</v>
          </cell>
          <cell r="H164" t="str">
            <v>前期差错更正</v>
          </cell>
          <cell r="I164">
            <v>8003</v>
          </cell>
          <cell r="M164" t="str">
            <v>资本公积_同一控制下企业合并调整上年年末余额</v>
          </cell>
          <cell r="S164" t="str">
            <v>2202e</v>
          </cell>
          <cell r="T164" t="str">
            <v>应付账款按项目列示</v>
          </cell>
          <cell r="U164" t="str">
            <v>项       目</v>
          </cell>
          <cell r="V164">
            <v>1</v>
          </cell>
          <cell r="W164">
            <v>2202</v>
          </cell>
          <cell r="X164">
            <v>1</v>
          </cell>
        </row>
        <row r="165">
          <cell r="B165">
            <v>8004</v>
          </cell>
          <cell r="C165" t="str">
            <v>所有者权益_同一控制下企业合并调整上年年末余额</v>
          </cell>
          <cell r="D165">
            <v>-1</v>
          </cell>
          <cell r="E165" t="str">
            <v>※＝</v>
          </cell>
          <cell r="G165" t="str">
            <v>同一控制下企业合并</v>
          </cell>
          <cell r="H165" t="str">
            <v>同一控制下企业合并</v>
          </cell>
          <cell r="I165">
            <v>8004</v>
          </cell>
          <cell r="M165" t="str">
            <v>资本公积_其他原因调整上年年末余额</v>
          </cell>
          <cell r="S165" t="str">
            <v>2202a</v>
          </cell>
          <cell r="T165" t="str">
            <v>账龄超过1年的重要应付账款</v>
          </cell>
          <cell r="U165" t="str">
            <v>债权人名称</v>
          </cell>
          <cell r="V165">
            <v>1</v>
          </cell>
          <cell r="W165">
            <v>2202</v>
          </cell>
          <cell r="X165">
            <v>2</v>
          </cell>
        </row>
        <row r="166">
          <cell r="B166">
            <v>8009</v>
          </cell>
          <cell r="C166" t="str">
            <v>所有者权益_其他原因调整上年年末余额</v>
          </cell>
          <cell r="D166">
            <v>-1</v>
          </cell>
          <cell r="E166" t="str">
            <v>＝</v>
          </cell>
          <cell r="G166" t="str">
            <v>其他</v>
          </cell>
          <cell r="H166" t="str">
            <v>其他</v>
          </cell>
          <cell r="I166">
            <v>8009</v>
          </cell>
          <cell r="M166" t="str">
            <v>资本公积_净利润增加权益</v>
          </cell>
          <cell r="S166" t="str">
            <v>2202d</v>
          </cell>
          <cell r="T166" t="str">
            <v>外币应付账款</v>
          </cell>
          <cell r="U166" t="str">
            <v>币       种</v>
          </cell>
          <cell r="V166">
            <v>1</v>
          </cell>
          <cell r="W166">
            <v>2202</v>
          </cell>
          <cell r="X166">
            <v>2</v>
          </cell>
        </row>
        <row r="167">
          <cell r="B167">
            <v>8010</v>
          </cell>
          <cell r="C167" t="str">
            <v>所有者权益_本年年初余额</v>
          </cell>
          <cell r="E167" t="str">
            <v>＝</v>
          </cell>
          <cell r="G167" t="str">
            <v>二、本年年初余额</v>
          </cell>
          <cell r="H167" t="str">
            <v>二、本年年初余额</v>
          </cell>
          <cell r="I167">
            <v>8010</v>
          </cell>
          <cell r="M167" t="str">
            <v>资本公积_其他综合收益</v>
          </cell>
          <cell r="S167" t="str">
            <v>2202c</v>
          </cell>
          <cell r="T167" t="str">
            <v>关联方应收应付款项——应付账款</v>
          </cell>
          <cell r="U167" t="str">
            <v>关联方</v>
          </cell>
          <cell r="V167">
            <v>1</v>
          </cell>
          <cell r="W167">
            <v>2202</v>
          </cell>
          <cell r="X167">
            <v>2</v>
          </cell>
        </row>
        <row r="168">
          <cell r="B168">
            <v>8090</v>
          </cell>
          <cell r="C168" t="str">
            <v>所有者权益_本期增减变动金额</v>
          </cell>
          <cell r="E168" t="str">
            <v>＝</v>
          </cell>
          <cell r="G168" t="str">
            <v>三、本年增减变动金额（减少以“－”号填列）</v>
          </cell>
          <cell r="H168" t="str">
            <v>三、本年增减变动金额（减少以“－”号填列）</v>
          </cell>
          <cell r="I168">
            <v>8090</v>
          </cell>
          <cell r="M168" t="str">
            <v>资本公积_综合收益总额增加权益</v>
          </cell>
          <cell r="S168" t="str">
            <v>2202f</v>
          </cell>
          <cell r="T168" t="str">
            <v>应付账款按账龄列示</v>
          </cell>
          <cell r="U168" t="str">
            <v>账       龄</v>
          </cell>
          <cell r="V168">
            <v>1</v>
          </cell>
          <cell r="W168">
            <v>2202</v>
          </cell>
          <cell r="X168">
            <v>2</v>
          </cell>
        </row>
        <row r="169">
          <cell r="B169">
            <v>8021</v>
          </cell>
          <cell r="C169" t="str">
            <v>所有者权益_净利润增加权益</v>
          </cell>
          <cell r="D169">
            <v>-1</v>
          </cell>
          <cell r="E169" t="str">
            <v>＝</v>
          </cell>
          <cell r="G169" t="str">
            <v>（一）净利润</v>
          </cell>
          <cell r="I169">
            <v>8021</v>
          </cell>
          <cell r="M169" t="str">
            <v>资本公积_所有者投入资本</v>
          </cell>
          <cell r="S169" t="str">
            <v>2202g</v>
          </cell>
          <cell r="T169" t="str">
            <v>单项金额较大的应付账款</v>
          </cell>
          <cell r="U169" t="str">
            <v>项       目</v>
          </cell>
          <cell r="V169">
            <v>1</v>
          </cell>
          <cell r="W169">
            <v>2202</v>
          </cell>
          <cell r="X169">
            <v>2</v>
          </cell>
        </row>
        <row r="170">
          <cell r="B170">
            <v>8030</v>
          </cell>
          <cell r="C170" t="str">
            <v>所有者权益_其他综合收益增加权益</v>
          </cell>
          <cell r="D170">
            <v>-1</v>
          </cell>
          <cell r="E170" t="str">
            <v>＝</v>
          </cell>
          <cell r="G170" t="str">
            <v>（二）其他综合收益</v>
          </cell>
          <cell r="I170">
            <v>8030</v>
          </cell>
          <cell r="M170" t="str">
            <v>资本公积_股份支付</v>
          </cell>
          <cell r="S170" t="str">
            <v>2202x</v>
          </cell>
          <cell r="T170" t="str">
            <v>应付账款补充资料</v>
          </cell>
          <cell r="U170" t="str">
            <v>项       目</v>
          </cell>
          <cell r="V170">
            <v>1</v>
          </cell>
          <cell r="W170">
            <v>2202</v>
          </cell>
          <cell r="X170">
            <v>2</v>
          </cell>
        </row>
        <row r="171">
          <cell r="B171">
            <v>8040</v>
          </cell>
          <cell r="C171" t="str">
            <v>所有者权益_综合收益总额增加权益</v>
          </cell>
          <cell r="E171" t="str">
            <v>＝</v>
          </cell>
          <cell r="G171" t="str">
            <v>（一）综合收益总额</v>
          </cell>
          <cell r="H171" t="str">
            <v>（一）综合收益总额</v>
          </cell>
          <cell r="I171">
            <v>8040</v>
          </cell>
          <cell r="M171" t="str">
            <v>资本公积_其他权益工具持有者投入资本</v>
          </cell>
          <cell r="S171" t="str">
            <v>2205f</v>
          </cell>
          <cell r="T171" t="str">
            <v>预收账款按项目列示</v>
          </cell>
          <cell r="U171" t="str">
            <v>项       目</v>
          </cell>
          <cell r="V171">
            <v>1</v>
          </cell>
          <cell r="W171">
            <v>2205</v>
          </cell>
          <cell r="X171">
            <v>1</v>
          </cell>
        </row>
        <row r="172">
          <cell r="B172">
            <v>8050</v>
          </cell>
          <cell r="C172" t="str">
            <v>所有者权益_所有者投入和减少资本影响权益</v>
          </cell>
          <cell r="E172" t="str">
            <v>＝</v>
          </cell>
          <cell r="G172" t="str">
            <v>（二）所有者投入和减少资本</v>
          </cell>
          <cell r="H172" t="str">
            <v>（二）股东（或所有者）投入和减少资本</v>
          </cell>
          <cell r="I172">
            <v>8050</v>
          </cell>
          <cell r="M172" t="str">
            <v>资本公积_所有者其他投入和减少资本</v>
          </cell>
          <cell r="S172" t="str">
            <v>2205g</v>
          </cell>
          <cell r="T172" t="str">
            <v>预收账款按账龄列示</v>
          </cell>
          <cell r="U172" t="str">
            <v>账       龄</v>
          </cell>
          <cell r="V172">
            <v>1</v>
          </cell>
          <cell r="W172">
            <v>2205</v>
          </cell>
          <cell r="X172">
            <v>2</v>
          </cell>
        </row>
        <row r="173">
          <cell r="B173">
            <v>8051</v>
          </cell>
          <cell r="C173" t="str">
            <v>所有者权益_所有者投入资本增加权益</v>
          </cell>
          <cell r="D173">
            <v>-1</v>
          </cell>
          <cell r="E173" t="str">
            <v>＝</v>
          </cell>
          <cell r="G173" t="str">
            <v>1.所有者投入的普通股</v>
          </cell>
          <cell r="H173" t="str">
            <v>1．股东投入的普通股</v>
          </cell>
          <cell r="I173">
            <v>8051</v>
          </cell>
          <cell r="M173" t="str">
            <v>资本公积_提取盈余公积影响权益</v>
          </cell>
          <cell r="S173" t="str">
            <v>2205a</v>
          </cell>
          <cell r="T173" t="str">
            <v>账龄超过1年的重要预收款项</v>
          </cell>
          <cell r="U173" t="str">
            <v>项       目</v>
          </cell>
          <cell r="V173">
            <v>1</v>
          </cell>
          <cell r="W173">
            <v>2205</v>
          </cell>
          <cell r="X173">
            <v>2</v>
          </cell>
        </row>
        <row r="174">
          <cell r="B174">
            <v>8053</v>
          </cell>
          <cell r="C174" t="str">
            <v>所有者权益_其他权益工具持有者投入资本</v>
          </cell>
          <cell r="D174">
            <v>-1</v>
          </cell>
          <cell r="E174" t="str">
            <v>OEI＝</v>
          </cell>
          <cell r="G174" t="str">
            <v>2.其他权益工具持有者投入资本</v>
          </cell>
          <cell r="H174" t="str">
            <v>2．其他权益工具持有者投入资本</v>
          </cell>
          <cell r="I174">
            <v>8053</v>
          </cell>
          <cell r="M174" t="str">
            <v>资本公积_提取一般风险准备影响权益</v>
          </cell>
          <cell r="S174" t="str">
            <v>2205h</v>
          </cell>
          <cell r="T174" t="str">
            <v>建造合同形成的已结算未完工项目</v>
          </cell>
          <cell r="U174" t="str">
            <v>项       目</v>
          </cell>
          <cell r="V174">
            <v>1</v>
          </cell>
          <cell r="W174">
            <v>2205</v>
          </cell>
          <cell r="X174">
            <v>2</v>
          </cell>
        </row>
        <row r="175">
          <cell r="B175">
            <v>8052</v>
          </cell>
          <cell r="C175" t="str">
            <v>所有者权益_股份支付计入所有者权益的金额</v>
          </cell>
          <cell r="D175">
            <v>-1</v>
          </cell>
          <cell r="E175" t="str">
            <v>＝</v>
          </cell>
          <cell r="G175" t="str">
            <v>3.股份支付计入所有者权益的金额</v>
          </cell>
          <cell r="H175" t="str">
            <v>3．股份支付计入股东权益的金额</v>
          </cell>
          <cell r="I175">
            <v>8052</v>
          </cell>
          <cell r="M175" t="str">
            <v>资本公积_对所有者的分配影响权益</v>
          </cell>
          <cell r="S175" t="str">
            <v>2205e</v>
          </cell>
          <cell r="T175" t="str">
            <v>预收款项中预售房产收款情况</v>
          </cell>
          <cell r="U175" t="str">
            <v>项目名称</v>
          </cell>
          <cell r="V175">
            <v>1</v>
          </cell>
          <cell r="W175">
            <v>2205</v>
          </cell>
          <cell r="X175">
            <v>2</v>
          </cell>
        </row>
        <row r="176">
          <cell r="B176">
            <v>8056</v>
          </cell>
          <cell r="C176" t="str">
            <v>所有者权益_所有者其他投入和减少资本</v>
          </cell>
          <cell r="D176">
            <v>-1</v>
          </cell>
          <cell r="E176" t="str">
            <v>＝</v>
          </cell>
          <cell r="G176" t="str">
            <v>4.其他</v>
          </cell>
          <cell r="H176" t="str">
            <v>4．其他</v>
          </cell>
          <cell r="I176">
            <v>8056</v>
          </cell>
          <cell r="M176" t="str">
            <v>资本公积_其他利润分配</v>
          </cell>
          <cell r="S176" t="str">
            <v>2205d</v>
          </cell>
          <cell r="T176" t="str">
            <v>外币预收款项</v>
          </cell>
          <cell r="U176" t="str">
            <v>币       种</v>
          </cell>
          <cell r="V176">
            <v>1</v>
          </cell>
          <cell r="W176">
            <v>2205</v>
          </cell>
          <cell r="X176">
            <v>2</v>
          </cell>
        </row>
        <row r="177">
          <cell r="B177">
            <v>8060</v>
          </cell>
          <cell r="C177" t="str">
            <v>所有者权益_利润分配影响权益</v>
          </cell>
          <cell r="E177" t="str">
            <v>＝</v>
          </cell>
          <cell r="G177" t="str">
            <v>（四）利润分配</v>
          </cell>
          <cell r="H177" t="str">
            <v>（三）利润分配</v>
          </cell>
          <cell r="I177">
            <v>8060</v>
          </cell>
          <cell r="M177" t="str">
            <v>资本公积_转增资本</v>
          </cell>
          <cell r="S177" t="str">
            <v>2205c</v>
          </cell>
          <cell r="T177" t="str">
            <v>关联方应收应付款项——预收款项</v>
          </cell>
          <cell r="U177" t="str">
            <v>单位名称</v>
          </cell>
          <cell r="V177">
            <v>1</v>
          </cell>
          <cell r="W177">
            <v>2205</v>
          </cell>
          <cell r="X177">
            <v>2</v>
          </cell>
        </row>
        <row r="178">
          <cell r="B178">
            <v>8061</v>
          </cell>
          <cell r="C178" t="str">
            <v>所有者权益_提取盈余公积影响权益</v>
          </cell>
          <cell r="D178">
            <v>-1</v>
          </cell>
          <cell r="E178" t="str">
            <v>＝</v>
          </cell>
          <cell r="G178" t="str">
            <v>1.提取盈余公积</v>
          </cell>
          <cell r="H178" t="str">
            <v>1．提取盈余公积</v>
          </cell>
          <cell r="I178">
            <v>8061</v>
          </cell>
          <cell r="M178" t="str">
            <v>资本公积_盈余公积转增资本影响权益</v>
          </cell>
          <cell r="S178" t="str">
            <v>2205x</v>
          </cell>
          <cell r="T178" t="str">
            <v>预收款项补充资料</v>
          </cell>
          <cell r="U178" t="str">
            <v>项       目</v>
          </cell>
          <cell r="V178">
            <v>1</v>
          </cell>
          <cell r="W178">
            <v>2205</v>
          </cell>
          <cell r="X178">
            <v>2</v>
          </cell>
        </row>
        <row r="179">
          <cell r="B179">
            <v>8062</v>
          </cell>
          <cell r="C179" t="str">
            <v>所有者权益_提取一般风险准备影响权益</v>
          </cell>
          <cell r="D179">
            <v>-1</v>
          </cell>
          <cell r="E179" t="str">
            <v>＝</v>
          </cell>
          <cell r="G179" t="str">
            <v>2.提取一般风险准备</v>
          </cell>
          <cell r="H179" t="str">
            <v>2．提取一般风险准备</v>
          </cell>
          <cell r="I179">
            <v>8062</v>
          </cell>
          <cell r="M179" t="str">
            <v>资本公积_盈余公积弥补亏损影响权益</v>
          </cell>
          <cell r="S179" t="str">
            <v>2211a</v>
          </cell>
          <cell r="T179" t="str">
            <v>应付职工薪酬明细项目</v>
          </cell>
          <cell r="U179" t="str">
            <v>项       目</v>
          </cell>
          <cell r="V179">
            <v>1</v>
          </cell>
          <cell r="W179">
            <v>2211</v>
          </cell>
          <cell r="X179">
            <v>1</v>
          </cell>
        </row>
        <row r="180">
          <cell r="B180">
            <v>8063</v>
          </cell>
          <cell r="C180" t="str">
            <v>所有者权益_对所有者的分配影响权益</v>
          </cell>
          <cell r="D180">
            <v>-1</v>
          </cell>
          <cell r="E180" t="str">
            <v>＝</v>
          </cell>
          <cell r="G180" t="str">
            <v>3.对所有者（或股东）的分配</v>
          </cell>
          <cell r="H180" t="str">
            <v>3．对股东（或所有者）的分配</v>
          </cell>
          <cell r="I180">
            <v>8063</v>
          </cell>
          <cell r="M180" t="str">
            <v>资本公积_设定受益计划变动额结转留存收益</v>
          </cell>
          <cell r="S180" t="str">
            <v>2211b</v>
          </cell>
          <cell r="T180" t="str">
            <v>短期薪酬</v>
          </cell>
          <cell r="U180" t="str">
            <v>项       目</v>
          </cell>
          <cell r="V180">
            <v>1</v>
          </cell>
          <cell r="W180">
            <v>2211</v>
          </cell>
          <cell r="X180">
            <v>2</v>
          </cell>
        </row>
        <row r="181">
          <cell r="B181">
            <v>8066</v>
          </cell>
          <cell r="C181" t="str">
            <v>所有者权益_其他利润分配影响权益</v>
          </cell>
          <cell r="D181">
            <v>-1</v>
          </cell>
          <cell r="E181" t="str">
            <v>＝</v>
          </cell>
          <cell r="G181" t="str">
            <v>4.其他</v>
          </cell>
          <cell r="H181" t="str">
            <v>4．其他</v>
          </cell>
          <cell r="I181">
            <v>8066</v>
          </cell>
          <cell r="M181" t="str">
            <v>资本公积_所有者权益其他内部结转</v>
          </cell>
          <cell r="S181" t="str">
            <v>2211c</v>
          </cell>
          <cell r="T181" t="str">
            <v>设定提存计划</v>
          </cell>
          <cell r="U181" t="str">
            <v>项       目</v>
          </cell>
          <cell r="V181">
            <v>1</v>
          </cell>
          <cell r="W181">
            <v>2211</v>
          </cell>
          <cell r="X181">
            <v>2</v>
          </cell>
        </row>
        <row r="182">
          <cell r="B182">
            <v>8070</v>
          </cell>
          <cell r="C182" t="str">
            <v>所有者权益_所有者权益内部结转</v>
          </cell>
          <cell r="E182" t="str">
            <v>＝</v>
          </cell>
          <cell r="G182" t="str">
            <v>（五）所有者权益内部结转</v>
          </cell>
          <cell r="H182" t="str">
            <v>（四）股东权益内部结转</v>
          </cell>
          <cell r="I182">
            <v>8070</v>
          </cell>
          <cell r="M182" t="str">
            <v>资本公积_专项储备本期提取</v>
          </cell>
          <cell r="S182" t="str">
            <v>2211d</v>
          </cell>
          <cell r="T182" t="str">
            <v>应付职工薪酬分类列示</v>
          </cell>
          <cell r="U182" t="str">
            <v>项       目</v>
          </cell>
          <cell r="V182">
            <v>1</v>
          </cell>
          <cell r="W182">
            <v>2211</v>
          </cell>
          <cell r="X182">
            <v>2</v>
          </cell>
        </row>
        <row r="183">
          <cell r="B183">
            <v>8071</v>
          </cell>
          <cell r="C183" t="str">
            <v>所有者权益_资本公积转增资本影响权益</v>
          </cell>
          <cell r="D183">
            <v>-1</v>
          </cell>
          <cell r="E183" t="str">
            <v>＝</v>
          </cell>
          <cell r="G183" t="str">
            <v>1.资本公积转增资本（或股本）</v>
          </cell>
          <cell r="H183" t="str">
            <v>1．资本公积转增股本（或资本）</v>
          </cell>
          <cell r="I183">
            <v>8071</v>
          </cell>
          <cell r="M183" t="str">
            <v>资本公积_专项储备本期使用</v>
          </cell>
          <cell r="S183" t="str">
            <v>2211x</v>
          </cell>
          <cell r="T183" t="str">
            <v>应付职工薪酬补充资料</v>
          </cell>
          <cell r="U183" t="str">
            <v>项       目</v>
          </cell>
          <cell r="V183">
            <v>1</v>
          </cell>
          <cell r="W183">
            <v>2211</v>
          </cell>
          <cell r="X183">
            <v>2</v>
          </cell>
        </row>
        <row r="184">
          <cell r="B184">
            <v>8072</v>
          </cell>
          <cell r="C184" t="str">
            <v>所有者权益_盈余公积转增资本影响权益</v>
          </cell>
          <cell r="D184">
            <v>-1</v>
          </cell>
          <cell r="E184" t="str">
            <v>＝</v>
          </cell>
          <cell r="G184" t="str">
            <v>2.盈余公积转增资本（或股本）</v>
          </cell>
          <cell r="H184" t="str">
            <v>2．盈余公积转增股本（或资本）</v>
          </cell>
          <cell r="I184">
            <v>8072</v>
          </cell>
          <cell r="M184" t="str">
            <v>资本公积_本期其他增减变动</v>
          </cell>
          <cell r="S184" t="str">
            <v>2221a</v>
          </cell>
          <cell r="T184" t="str">
            <v>应交税费明细项目</v>
          </cell>
          <cell r="U184" t="str">
            <v>项       目</v>
          </cell>
          <cell r="V184">
            <v>1</v>
          </cell>
          <cell r="W184">
            <v>2221</v>
          </cell>
          <cell r="X184">
            <v>1</v>
          </cell>
        </row>
        <row r="185">
          <cell r="B185">
            <v>8073</v>
          </cell>
          <cell r="C185" t="str">
            <v>所有者权益_盈余公积弥补亏损影响权益</v>
          </cell>
          <cell r="D185">
            <v>-1</v>
          </cell>
          <cell r="E185" t="str">
            <v>＝</v>
          </cell>
          <cell r="G185" t="str">
            <v>3.盈余公积弥补亏损</v>
          </cell>
          <cell r="H185" t="str">
            <v>3．盈余公积弥补亏损</v>
          </cell>
          <cell r="I185">
            <v>8073</v>
          </cell>
          <cell r="M185" t="str">
            <v>库存股_上年年末余额</v>
          </cell>
          <cell r="S185" t="str">
            <v>2221x</v>
          </cell>
          <cell r="T185" t="str">
            <v>应交税费补充资料</v>
          </cell>
          <cell r="U185" t="str">
            <v>项       目</v>
          </cell>
          <cell r="V185">
            <v>1</v>
          </cell>
          <cell r="W185">
            <v>2221</v>
          </cell>
          <cell r="X185">
            <v>2</v>
          </cell>
        </row>
        <row r="186">
          <cell r="B186">
            <v>8075</v>
          </cell>
          <cell r="C186" t="str">
            <v>所有者权益_设定受益计划变动额结转留存收益</v>
          </cell>
          <cell r="D186">
            <v>-1</v>
          </cell>
          <cell r="E186" t="str">
            <v>OEI＝</v>
          </cell>
          <cell r="G186" t="str">
            <v>4. 设定受益计划变动额结转留存收益</v>
          </cell>
          <cell r="H186" t="str">
            <v>4．设定受益计划变动额结转留存收益</v>
          </cell>
          <cell r="I186">
            <v>8075</v>
          </cell>
          <cell r="M186" t="str">
            <v>库存股_会计政策变更调整上年年末余额</v>
          </cell>
          <cell r="S186" t="str">
            <v>2246a</v>
          </cell>
          <cell r="T186" t="str">
            <v>其他应付款分类列示</v>
          </cell>
          <cell r="U186" t="str">
            <v>项       目</v>
          </cell>
          <cell r="V186">
            <v>1</v>
          </cell>
          <cell r="W186">
            <v>2246</v>
          </cell>
          <cell r="X186">
            <v>1</v>
          </cell>
        </row>
        <row r="187">
          <cell r="B187">
            <v>8076</v>
          </cell>
          <cell r="C187" t="str">
            <v>所有者权益_所有者权益其他内部结转</v>
          </cell>
          <cell r="D187">
            <v>-1</v>
          </cell>
          <cell r="E187" t="str">
            <v>＝</v>
          </cell>
          <cell r="G187" t="str">
            <v>5.其他</v>
          </cell>
          <cell r="H187" t="str">
            <v>5．其他</v>
          </cell>
          <cell r="I187">
            <v>8076</v>
          </cell>
          <cell r="M187" t="str">
            <v>库存股_前期差错更正调整上年年末余额</v>
          </cell>
          <cell r="S187" t="str">
            <v>2231a</v>
          </cell>
          <cell r="T187" t="str">
            <v>应付利息明细项目</v>
          </cell>
          <cell r="U187" t="str">
            <v>项       目</v>
          </cell>
          <cell r="V187">
            <v>1</v>
          </cell>
          <cell r="W187">
            <v>2231</v>
          </cell>
          <cell r="X187">
            <v>1</v>
          </cell>
        </row>
        <row r="188">
          <cell r="B188">
            <v>8080</v>
          </cell>
          <cell r="C188" t="str">
            <v>所有者权益_专项储备影响权益</v>
          </cell>
          <cell r="E188" t="str">
            <v>＝</v>
          </cell>
          <cell r="G188" t="str">
            <v>（三）专项储备提取和使用</v>
          </cell>
          <cell r="H188" t="str">
            <v>（五）专项储备</v>
          </cell>
          <cell r="I188">
            <v>8080</v>
          </cell>
          <cell r="M188" t="str">
            <v>库存股_同一控制下企业合并调整上年年末余额</v>
          </cell>
          <cell r="S188" t="str">
            <v>2231b</v>
          </cell>
          <cell r="T188" t="str">
            <v xml:space="preserve">重要的逾期未付利息 </v>
          </cell>
          <cell r="U188" t="str">
            <v>借款单位</v>
          </cell>
          <cell r="V188">
            <v>1</v>
          </cell>
          <cell r="W188">
            <v>2231</v>
          </cell>
          <cell r="X188">
            <v>2</v>
          </cell>
        </row>
        <row r="189">
          <cell r="B189">
            <v>8081</v>
          </cell>
          <cell r="C189" t="str">
            <v>所有者权益_专项储备本期提取</v>
          </cell>
          <cell r="D189">
            <v>-1</v>
          </cell>
          <cell r="E189" t="str">
            <v>＝</v>
          </cell>
          <cell r="G189" t="str">
            <v>1.提取专项储备</v>
          </cell>
          <cell r="H189" t="str">
            <v>1．本期提取</v>
          </cell>
          <cell r="I189">
            <v>8081</v>
          </cell>
          <cell r="M189" t="str">
            <v>库存股_其他原因调整上年年末余额</v>
          </cell>
          <cell r="S189" t="str">
            <v>2232a</v>
          </cell>
          <cell r="T189" t="str">
            <v>应付股利明细项目</v>
          </cell>
          <cell r="U189" t="str">
            <v>项目（或股东名称）</v>
          </cell>
          <cell r="V189">
            <v>1</v>
          </cell>
          <cell r="W189">
            <v>2232</v>
          </cell>
          <cell r="X189">
            <v>1</v>
          </cell>
        </row>
        <row r="190">
          <cell r="B190">
            <v>8082</v>
          </cell>
          <cell r="C190" t="str">
            <v>所有者权益_专项储备本期使用</v>
          </cell>
          <cell r="D190">
            <v>-1</v>
          </cell>
          <cell r="E190" t="str">
            <v>＝</v>
          </cell>
          <cell r="G190" t="str">
            <v>2.使用专项储备</v>
          </cell>
          <cell r="H190" t="str">
            <v>2．本期使用（以负号填列）</v>
          </cell>
          <cell r="I190">
            <v>8082</v>
          </cell>
          <cell r="M190" t="str">
            <v>库存股_净利润增加权益</v>
          </cell>
          <cell r="S190" t="str">
            <v>2232b</v>
          </cell>
          <cell r="T190" t="str">
            <v>重要的超过1年未支付的应付股利</v>
          </cell>
          <cell r="U190" t="str">
            <v>股东名称</v>
          </cell>
          <cell r="V190">
            <v>1</v>
          </cell>
          <cell r="W190">
            <v>2232</v>
          </cell>
          <cell r="X190">
            <v>2</v>
          </cell>
        </row>
        <row r="191">
          <cell r="B191">
            <v>8096</v>
          </cell>
          <cell r="C191" t="str">
            <v>所有者权益_本期其他增减变动</v>
          </cell>
          <cell r="D191">
            <v>-1</v>
          </cell>
          <cell r="E191" t="str">
            <v>＝</v>
          </cell>
          <cell r="G191" t="str">
            <v>（六）其他</v>
          </cell>
          <cell r="H191" t="str">
            <v>（六）其他</v>
          </cell>
          <cell r="I191">
            <v>8096</v>
          </cell>
          <cell r="M191" t="str">
            <v>库存股_其他综合收益增加权益</v>
          </cell>
          <cell r="S191" t="str">
            <v>2241e</v>
          </cell>
          <cell r="T191" t="str">
            <v>其他应付款按款项性质列示</v>
          </cell>
          <cell r="U191" t="str">
            <v>项       目</v>
          </cell>
          <cell r="V191">
            <v>1</v>
          </cell>
          <cell r="W191">
            <v>2241</v>
          </cell>
          <cell r="X191">
            <v>1</v>
          </cell>
        </row>
        <row r="192">
          <cell r="B192">
            <v>8099</v>
          </cell>
          <cell r="C192" t="str">
            <v>所有者权益_本期期末余额</v>
          </cell>
          <cell r="E192" t="str">
            <v>＝</v>
          </cell>
          <cell r="G192" t="str">
            <v>四、本年年末余额</v>
          </cell>
          <cell r="H192" t="str">
            <v>四、本年年末余额</v>
          </cell>
          <cell r="I192">
            <v>8099</v>
          </cell>
          <cell r="M192" t="str">
            <v>库存股_综合收益总额增加权益</v>
          </cell>
          <cell r="S192" t="str">
            <v>2241f</v>
          </cell>
          <cell r="T192" t="str">
            <v>其他应付款按账龄列示</v>
          </cell>
          <cell r="U192" t="str">
            <v>项       目</v>
          </cell>
          <cell r="V192">
            <v>1</v>
          </cell>
          <cell r="W192">
            <v>2241</v>
          </cell>
          <cell r="X192">
            <v>2</v>
          </cell>
        </row>
        <row r="193">
          <cell r="B193">
            <v>8100</v>
          </cell>
          <cell r="C193" t="str">
            <v>实收资本增减变动</v>
          </cell>
          <cell r="E193" t="str">
            <v>：</v>
          </cell>
          <cell r="G193" t="str">
            <v>实收资本(或股本)增减变动</v>
          </cell>
          <cell r="I193">
            <v>8100</v>
          </cell>
          <cell r="M193" t="str">
            <v>库存股_所有者投入资本</v>
          </cell>
          <cell r="S193" t="str">
            <v>2241c</v>
          </cell>
          <cell r="T193" t="str">
            <v>账龄超过1年的重要其他应付款</v>
          </cell>
          <cell r="U193" t="str">
            <v>项       目</v>
          </cell>
          <cell r="V193">
            <v>1</v>
          </cell>
          <cell r="W193">
            <v>2241</v>
          </cell>
          <cell r="X193">
            <v>2</v>
          </cell>
        </row>
        <row r="194">
          <cell r="B194">
            <v>8101</v>
          </cell>
          <cell r="C194" t="str">
            <v>实收资本_上年年末余额</v>
          </cell>
          <cell r="D194">
            <v>-1</v>
          </cell>
          <cell r="F194">
            <v>5110</v>
          </cell>
          <cell r="G194" t="str">
            <v>一、上年年末余额</v>
          </cell>
          <cell r="I194">
            <v>8101</v>
          </cell>
          <cell r="J194" t="str">
            <v>J</v>
          </cell>
          <cell r="M194" t="str">
            <v>库存股_股份支付</v>
          </cell>
          <cell r="S194" t="str">
            <v>2241g</v>
          </cell>
          <cell r="T194" t="str">
            <v>外币其他应付款</v>
          </cell>
          <cell r="U194" t="str">
            <v>币       种</v>
          </cell>
          <cell r="V194">
            <v>1</v>
          </cell>
          <cell r="W194">
            <v>2241</v>
          </cell>
          <cell r="X194">
            <v>2</v>
          </cell>
        </row>
        <row r="195">
          <cell r="B195">
            <v>8102</v>
          </cell>
          <cell r="C195" t="str">
            <v>实收资本_会计政策变更调整上年年末余额</v>
          </cell>
          <cell r="D195">
            <v>-1</v>
          </cell>
          <cell r="E195" t="str">
            <v>LOW</v>
          </cell>
          <cell r="F195">
            <v>5110</v>
          </cell>
          <cell r="G195" t="str">
            <v>加：会计政策变更</v>
          </cell>
          <cell r="I195">
            <v>8102</v>
          </cell>
          <cell r="J195" t="str">
            <v>J</v>
          </cell>
          <cell r="M195" t="str">
            <v>库存股_其他权益工具持有者投入资本</v>
          </cell>
          <cell r="S195" t="str">
            <v>2241a</v>
          </cell>
          <cell r="T195" t="str">
            <v>关联方应收应付款项——其他应付款</v>
          </cell>
          <cell r="U195" t="str">
            <v>项       目</v>
          </cell>
          <cell r="V195">
            <v>1</v>
          </cell>
          <cell r="W195">
            <v>2241</v>
          </cell>
          <cell r="X195">
            <v>2</v>
          </cell>
        </row>
        <row r="196">
          <cell r="B196">
            <v>8103</v>
          </cell>
          <cell r="C196" t="str">
            <v>实收资本_前期差错更正调整上年年末余额</v>
          </cell>
          <cell r="D196">
            <v>-1</v>
          </cell>
          <cell r="F196">
            <v>5110</v>
          </cell>
          <cell r="G196" t="str">
            <v>前期差错更正</v>
          </cell>
          <cell r="I196">
            <v>8103</v>
          </cell>
          <cell r="J196" t="str">
            <v>J</v>
          </cell>
          <cell r="M196" t="str">
            <v>库存股_所有者其他投入和减少资本</v>
          </cell>
          <cell r="S196" t="str">
            <v>2241b</v>
          </cell>
          <cell r="T196" t="str">
            <v>单项金额较大的其他应付款</v>
          </cell>
          <cell r="U196" t="str">
            <v>项       目</v>
          </cell>
          <cell r="V196">
            <v>1</v>
          </cell>
          <cell r="W196">
            <v>2241</v>
          </cell>
          <cell r="X196">
            <v>2</v>
          </cell>
        </row>
        <row r="197">
          <cell r="B197">
            <v>8104</v>
          </cell>
          <cell r="C197" t="str">
            <v>实收资本_同一控制下企业合并调整上年年末余额</v>
          </cell>
          <cell r="D197">
            <v>-1</v>
          </cell>
          <cell r="E197" t="str">
            <v>※</v>
          </cell>
          <cell r="F197">
            <v>5110</v>
          </cell>
          <cell r="G197" t="str">
            <v>同一控制下企业合并</v>
          </cell>
          <cell r="I197">
            <v>8104</v>
          </cell>
          <cell r="J197" t="str">
            <v>J</v>
          </cell>
          <cell r="M197" t="str">
            <v>库存股_提取盈余公积影响权益</v>
          </cell>
          <cell r="S197" t="str">
            <v>2241x</v>
          </cell>
          <cell r="T197" t="str">
            <v>其他应付款补充资料</v>
          </cell>
          <cell r="U197" t="str">
            <v>项       目</v>
          </cell>
          <cell r="V197">
            <v>1</v>
          </cell>
          <cell r="W197">
            <v>2241</v>
          </cell>
          <cell r="X197">
            <v>2</v>
          </cell>
        </row>
        <row r="198">
          <cell r="B198">
            <v>8109</v>
          </cell>
          <cell r="C198" t="str">
            <v>实收资本_其他原因调整上年年末余额</v>
          </cell>
          <cell r="D198">
            <v>-1</v>
          </cell>
          <cell r="E198" t="str">
            <v>LOW</v>
          </cell>
          <cell r="F198">
            <v>5110</v>
          </cell>
          <cell r="G198" t="str">
            <v>其他</v>
          </cell>
          <cell r="I198">
            <v>8109</v>
          </cell>
          <cell r="J198" t="str">
            <v>J</v>
          </cell>
          <cell r="M198" t="str">
            <v>库存股_提取一般风险准备影响权益</v>
          </cell>
          <cell r="S198" t="str">
            <v>2395a</v>
          </cell>
          <cell r="T198" t="str">
            <v>一年内到期的非流动负债</v>
          </cell>
          <cell r="U198" t="str">
            <v>项       目</v>
          </cell>
          <cell r="V198">
            <v>1</v>
          </cell>
          <cell r="W198">
            <v>2395</v>
          </cell>
          <cell r="X198">
            <v>1</v>
          </cell>
        </row>
        <row r="199">
          <cell r="B199">
            <v>8110</v>
          </cell>
          <cell r="C199" t="str">
            <v>实收资本_本年年初余额</v>
          </cell>
          <cell r="E199" t="str">
            <v>＝</v>
          </cell>
          <cell r="G199" t="str">
            <v>二、本年年初余额</v>
          </cell>
          <cell r="I199">
            <v>8110</v>
          </cell>
          <cell r="M199" t="str">
            <v>库存股_对所有者的分配</v>
          </cell>
          <cell r="S199" t="str">
            <v>2395b</v>
          </cell>
          <cell r="T199" t="str">
            <v>1年内到期的长期借款</v>
          </cell>
          <cell r="U199" t="str">
            <v>项       目</v>
          </cell>
          <cell r="V199">
            <v>1</v>
          </cell>
          <cell r="W199">
            <v>2395</v>
          </cell>
          <cell r="X199">
            <v>2</v>
          </cell>
        </row>
        <row r="200">
          <cell r="B200">
            <v>8190</v>
          </cell>
          <cell r="C200" t="str">
            <v>实收资本_本期增减变动金额</v>
          </cell>
          <cell r="E200" t="str">
            <v>＝</v>
          </cell>
          <cell r="G200" t="str">
            <v>三、本期增减变动金额（减少以“-”号填列）</v>
          </cell>
          <cell r="I200">
            <v>8190</v>
          </cell>
          <cell r="M200" t="str">
            <v>库存股_其他利润分配</v>
          </cell>
          <cell r="S200" t="str">
            <v>2395e</v>
          </cell>
          <cell r="T200" t="str">
            <v>1年内到期的应付债券</v>
          </cell>
          <cell r="U200" t="str">
            <v>债券名称</v>
          </cell>
          <cell r="V200">
            <v>1</v>
          </cell>
          <cell r="W200">
            <v>2395</v>
          </cell>
          <cell r="X200">
            <v>2</v>
          </cell>
        </row>
        <row r="201">
          <cell r="B201">
            <v>8150</v>
          </cell>
          <cell r="C201" t="str">
            <v>实收资本_所有者投入和减少资本影响权益</v>
          </cell>
          <cell r="E201" t="str">
            <v>＝</v>
          </cell>
          <cell r="G201" t="str">
            <v>（二）所有者投入和减少资本</v>
          </cell>
          <cell r="I201">
            <v>8150</v>
          </cell>
          <cell r="M201" t="str">
            <v>库存股_资本公积转增资本影响权益</v>
          </cell>
          <cell r="S201" t="str">
            <v>2395f</v>
          </cell>
          <cell r="T201" t="str">
            <v>一年内到期的长期应付款</v>
          </cell>
          <cell r="U201" t="str">
            <v>项       目</v>
          </cell>
          <cell r="V201">
            <v>1</v>
          </cell>
          <cell r="W201">
            <v>2395</v>
          </cell>
          <cell r="X201">
            <v>2</v>
          </cell>
        </row>
        <row r="202">
          <cell r="B202">
            <v>8151</v>
          </cell>
          <cell r="C202" t="str">
            <v>实收资本_所有者投入资本</v>
          </cell>
          <cell r="D202">
            <v>-1</v>
          </cell>
          <cell r="F202">
            <v>5110</v>
          </cell>
          <cell r="G202" t="str">
            <v>所有者投入资本</v>
          </cell>
          <cell r="I202">
            <v>8151</v>
          </cell>
          <cell r="J202" t="str">
            <v>J</v>
          </cell>
          <cell r="M202" t="str">
            <v>库存股_盈余公积转增资本影响权益</v>
          </cell>
          <cell r="S202" t="str">
            <v>2396a</v>
          </cell>
          <cell r="T202" t="str">
            <v>其他流动负债明细项目</v>
          </cell>
          <cell r="U202" t="str">
            <v>项       目</v>
          </cell>
          <cell r="V202">
            <v>1</v>
          </cell>
          <cell r="W202">
            <v>2396</v>
          </cell>
          <cell r="X202">
            <v>1</v>
          </cell>
        </row>
        <row r="203">
          <cell r="B203">
            <v>8153</v>
          </cell>
          <cell r="C203" t="str">
            <v>实收资本_其他权益工具持有者投入资本</v>
          </cell>
          <cell r="D203">
            <v>-1</v>
          </cell>
          <cell r="E203" t="str">
            <v>OEI</v>
          </cell>
          <cell r="F203">
            <v>5110</v>
          </cell>
          <cell r="G203" t="str">
            <v>其他权益工具持有者投入资本</v>
          </cell>
          <cell r="I203">
            <v>8153</v>
          </cell>
          <cell r="J203" t="str">
            <v>J</v>
          </cell>
          <cell r="M203" t="str">
            <v>库存股_盈余公积弥补亏损影响权益</v>
          </cell>
          <cell r="S203" t="str">
            <v>2396c</v>
          </cell>
          <cell r="T203" t="str">
            <v>短期应付债券</v>
          </cell>
          <cell r="U203" t="str">
            <v>债券名称</v>
          </cell>
          <cell r="V203">
            <v>1</v>
          </cell>
          <cell r="W203">
            <v>2396</v>
          </cell>
          <cell r="X203">
            <v>2</v>
          </cell>
        </row>
        <row r="204">
          <cell r="B204">
            <v>8156</v>
          </cell>
          <cell r="C204" t="str">
            <v>实收资本_所有者其他投入和减少资本</v>
          </cell>
          <cell r="D204">
            <v>-1</v>
          </cell>
          <cell r="E204" t="str">
            <v>LOW</v>
          </cell>
          <cell r="F204">
            <v>5110</v>
          </cell>
          <cell r="G204" t="str">
            <v>其他</v>
          </cell>
          <cell r="I204">
            <v>8156</v>
          </cell>
          <cell r="J204" t="str">
            <v>J</v>
          </cell>
          <cell r="M204" t="str">
            <v>库存股_设定受益计划变动额结转留存收益</v>
          </cell>
          <cell r="S204" t="str">
            <v>2396b</v>
          </cell>
          <cell r="T204" t="str">
            <v>递延收益——政府补助情况</v>
          </cell>
          <cell r="U204" t="str">
            <v>补助项目</v>
          </cell>
          <cell r="V204">
            <v>1</v>
          </cell>
          <cell r="W204">
            <v>2396</v>
          </cell>
          <cell r="X204">
            <v>2</v>
          </cell>
        </row>
        <row r="205">
          <cell r="B205">
            <v>8170</v>
          </cell>
          <cell r="C205" t="str">
            <v>实收资本_所有者权益内部结转</v>
          </cell>
          <cell r="E205" t="str">
            <v>＝</v>
          </cell>
          <cell r="G205" t="str">
            <v>（四）所有者权益内部结转</v>
          </cell>
          <cell r="I205">
            <v>8170</v>
          </cell>
          <cell r="M205" t="str">
            <v>库存股_所有者权益其他内部结转</v>
          </cell>
          <cell r="S205" t="str">
            <v>2396d</v>
          </cell>
          <cell r="T205" t="str">
            <v>递延收益——政府补助情况</v>
          </cell>
          <cell r="U205" t="str">
            <v>补助项目</v>
          </cell>
          <cell r="V205">
            <v>1</v>
          </cell>
          <cell r="W205">
            <v>2396</v>
          </cell>
          <cell r="X205">
            <v>2</v>
          </cell>
        </row>
        <row r="206">
          <cell r="B206">
            <v>8171</v>
          </cell>
          <cell r="C206" t="str">
            <v>实收资本_资本公积转增</v>
          </cell>
          <cell r="D206">
            <v>-1</v>
          </cell>
          <cell r="F206">
            <v>5110</v>
          </cell>
          <cell r="G206" t="str">
            <v>资本公积转增资本（或股本）</v>
          </cell>
          <cell r="I206">
            <v>8171</v>
          </cell>
          <cell r="J206" t="str">
            <v>J</v>
          </cell>
          <cell r="M206" t="str">
            <v>库存股_专项储备本期提取</v>
          </cell>
          <cell r="S206" t="str">
            <v>2501a</v>
          </cell>
          <cell r="T206" t="str">
            <v>长期借款明细项目</v>
          </cell>
          <cell r="U206" t="str">
            <v>借款类别</v>
          </cell>
          <cell r="V206">
            <v>1</v>
          </cell>
          <cell r="W206">
            <v>2501</v>
          </cell>
          <cell r="X206">
            <v>1</v>
          </cell>
        </row>
        <row r="207">
          <cell r="B207">
            <v>8172</v>
          </cell>
          <cell r="C207" t="str">
            <v>实收资本_盈余公积转增</v>
          </cell>
          <cell r="D207">
            <v>-1</v>
          </cell>
          <cell r="F207">
            <v>5110</v>
          </cell>
          <cell r="G207" t="str">
            <v>盈余公积转增资本（或股本）</v>
          </cell>
          <cell r="I207">
            <v>8172</v>
          </cell>
          <cell r="J207" t="str">
            <v>J</v>
          </cell>
          <cell r="M207" t="str">
            <v>库存股_专项储备本期使用</v>
          </cell>
          <cell r="S207" t="str">
            <v>2501d</v>
          </cell>
          <cell r="T207" t="str">
            <v>长期借款中的质押借款明细列示</v>
          </cell>
          <cell r="U207" t="str">
            <v>项       目</v>
          </cell>
          <cell r="V207">
            <v>1</v>
          </cell>
          <cell r="W207">
            <v>2501</v>
          </cell>
          <cell r="X207">
            <v>2</v>
          </cell>
        </row>
        <row r="208">
          <cell r="B208">
            <v>8175</v>
          </cell>
          <cell r="C208" t="str">
            <v>实收资本_设定受益计划变动额结转留存收益</v>
          </cell>
          <cell r="D208">
            <v>-1</v>
          </cell>
          <cell r="E208" t="str">
            <v>OEI</v>
          </cell>
          <cell r="F208">
            <v>5110</v>
          </cell>
          <cell r="G208" t="str">
            <v>设定受益计划变动额结转留存收益</v>
          </cell>
          <cell r="I208">
            <v>8175</v>
          </cell>
          <cell r="J208" t="str">
            <v>J</v>
          </cell>
          <cell r="M208" t="str">
            <v>库存股_本期其他增减变动</v>
          </cell>
          <cell r="S208" t="str">
            <v>2501e</v>
          </cell>
          <cell r="T208" t="str">
            <v>长期借款中的抵押借款明细列示</v>
          </cell>
          <cell r="U208" t="str">
            <v>项       目</v>
          </cell>
          <cell r="V208">
            <v>1</v>
          </cell>
          <cell r="W208">
            <v>2501</v>
          </cell>
          <cell r="X208">
            <v>2</v>
          </cell>
        </row>
        <row r="209">
          <cell r="B209">
            <v>8176</v>
          </cell>
          <cell r="C209" t="str">
            <v>实收资本_所有者权益其他内部结转</v>
          </cell>
          <cell r="D209">
            <v>-1</v>
          </cell>
          <cell r="E209" t="str">
            <v>LOW</v>
          </cell>
          <cell r="F209">
            <v>5110</v>
          </cell>
          <cell r="G209" t="str">
            <v>其他</v>
          </cell>
          <cell r="I209">
            <v>8176</v>
          </cell>
          <cell r="J209" t="str">
            <v>J</v>
          </cell>
          <cell r="M209" t="str">
            <v>专项储备_上年年末余额</v>
          </cell>
          <cell r="S209" t="str">
            <v>2501f</v>
          </cell>
          <cell r="T209" t="str">
            <v>长期借款中的保证借款明细列示</v>
          </cell>
          <cell r="U209" t="str">
            <v>项       目</v>
          </cell>
          <cell r="V209">
            <v>1</v>
          </cell>
          <cell r="W209">
            <v>2501</v>
          </cell>
          <cell r="X209">
            <v>2</v>
          </cell>
        </row>
        <row r="210">
          <cell r="B210">
            <v>8196</v>
          </cell>
          <cell r="C210" t="str">
            <v>实收资本_本期其他增减变动</v>
          </cell>
          <cell r="D210">
            <v>-1</v>
          </cell>
          <cell r="E210" t="str">
            <v>LOW</v>
          </cell>
          <cell r="F210">
            <v>5110</v>
          </cell>
          <cell r="G210" t="str">
            <v>（七）其他</v>
          </cell>
          <cell r="I210">
            <v>8196</v>
          </cell>
          <cell r="J210" t="str">
            <v>J</v>
          </cell>
          <cell r="M210" t="str">
            <v>专项储备_会计政策变更调整上年年末余额</v>
          </cell>
          <cell r="S210" t="str">
            <v>2501c</v>
          </cell>
          <cell r="T210" t="str">
            <v>外币长期借款</v>
          </cell>
          <cell r="U210" t="str">
            <v>币       种</v>
          </cell>
          <cell r="V210">
            <v>1</v>
          </cell>
          <cell r="W210">
            <v>2501</v>
          </cell>
          <cell r="X210">
            <v>2</v>
          </cell>
        </row>
        <row r="211">
          <cell r="B211">
            <v>8199</v>
          </cell>
          <cell r="C211" t="str">
            <v>实收资本_本期期末余额</v>
          </cell>
          <cell r="E211" t="str">
            <v>＝</v>
          </cell>
          <cell r="G211" t="str">
            <v>四、本期期末余额</v>
          </cell>
          <cell r="I211">
            <v>8199</v>
          </cell>
          <cell r="M211" t="str">
            <v>专项储备_前期差错更正调整上年年末余额</v>
          </cell>
          <cell r="S211" t="str">
            <v>2502b</v>
          </cell>
          <cell r="T211" t="str">
            <v>应付债券明细项目</v>
          </cell>
          <cell r="U211" t="str">
            <v>债券名称</v>
          </cell>
          <cell r="V211">
            <v>1</v>
          </cell>
          <cell r="W211">
            <v>2502</v>
          </cell>
          <cell r="X211">
            <v>1</v>
          </cell>
        </row>
        <row r="212">
          <cell r="B212" t="str">
            <v>8a00</v>
          </cell>
          <cell r="C212" t="str">
            <v>其他权益工具增减变动</v>
          </cell>
          <cell r="E212" t="str">
            <v>：OEI</v>
          </cell>
          <cell r="G212" t="str">
            <v>其他权益工具增减变动</v>
          </cell>
          <cell r="I212" t="str">
            <v>8a00</v>
          </cell>
          <cell r="M212" t="str">
            <v>专项储备_同一控制下企业合并调整上年年末余额</v>
          </cell>
          <cell r="S212" t="str">
            <v>2502a</v>
          </cell>
          <cell r="T212" t="str">
            <v>应付债券的增减变动</v>
          </cell>
          <cell r="U212" t="str">
            <v>债券名称</v>
          </cell>
          <cell r="V212">
            <v>1</v>
          </cell>
          <cell r="W212">
            <v>2502</v>
          </cell>
          <cell r="X212">
            <v>2</v>
          </cell>
        </row>
        <row r="213">
          <cell r="B213" t="str">
            <v>8b00</v>
          </cell>
          <cell r="C213" t="str">
            <v>其他权益工具（优先股）增减变动</v>
          </cell>
          <cell r="E213" t="str">
            <v>：OEI</v>
          </cell>
          <cell r="G213" t="str">
            <v>其他权益工具（优先股）增减变动</v>
          </cell>
          <cell r="I213" t="str">
            <v>8b00</v>
          </cell>
          <cell r="M213" t="str">
            <v>专项储备_其他原因调整上年年末余额</v>
          </cell>
          <cell r="S213" t="str">
            <v>2502d</v>
          </cell>
          <cell r="T213" t="str">
            <v>期末发行在外的优先股、永续债等其他金融工具的基本情况</v>
          </cell>
          <cell r="U213" t="str">
            <v>发行在外的金融工具</v>
          </cell>
          <cell r="V213">
            <v>1</v>
          </cell>
          <cell r="W213">
            <v>2502</v>
          </cell>
          <cell r="X213">
            <v>2</v>
          </cell>
        </row>
        <row r="214">
          <cell r="B214" t="str">
            <v>8b01</v>
          </cell>
          <cell r="C214" t="str">
            <v>其他权益工具（优先股）_上年年末余额</v>
          </cell>
          <cell r="D214">
            <v>-1</v>
          </cell>
          <cell r="E214" t="str">
            <v>OEI</v>
          </cell>
          <cell r="G214" t="str">
            <v>一、上年年末余额</v>
          </cell>
          <cell r="I214" t="str">
            <v>8b01</v>
          </cell>
          <cell r="J214" t="str">
            <v>J</v>
          </cell>
          <cell r="M214" t="str">
            <v>专项储备_净利润增加权益</v>
          </cell>
          <cell r="S214" t="str">
            <v>2502c</v>
          </cell>
          <cell r="T214" t="str">
            <v>期末发行在外的优先股、永续债等其他金融工具变动情况表</v>
          </cell>
          <cell r="U214" t="str">
            <v>发行在外的金融工具</v>
          </cell>
          <cell r="V214">
            <v>1</v>
          </cell>
          <cell r="W214">
            <v>2502</v>
          </cell>
          <cell r="X214">
            <v>2</v>
          </cell>
        </row>
        <row r="215">
          <cell r="B215" t="str">
            <v>8b02</v>
          </cell>
          <cell r="C215" t="str">
            <v>其他权益工具（优先股）_会计政策变更调整上年年末余额</v>
          </cell>
          <cell r="D215">
            <v>-1</v>
          </cell>
          <cell r="E215" t="str">
            <v>OEI</v>
          </cell>
          <cell r="G215" t="str">
            <v>加：会计政策变更</v>
          </cell>
          <cell r="I215" t="str">
            <v>8b02</v>
          </cell>
          <cell r="J215" t="str">
            <v>J</v>
          </cell>
          <cell r="M215" t="str">
            <v>专项储备_其他综合收益增加权益</v>
          </cell>
          <cell r="S215" t="str">
            <v>2706a</v>
          </cell>
          <cell r="T215" t="str">
            <v>长期应付款分类列示</v>
          </cell>
          <cell r="U215" t="str">
            <v>项       目</v>
          </cell>
          <cell r="V215">
            <v>1</v>
          </cell>
          <cell r="W215">
            <v>2706</v>
          </cell>
          <cell r="X215">
            <v>1</v>
          </cell>
        </row>
        <row r="216">
          <cell r="B216" t="str">
            <v>8b03</v>
          </cell>
          <cell r="C216" t="str">
            <v>其他权益工具（优先股）_前期差错更正调整上年年末余额</v>
          </cell>
          <cell r="D216">
            <v>-1</v>
          </cell>
          <cell r="E216" t="str">
            <v>OEI</v>
          </cell>
          <cell r="G216" t="str">
            <v>前期差错更正</v>
          </cell>
          <cell r="I216" t="str">
            <v>8b03</v>
          </cell>
          <cell r="J216" t="str">
            <v>J</v>
          </cell>
          <cell r="M216" t="str">
            <v>专项储备_综合收益总额增加权益</v>
          </cell>
          <cell r="S216" t="str">
            <v>2701c</v>
          </cell>
          <cell r="T216" t="str">
            <v>长期应付款明细项目</v>
          </cell>
          <cell r="U216" t="str">
            <v>项       目</v>
          </cell>
          <cell r="V216">
            <v>1</v>
          </cell>
          <cell r="W216">
            <v>2701</v>
          </cell>
          <cell r="X216">
            <v>1</v>
          </cell>
        </row>
        <row r="217">
          <cell r="B217" t="str">
            <v>8b04</v>
          </cell>
          <cell r="C217" t="str">
            <v>其他权益工具（优先股）_同一控制下企业合并调整上年年末余额</v>
          </cell>
          <cell r="D217">
            <v>-1</v>
          </cell>
          <cell r="E217" t="str">
            <v>※OEI</v>
          </cell>
          <cell r="G217" t="str">
            <v>同一控制下企业合并</v>
          </cell>
          <cell r="I217" t="str">
            <v>8b04</v>
          </cell>
          <cell r="J217" t="str">
            <v>J</v>
          </cell>
          <cell r="M217" t="str">
            <v>专项储备_所有者投入资本增加权益</v>
          </cell>
          <cell r="S217" t="str">
            <v>2701d</v>
          </cell>
          <cell r="T217" t="str">
            <v>外币长期应付款</v>
          </cell>
          <cell r="U217" t="str">
            <v>币       种</v>
          </cell>
          <cell r="V217">
            <v>1</v>
          </cell>
          <cell r="W217">
            <v>2701</v>
          </cell>
          <cell r="X217">
            <v>2</v>
          </cell>
        </row>
        <row r="218">
          <cell r="B218" t="str">
            <v>8b09</v>
          </cell>
          <cell r="C218" t="str">
            <v>其他权益工具（优先股）_其他原因调整上年年末余额</v>
          </cell>
          <cell r="D218">
            <v>-1</v>
          </cell>
          <cell r="E218" t="str">
            <v>OEI</v>
          </cell>
          <cell r="G218" t="str">
            <v>其他</v>
          </cell>
          <cell r="I218" t="str">
            <v>8b09</v>
          </cell>
          <cell r="J218" t="str">
            <v>J</v>
          </cell>
          <cell r="M218" t="str">
            <v>专项储备_股份支付计入所有者权益的金额</v>
          </cell>
          <cell r="S218" t="str">
            <v>2715a</v>
          </cell>
          <cell r="T218" t="str">
            <v>长期应付职工薪酬</v>
          </cell>
          <cell r="U218" t="str">
            <v>项       目</v>
          </cell>
          <cell r="V218">
            <v>1</v>
          </cell>
          <cell r="W218">
            <v>2715</v>
          </cell>
          <cell r="X218">
            <v>1</v>
          </cell>
        </row>
        <row r="219">
          <cell r="B219" t="str">
            <v>8b10</v>
          </cell>
          <cell r="C219" t="str">
            <v>其他权益工具（优先股）_本年年初余额</v>
          </cell>
          <cell r="E219" t="str">
            <v>OEI＝</v>
          </cell>
          <cell r="G219" t="str">
            <v>二、本年年初余额</v>
          </cell>
          <cell r="I219" t="str">
            <v>8b10</v>
          </cell>
          <cell r="M219" t="str">
            <v>专项储备_其他权益工具持有者投入资本</v>
          </cell>
          <cell r="S219" t="str">
            <v>2715b</v>
          </cell>
          <cell r="T219" t="str">
            <v>设定受益计划义务现值变动情况</v>
          </cell>
          <cell r="U219" t="str">
            <v>项       目</v>
          </cell>
          <cell r="V219">
            <v>1</v>
          </cell>
          <cell r="W219">
            <v>2715</v>
          </cell>
          <cell r="X219">
            <v>2</v>
          </cell>
        </row>
        <row r="220">
          <cell r="B220" t="str">
            <v>8b90</v>
          </cell>
          <cell r="C220" t="str">
            <v>其他权益工具（优先股）_本期增减变动金额</v>
          </cell>
          <cell r="E220" t="str">
            <v>OEI＝</v>
          </cell>
          <cell r="G220" t="str">
            <v>三、本期增减变动金额（减少以“-”号填列）</v>
          </cell>
          <cell r="I220" t="str">
            <v>8b90</v>
          </cell>
          <cell r="M220" t="str">
            <v>专项储备_所有者其他投入和减少资本</v>
          </cell>
          <cell r="S220" t="str">
            <v>2715c</v>
          </cell>
          <cell r="T220" t="str">
            <v>设定受益计划资产变动情况</v>
          </cell>
          <cell r="U220" t="str">
            <v>项       目</v>
          </cell>
          <cell r="V220">
            <v>1</v>
          </cell>
          <cell r="W220">
            <v>2715</v>
          </cell>
          <cell r="X220">
            <v>2</v>
          </cell>
        </row>
        <row r="221">
          <cell r="B221" t="str">
            <v>8b40</v>
          </cell>
          <cell r="C221" t="str">
            <v>其他权益工具（优先股）_综合收益总额增加权益</v>
          </cell>
          <cell r="D221">
            <v>-1</v>
          </cell>
          <cell r="E221" t="str">
            <v>OEI</v>
          </cell>
          <cell r="G221" t="str">
            <v>（一）综合收益总额</v>
          </cell>
          <cell r="I221" t="str">
            <v>8b40</v>
          </cell>
          <cell r="J221" t="str">
            <v>J</v>
          </cell>
          <cell r="M221" t="str">
            <v>专项储备_提取盈余公积影响权益</v>
          </cell>
          <cell r="S221" t="str">
            <v>2715d</v>
          </cell>
          <cell r="T221" t="str">
            <v>设定受益计划净负债变动情况</v>
          </cell>
          <cell r="U221" t="str">
            <v>项       目</v>
          </cell>
          <cell r="V221">
            <v>1</v>
          </cell>
          <cell r="W221">
            <v>2715</v>
          </cell>
          <cell r="X221">
            <v>2</v>
          </cell>
        </row>
        <row r="222">
          <cell r="B222" t="str">
            <v>8b50</v>
          </cell>
          <cell r="C222" t="str">
            <v>其他权益工具（优先股）_所有者投入和减少资本影响权益</v>
          </cell>
          <cell r="E222" t="str">
            <v>OEI＝</v>
          </cell>
          <cell r="G222" t="str">
            <v>（二）所有者投入和减少资本</v>
          </cell>
          <cell r="I222" t="str">
            <v>8b50</v>
          </cell>
          <cell r="M222" t="str">
            <v>专项储备_提取一般风险准备影响权益</v>
          </cell>
          <cell r="S222" t="str">
            <v>2715e</v>
          </cell>
          <cell r="T222" t="str">
            <v>未折现的离职后福利预计到期分析</v>
          </cell>
          <cell r="U222" t="str">
            <v>项       目</v>
          </cell>
          <cell r="V222">
            <v>1</v>
          </cell>
          <cell r="W222">
            <v>2715</v>
          </cell>
          <cell r="X222">
            <v>2</v>
          </cell>
        </row>
        <row r="223">
          <cell r="B223" t="str">
            <v>8b51</v>
          </cell>
          <cell r="C223" t="str">
            <v>其他权益工具（优先股）_所有者投入资本</v>
          </cell>
          <cell r="D223">
            <v>-1</v>
          </cell>
          <cell r="E223" t="str">
            <v>OEI</v>
          </cell>
          <cell r="G223" t="str">
            <v>所有者投入资本</v>
          </cell>
          <cell r="I223" t="str">
            <v>8b51</v>
          </cell>
          <cell r="J223" t="str">
            <v>J</v>
          </cell>
          <cell r="M223" t="str">
            <v>专项储备_对所有者的分配影响权益</v>
          </cell>
          <cell r="S223" t="str">
            <v>2715f</v>
          </cell>
          <cell r="T223" t="str">
            <v>设定受益计划资产明细</v>
          </cell>
          <cell r="U223" t="str">
            <v>项       目</v>
          </cell>
          <cell r="V223">
            <v>1</v>
          </cell>
          <cell r="W223">
            <v>2715</v>
          </cell>
          <cell r="X223">
            <v>2</v>
          </cell>
        </row>
        <row r="224">
          <cell r="B224" t="str">
            <v>8b52</v>
          </cell>
          <cell r="C224" t="str">
            <v>其他权益工具（优先股）_股份支付</v>
          </cell>
          <cell r="D224">
            <v>-1</v>
          </cell>
          <cell r="E224" t="str">
            <v>OEI</v>
          </cell>
          <cell r="G224" t="str">
            <v>股份支付计入所有者权益的金额</v>
          </cell>
          <cell r="I224" t="str">
            <v>8b52</v>
          </cell>
          <cell r="J224" t="str">
            <v>J</v>
          </cell>
          <cell r="M224" t="str">
            <v>专项储备_其他利润分配影响权益</v>
          </cell>
          <cell r="S224" t="str">
            <v>2715g</v>
          </cell>
          <cell r="T224" t="str">
            <v>设定受益计划精算假设</v>
          </cell>
          <cell r="U224" t="str">
            <v>项       目</v>
          </cell>
          <cell r="V224">
            <v>1</v>
          </cell>
          <cell r="W224">
            <v>2715</v>
          </cell>
          <cell r="X224">
            <v>2</v>
          </cell>
        </row>
        <row r="225">
          <cell r="B225" t="str">
            <v>8b53</v>
          </cell>
          <cell r="C225" t="str">
            <v>其他权益工具（优先股）_其他权益工具持有者投入资本</v>
          </cell>
          <cell r="D225">
            <v>-1</v>
          </cell>
          <cell r="E225" t="str">
            <v>OEI</v>
          </cell>
          <cell r="G225" t="str">
            <v>其他权益工具持有者投入资本</v>
          </cell>
          <cell r="I225" t="str">
            <v>8b53</v>
          </cell>
          <cell r="J225" t="str">
            <v>J</v>
          </cell>
          <cell r="M225" t="str">
            <v>专项储备_资本公积转增资本影响权益</v>
          </cell>
          <cell r="S225" t="str">
            <v>2715h</v>
          </cell>
          <cell r="T225" t="str">
            <v>设定受益计划敏感性分析</v>
          </cell>
          <cell r="U225" t="str">
            <v>项       目</v>
          </cell>
          <cell r="V225">
            <v>1</v>
          </cell>
          <cell r="W225">
            <v>2715</v>
          </cell>
          <cell r="X225">
            <v>2</v>
          </cell>
        </row>
        <row r="226">
          <cell r="B226" t="str">
            <v>8b56</v>
          </cell>
          <cell r="C226" t="str">
            <v>其他权益工具（优先股）_所有者其他投入和减少资本</v>
          </cell>
          <cell r="D226">
            <v>-1</v>
          </cell>
          <cell r="E226" t="str">
            <v>OEI</v>
          </cell>
          <cell r="G226" t="str">
            <v>其他</v>
          </cell>
          <cell r="I226" t="str">
            <v>8b56</v>
          </cell>
          <cell r="J226" t="str">
            <v>J</v>
          </cell>
          <cell r="M226" t="str">
            <v>专项储备_盈余公积转增资本影响权益</v>
          </cell>
          <cell r="S226" t="str">
            <v>2711a</v>
          </cell>
          <cell r="T226" t="str">
            <v>专项应付款明细项目</v>
          </cell>
          <cell r="U226" t="str">
            <v>项       目</v>
          </cell>
          <cell r="V226">
            <v>1</v>
          </cell>
          <cell r="W226">
            <v>2711</v>
          </cell>
          <cell r="X226">
            <v>1</v>
          </cell>
        </row>
        <row r="227">
          <cell r="B227" t="str">
            <v>8b60</v>
          </cell>
          <cell r="C227" t="str">
            <v>其他权益工具（优先股）_利润分配影响权益</v>
          </cell>
          <cell r="E227" t="str">
            <v>OEI＝</v>
          </cell>
          <cell r="G227" t="str">
            <v>（三）利润分配</v>
          </cell>
          <cell r="I227" t="str">
            <v>8b60</v>
          </cell>
          <cell r="M227" t="str">
            <v>专项储备_盈余公积弥补亏损影响权益</v>
          </cell>
          <cell r="S227" t="str">
            <v>2711b</v>
          </cell>
          <cell r="T227" t="str">
            <v>外币专项应付款</v>
          </cell>
          <cell r="U227" t="str">
            <v>币       种</v>
          </cell>
          <cell r="V227">
            <v>1</v>
          </cell>
          <cell r="W227">
            <v>2711</v>
          </cell>
          <cell r="X227">
            <v>2</v>
          </cell>
        </row>
        <row r="228">
          <cell r="B228" t="str">
            <v>8b61</v>
          </cell>
          <cell r="C228" t="str">
            <v>其他权益工具（优先股）_提取盈余公积</v>
          </cell>
          <cell r="D228">
            <v>-1</v>
          </cell>
          <cell r="E228" t="str">
            <v>OEI</v>
          </cell>
          <cell r="G228" t="str">
            <v>提取盈余公积</v>
          </cell>
          <cell r="I228" t="str">
            <v>8b61</v>
          </cell>
          <cell r="J228" t="str">
            <v>J</v>
          </cell>
          <cell r="M228" t="str">
            <v>专项储备_设定受益计划变动额结转留存收益</v>
          </cell>
          <cell r="S228" t="str">
            <v>2801a</v>
          </cell>
          <cell r="T228" t="str">
            <v>预计负债明细项目</v>
          </cell>
          <cell r="U228" t="str">
            <v>种       类</v>
          </cell>
          <cell r="V228">
            <v>1</v>
          </cell>
          <cell r="W228">
            <v>2801</v>
          </cell>
          <cell r="X228">
            <v>1</v>
          </cell>
        </row>
        <row r="229">
          <cell r="B229" t="str">
            <v>8b62</v>
          </cell>
          <cell r="C229" t="str">
            <v>其他权益工具（优先股）_提取一般风险准备</v>
          </cell>
          <cell r="D229">
            <v>-1</v>
          </cell>
          <cell r="E229" t="str">
            <v>OEI</v>
          </cell>
          <cell r="G229" t="str">
            <v>提取一般风险准备</v>
          </cell>
          <cell r="I229" t="str">
            <v>8b62</v>
          </cell>
          <cell r="J229" t="str">
            <v>J</v>
          </cell>
          <cell r="M229" t="str">
            <v>专项储备_所有者权益其他内部结转</v>
          </cell>
          <cell r="S229" t="str">
            <v>2401a</v>
          </cell>
          <cell r="T229" t="str">
            <v>递延收益</v>
          </cell>
          <cell r="U229" t="str">
            <v>项       目</v>
          </cell>
          <cell r="V229">
            <v>1</v>
          </cell>
          <cell r="W229">
            <v>2401</v>
          </cell>
          <cell r="X229">
            <v>1</v>
          </cell>
        </row>
        <row r="230">
          <cell r="B230" t="str">
            <v>8b63</v>
          </cell>
          <cell r="C230" t="str">
            <v>其他权益工具（优先股）_对所有者的分配</v>
          </cell>
          <cell r="D230">
            <v>-1</v>
          </cell>
          <cell r="E230" t="str">
            <v>OEI</v>
          </cell>
          <cell r="G230" t="str">
            <v>对所有者（或股东）的分配</v>
          </cell>
          <cell r="I230" t="str">
            <v>8b63</v>
          </cell>
          <cell r="J230" t="str">
            <v>J</v>
          </cell>
          <cell r="M230" t="str">
            <v>专项储备_本期提取</v>
          </cell>
          <cell r="S230" t="str">
            <v>2401b</v>
          </cell>
          <cell r="T230" t="str">
            <v>递延收益——政府补助情况</v>
          </cell>
          <cell r="U230" t="str">
            <v>补助项目</v>
          </cell>
          <cell r="V230">
            <v>1</v>
          </cell>
          <cell r="W230">
            <v>2401</v>
          </cell>
          <cell r="X230">
            <v>2</v>
          </cell>
        </row>
        <row r="231">
          <cell r="B231" t="str">
            <v>8b66</v>
          </cell>
          <cell r="C231" t="str">
            <v>其他权益工具（优先股）_其他利润分配</v>
          </cell>
          <cell r="D231">
            <v>-1</v>
          </cell>
          <cell r="E231" t="str">
            <v>OEI</v>
          </cell>
          <cell r="G231" t="str">
            <v>其他</v>
          </cell>
          <cell r="I231" t="str">
            <v>8b66</v>
          </cell>
          <cell r="J231" t="str">
            <v>J</v>
          </cell>
          <cell r="M231" t="str">
            <v>专项储备_本期使用</v>
          </cell>
          <cell r="S231" t="str">
            <v>2996a</v>
          </cell>
          <cell r="T231" t="str">
            <v>其他非流动负债明细项目</v>
          </cell>
          <cell r="U231" t="str">
            <v>项       目</v>
          </cell>
          <cell r="V231">
            <v>1</v>
          </cell>
          <cell r="W231">
            <v>2996</v>
          </cell>
          <cell r="X231">
            <v>1</v>
          </cell>
        </row>
        <row r="232">
          <cell r="B232" t="str">
            <v>8b70</v>
          </cell>
          <cell r="C232" t="str">
            <v>其他权益工具（优先股）_所有者权益内部结转</v>
          </cell>
          <cell r="E232" t="str">
            <v>OEI＝</v>
          </cell>
          <cell r="G232" t="str">
            <v>（四）所有者权益内部结转</v>
          </cell>
          <cell r="I232" t="str">
            <v>8b70</v>
          </cell>
          <cell r="M232" t="str">
            <v>专项储备_本期其他增减变动</v>
          </cell>
          <cell r="S232" t="str">
            <v>2996x</v>
          </cell>
          <cell r="T232" t="str">
            <v>其他非流动负债</v>
          </cell>
          <cell r="U232" t="str">
            <v>项       目</v>
          </cell>
          <cell r="V232">
            <v>1</v>
          </cell>
          <cell r="W232">
            <v>2996</v>
          </cell>
          <cell r="X232">
            <v>2</v>
          </cell>
        </row>
        <row r="233">
          <cell r="B233" t="str">
            <v>8b71</v>
          </cell>
          <cell r="C233" t="str">
            <v>其他权益工具（优先股）_资本公积转增资本</v>
          </cell>
          <cell r="D233">
            <v>-1</v>
          </cell>
          <cell r="E233" t="str">
            <v>OEI</v>
          </cell>
          <cell r="G233" t="str">
            <v>资本公积转增资本（或股本）</v>
          </cell>
          <cell r="I233" t="str">
            <v>8b71</v>
          </cell>
          <cell r="J233" t="str">
            <v>J</v>
          </cell>
          <cell r="M233" t="str">
            <v>盈余公积_上年年末余额</v>
          </cell>
          <cell r="S233" t="str">
            <v>4001a</v>
          </cell>
          <cell r="T233" t="str">
            <v>股本变动情况</v>
          </cell>
          <cell r="U233" t="str">
            <v>股份类别</v>
          </cell>
          <cell r="V233">
            <v>0</v>
          </cell>
          <cell r="W233">
            <v>4001</v>
          </cell>
          <cell r="X233">
            <v>2</v>
          </cell>
        </row>
        <row r="234">
          <cell r="B234" t="str">
            <v>8b72</v>
          </cell>
          <cell r="C234" t="str">
            <v>其他权益工具（优先股）_盈余公积转增资本</v>
          </cell>
          <cell r="D234">
            <v>-1</v>
          </cell>
          <cell r="E234" t="str">
            <v>OEI</v>
          </cell>
          <cell r="G234" t="str">
            <v>盈余公积转增资本（或股本）</v>
          </cell>
          <cell r="I234" t="str">
            <v>8b72</v>
          </cell>
          <cell r="J234" t="str">
            <v>J</v>
          </cell>
          <cell r="M234" t="str">
            <v>盈余公积_会计政策变更调整上年年末余额</v>
          </cell>
          <cell r="S234" t="str">
            <v>4001b</v>
          </cell>
          <cell r="T234" t="str">
            <v>实收资本变动情况</v>
          </cell>
          <cell r="U234" t="str">
            <v>股东名称</v>
          </cell>
          <cell r="V234">
            <v>1</v>
          </cell>
          <cell r="W234">
            <v>4001</v>
          </cell>
          <cell r="X234">
            <v>1</v>
          </cell>
        </row>
        <row r="235">
          <cell r="B235" t="str">
            <v>8b73</v>
          </cell>
          <cell r="C235" t="str">
            <v>其他权益工具（优先股）_盈余公积弥补亏损</v>
          </cell>
          <cell r="D235">
            <v>-1</v>
          </cell>
          <cell r="E235" t="str">
            <v>OEI</v>
          </cell>
          <cell r="G235" t="str">
            <v>盈余公积弥补亏损</v>
          </cell>
          <cell r="I235" t="str">
            <v>8b73</v>
          </cell>
          <cell r="J235" t="str">
            <v>J</v>
          </cell>
          <cell r="M235" t="str">
            <v>盈余公积_前期差错更正调整上年年末余额</v>
          </cell>
          <cell r="S235" t="str">
            <v>4015b</v>
          </cell>
          <cell r="T235" t="str">
            <v>期末发行在外的优先股、永续债等其他金融工具的基本情况</v>
          </cell>
          <cell r="V235">
            <v>1</v>
          </cell>
          <cell r="W235">
            <v>4015</v>
          </cell>
          <cell r="X235">
            <v>2</v>
          </cell>
        </row>
        <row r="236">
          <cell r="B236" t="str">
            <v>8b75</v>
          </cell>
          <cell r="C236" t="str">
            <v>其他权益工具（优先股）_设定受益计划变动额结转留存收益</v>
          </cell>
          <cell r="D236">
            <v>-1</v>
          </cell>
          <cell r="E236" t="str">
            <v>OEI</v>
          </cell>
          <cell r="G236" t="str">
            <v>设定受益计划变动额结转留存收益</v>
          </cell>
          <cell r="I236" t="str">
            <v>8b75</v>
          </cell>
          <cell r="J236" t="str">
            <v>J</v>
          </cell>
          <cell r="M236" t="str">
            <v>盈余公积_同一控制下企业合并调整上年年末余额</v>
          </cell>
          <cell r="S236" t="str">
            <v>4015a</v>
          </cell>
          <cell r="T236" t="str">
            <v>期末发行在外的优先股、永续债等其他金融工具变动情况表</v>
          </cell>
          <cell r="U236" t="str">
            <v>发行在外的金融工具</v>
          </cell>
          <cell r="V236">
            <v>1</v>
          </cell>
          <cell r="W236">
            <v>4015</v>
          </cell>
          <cell r="X236">
            <v>1</v>
          </cell>
        </row>
        <row r="237">
          <cell r="B237" t="str">
            <v>8b76</v>
          </cell>
          <cell r="C237" t="str">
            <v>其他权益工具（优先股）_所有者权益其他内部结转</v>
          </cell>
          <cell r="D237">
            <v>-1</v>
          </cell>
          <cell r="E237" t="str">
            <v>OEI</v>
          </cell>
          <cell r="G237" t="str">
            <v>其他</v>
          </cell>
          <cell r="I237" t="str">
            <v>8b76</v>
          </cell>
          <cell r="J237" t="str">
            <v>J</v>
          </cell>
          <cell r="M237" t="str">
            <v>盈余公积_其他原因调整上年年末余额</v>
          </cell>
          <cell r="S237" t="str">
            <v>4015c</v>
          </cell>
          <cell r="T237" t="str">
            <v>权益工具持有者的相关信息</v>
          </cell>
          <cell r="U237" t="str">
            <v>项       目</v>
          </cell>
          <cell r="V237">
            <v>1</v>
          </cell>
          <cell r="W237">
            <v>4015</v>
          </cell>
          <cell r="X237">
            <v>2</v>
          </cell>
        </row>
        <row r="238">
          <cell r="B238" t="str">
            <v>8b80</v>
          </cell>
          <cell r="C238" t="str">
            <v>其他权益工具（优先股）_专项储备影响权益</v>
          </cell>
          <cell r="E238" t="str">
            <v>OEI＝</v>
          </cell>
          <cell r="G238" t="str">
            <v>（五）专项储备</v>
          </cell>
          <cell r="I238" t="str">
            <v>8b80</v>
          </cell>
          <cell r="M238" t="str">
            <v>盈余公积_净利润增加权益</v>
          </cell>
          <cell r="S238" t="str">
            <v>4002a</v>
          </cell>
          <cell r="T238" t="str">
            <v>资本公积变动情况</v>
          </cell>
          <cell r="U238" t="str">
            <v>种       类</v>
          </cell>
          <cell r="V238">
            <v>1</v>
          </cell>
          <cell r="W238">
            <v>4002</v>
          </cell>
          <cell r="X238">
            <v>1</v>
          </cell>
        </row>
        <row r="239">
          <cell r="B239" t="str">
            <v>8b81</v>
          </cell>
          <cell r="C239" t="str">
            <v>其他权益工具（优先股）_专项储备本期提取</v>
          </cell>
          <cell r="D239">
            <v>-1</v>
          </cell>
          <cell r="E239" t="str">
            <v>OEI</v>
          </cell>
          <cell r="G239" t="str">
            <v>本期提取</v>
          </cell>
          <cell r="I239" t="str">
            <v>8b81</v>
          </cell>
          <cell r="J239" t="str">
            <v>J</v>
          </cell>
          <cell r="M239" t="str">
            <v>盈余公积_其他综合收益增加权益</v>
          </cell>
          <cell r="S239" t="str">
            <v>4201a</v>
          </cell>
          <cell r="T239" t="str">
            <v>库存股变动情况</v>
          </cell>
          <cell r="U239" t="str">
            <v>项       目</v>
          </cell>
          <cell r="V239">
            <v>1</v>
          </cell>
          <cell r="W239">
            <v>4201</v>
          </cell>
          <cell r="X239">
            <v>1</v>
          </cell>
        </row>
        <row r="240">
          <cell r="B240" t="str">
            <v>8b82</v>
          </cell>
          <cell r="C240" t="str">
            <v>其他权益工具（优先股）_专项储备本期使用</v>
          </cell>
          <cell r="D240">
            <v>-1</v>
          </cell>
          <cell r="E240" t="str">
            <v>OEI</v>
          </cell>
          <cell r="G240" t="str">
            <v>本期使用</v>
          </cell>
          <cell r="I240" t="str">
            <v>8b82</v>
          </cell>
          <cell r="J240" t="str">
            <v>J</v>
          </cell>
          <cell r="M240" t="str">
            <v>盈余公积_综合收益总额增加权益</v>
          </cell>
          <cell r="S240" t="str">
            <v>4215a</v>
          </cell>
          <cell r="T240" t="str">
            <v>其他综合收益</v>
          </cell>
          <cell r="U240" t="str">
            <v>项       目</v>
          </cell>
          <cell r="V240">
            <v>1</v>
          </cell>
          <cell r="W240">
            <v>4215</v>
          </cell>
          <cell r="X240">
            <v>1</v>
          </cell>
        </row>
        <row r="241">
          <cell r="B241" t="str">
            <v>8b96</v>
          </cell>
          <cell r="C241" t="str">
            <v>其他权益工具（优先股）_本期其他增减变动</v>
          </cell>
          <cell r="D241">
            <v>-1</v>
          </cell>
          <cell r="E241" t="str">
            <v>OEI</v>
          </cell>
          <cell r="G241" t="str">
            <v>（七）其他</v>
          </cell>
          <cell r="I241" t="str">
            <v>8b96</v>
          </cell>
          <cell r="J241" t="str">
            <v>J</v>
          </cell>
          <cell r="M241" t="str">
            <v>盈余公积_所有者投入资本增加权益</v>
          </cell>
          <cell r="S241" t="str">
            <v>4301a</v>
          </cell>
          <cell r="T241" t="str">
            <v>专项储备变动情况</v>
          </cell>
          <cell r="U241" t="str">
            <v>项       目</v>
          </cell>
          <cell r="V241">
            <v>1</v>
          </cell>
          <cell r="W241">
            <v>4301</v>
          </cell>
          <cell r="X241">
            <v>1</v>
          </cell>
        </row>
        <row r="242">
          <cell r="B242" t="str">
            <v>8b99</v>
          </cell>
          <cell r="C242" t="str">
            <v>其他权益工具（优先股）_本期期末余额</v>
          </cell>
          <cell r="E242" t="str">
            <v>OEI＝</v>
          </cell>
          <cell r="G242" t="str">
            <v>四、本期期末余额</v>
          </cell>
          <cell r="I242" t="str">
            <v>8b99</v>
          </cell>
          <cell r="M242" t="str">
            <v>盈余公积_股份支付计入所有者权益的金额</v>
          </cell>
          <cell r="S242" t="str">
            <v>4101a</v>
          </cell>
          <cell r="T242" t="str">
            <v>盈余公积变动情况</v>
          </cell>
          <cell r="U242" t="str">
            <v>项       目</v>
          </cell>
          <cell r="V242">
            <v>1</v>
          </cell>
          <cell r="W242">
            <v>4101</v>
          </cell>
          <cell r="X242">
            <v>1</v>
          </cell>
        </row>
        <row r="243">
          <cell r="B243" t="str">
            <v>8c00</v>
          </cell>
          <cell r="C243" t="str">
            <v>其他权益工具（永续债）增减变动</v>
          </cell>
          <cell r="E243" t="str">
            <v>：OEI</v>
          </cell>
          <cell r="G243" t="str">
            <v>其他权益工具（永续债）增减变动</v>
          </cell>
          <cell r="I243" t="str">
            <v>8c00</v>
          </cell>
          <cell r="M243" t="str">
            <v>盈余公积_其他权益工具持有者投入资本</v>
          </cell>
          <cell r="S243" t="str">
            <v>4102a</v>
          </cell>
          <cell r="T243" t="str">
            <v>一般风险准备变动情况</v>
          </cell>
          <cell r="U243" t="str">
            <v>项       目</v>
          </cell>
          <cell r="V243">
            <v>1</v>
          </cell>
          <cell r="W243">
            <v>4102</v>
          </cell>
          <cell r="X243">
            <v>1</v>
          </cell>
        </row>
        <row r="244">
          <cell r="B244" t="str">
            <v>8c01</v>
          </cell>
          <cell r="C244" t="str">
            <v>其他权益工具（永续债）_上年年末余额</v>
          </cell>
          <cell r="D244">
            <v>-1</v>
          </cell>
          <cell r="E244" t="str">
            <v>OEI</v>
          </cell>
          <cell r="G244" t="str">
            <v>一、上年年末余额</v>
          </cell>
          <cell r="I244" t="str">
            <v>8c01</v>
          </cell>
          <cell r="J244" t="str">
            <v>J</v>
          </cell>
          <cell r="M244" t="str">
            <v>盈余公积_所有者其他投入和减少资本</v>
          </cell>
          <cell r="S244" t="str">
            <v>4200a</v>
          </cell>
          <cell r="T244" t="str">
            <v>未分配利润增减变动情况</v>
          </cell>
          <cell r="U244" t="str">
            <v>项       目</v>
          </cell>
          <cell r="V244">
            <v>1</v>
          </cell>
          <cell r="W244">
            <v>4200</v>
          </cell>
          <cell r="X244">
            <v>1</v>
          </cell>
        </row>
        <row r="245">
          <cell r="B245" t="str">
            <v>8c02</v>
          </cell>
          <cell r="C245" t="str">
            <v>其他权益工具（永续债）_会计政策变更调整上年年末余额</v>
          </cell>
          <cell r="D245">
            <v>-1</v>
          </cell>
          <cell r="E245" t="str">
            <v>OEI</v>
          </cell>
          <cell r="G245" t="str">
            <v>加：会计政策变更</v>
          </cell>
          <cell r="I245" t="str">
            <v>8c02</v>
          </cell>
          <cell r="J245" t="str">
            <v>J</v>
          </cell>
          <cell r="M245" t="str">
            <v>盈余公积_提取</v>
          </cell>
          <cell r="S245" t="str">
            <v>4200b</v>
          </cell>
          <cell r="T245" t="str">
            <v>调整本期期初未分配利润明细情况</v>
          </cell>
          <cell r="U245" t="str">
            <v>调整原因</v>
          </cell>
          <cell r="V245">
            <v>1</v>
          </cell>
          <cell r="W245">
            <v>4200</v>
          </cell>
          <cell r="X245">
            <v>2</v>
          </cell>
        </row>
        <row r="246">
          <cell r="B246" t="str">
            <v>8c03</v>
          </cell>
          <cell r="C246" t="str">
            <v>其他权益工具（永续债）_前期差错更正调整上年年末余额</v>
          </cell>
          <cell r="D246">
            <v>-1</v>
          </cell>
          <cell r="E246" t="str">
            <v>OEI</v>
          </cell>
          <cell r="G246" t="str">
            <v>前期差错更正</v>
          </cell>
          <cell r="I246" t="str">
            <v>8c03</v>
          </cell>
          <cell r="J246" t="str">
            <v>J</v>
          </cell>
          <cell r="M246" t="str">
            <v>盈余公积_提取一般风险准备影响权益</v>
          </cell>
          <cell r="S246" t="str">
            <v>6064a</v>
          </cell>
          <cell r="T246" t="str">
            <v>营业收入明细项目</v>
          </cell>
          <cell r="U246" t="str">
            <v>项       目</v>
          </cell>
          <cell r="V246">
            <v>-1</v>
          </cell>
          <cell r="W246">
            <v>6001</v>
          </cell>
          <cell r="X246">
            <v>1</v>
          </cell>
        </row>
        <row r="247">
          <cell r="B247" t="str">
            <v>8c04</v>
          </cell>
          <cell r="C247" t="str">
            <v>其他权益工具（永续债）_同一控制下企业合并调整上年年末余额</v>
          </cell>
          <cell r="D247">
            <v>-1</v>
          </cell>
          <cell r="E247" t="str">
            <v>※OEI</v>
          </cell>
          <cell r="G247" t="str">
            <v>同一控制下企业合并</v>
          </cell>
          <cell r="I247" t="str">
            <v>8c04</v>
          </cell>
          <cell r="J247" t="str">
            <v>J</v>
          </cell>
          <cell r="M247" t="str">
            <v>盈余公积_对所有者的分配</v>
          </cell>
          <cell r="S247" t="str">
            <v>6064b</v>
          </cell>
          <cell r="T247" t="str">
            <v>营业成本明细项目</v>
          </cell>
          <cell r="U247" t="str">
            <v>项       目</v>
          </cell>
          <cell r="V247">
            <v>-1</v>
          </cell>
          <cell r="W247">
            <v>6401</v>
          </cell>
          <cell r="X247">
            <v>1</v>
          </cell>
        </row>
        <row r="248">
          <cell r="B248" t="str">
            <v>8c09</v>
          </cell>
          <cell r="C248" t="str">
            <v>其他权益工具（永续债）_其他原因调整上年年末余额</v>
          </cell>
          <cell r="D248">
            <v>-1</v>
          </cell>
          <cell r="E248" t="str">
            <v>OEI</v>
          </cell>
          <cell r="G248" t="str">
            <v>其他</v>
          </cell>
          <cell r="I248" t="str">
            <v>8c09</v>
          </cell>
          <cell r="J248" t="str">
            <v>J</v>
          </cell>
          <cell r="M248" t="str">
            <v>盈余公积_其他利润分配</v>
          </cell>
          <cell r="S248" t="str">
            <v>6064c</v>
          </cell>
          <cell r="T248" t="str">
            <v>主营业务按行业类别列示</v>
          </cell>
          <cell r="U248" t="str">
            <v>行业或业务名称</v>
          </cell>
          <cell r="V248">
            <v>-2</v>
          </cell>
          <cell r="X248">
            <v>2</v>
          </cell>
        </row>
        <row r="249">
          <cell r="B249" t="str">
            <v>8c10</v>
          </cell>
          <cell r="C249" t="str">
            <v>其他权益工具（永续债）_本年年初余额</v>
          </cell>
          <cell r="E249" t="str">
            <v>OEI＝</v>
          </cell>
          <cell r="G249" t="str">
            <v>二、本年年初余额</v>
          </cell>
          <cell r="I249" t="str">
            <v>8c10</v>
          </cell>
          <cell r="M249" t="str">
            <v>盈余公积_资本公积转增资本影响权益</v>
          </cell>
          <cell r="S249" t="str">
            <v>6064d</v>
          </cell>
          <cell r="T249" t="str">
            <v>主营业务按产品类别列示</v>
          </cell>
          <cell r="U249" t="str">
            <v>产品名称</v>
          </cell>
          <cell r="V249">
            <v>-2</v>
          </cell>
          <cell r="X249">
            <v>2</v>
          </cell>
        </row>
        <row r="250">
          <cell r="B250" t="str">
            <v>8c90</v>
          </cell>
          <cell r="C250" t="str">
            <v>其他权益工具（永续债）_本期增减变动金额</v>
          </cell>
          <cell r="E250" t="str">
            <v>OEI＝</v>
          </cell>
          <cell r="G250" t="str">
            <v>三、本期增减变动金额（减少以“-”号填列）</v>
          </cell>
          <cell r="I250" t="str">
            <v>8c90</v>
          </cell>
          <cell r="M250" t="str">
            <v>盈余公积_转增资本</v>
          </cell>
          <cell r="S250" t="str">
            <v>6064e</v>
          </cell>
          <cell r="T250" t="str">
            <v>主营业务按地区类别列示</v>
          </cell>
          <cell r="U250" t="str">
            <v>地区名称</v>
          </cell>
          <cell r="V250">
            <v>-2</v>
          </cell>
          <cell r="X250">
            <v>2</v>
          </cell>
        </row>
        <row r="251">
          <cell r="B251" t="str">
            <v>8c40</v>
          </cell>
          <cell r="C251" t="str">
            <v>其他权益工具（永续债）_综合收益总额增加权益</v>
          </cell>
          <cell r="D251">
            <v>-1</v>
          </cell>
          <cell r="E251" t="str">
            <v>OEI</v>
          </cell>
          <cell r="G251" t="str">
            <v>（一）综合收益总额</v>
          </cell>
          <cell r="I251" t="str">
            <v>8c40</v>
          </cell>
          <cell r="J251" t="str">
            <v>J</v>
          </cell>
          <cell r="M251" t="str">
            <v>盈余公积_弥补亏损</v>
          </cell>
          <cell r="S251" t="str">
            <v>6064f</v>
          </cell>
          <cell r="T251" t="str">
            <v>本期销售前十名情况</v>
          </cell>
          <cell r="U251" t="str">
            <v>客户名称</v>
          </cell>
          <cell r="V251">
            <v>-1</v>
          </cell>
          <cell r="W251">
            <v>6001</v>
          </cell>
          <cell r="X251">
            <v>2</v>
          </cell>
        </row>
        <row r="252">
          <cell r="B252" t="str">
            <v>8c50</v>
          </cell>
          <cell r="C252" t="str">
            <v>其他权益工具（永续债）_所有者投入和减少资本影响权益</v>
          </cell>
          <cell r="E252" t="str">
            <v>OEI＝</v>
          </cell>
          <cell r="G252" t="str">
            <v>（二）所有者投入和减少资本</v>
          </cell>
          <cell r="I252" t="str">
            <v>8c50</v>
          </cell>
          <cell r="M252" t="str">
            <v>盈余公积_设定受益计划变动额结转留存收益</v>
          </cell>
          <cell r="S252" t="str">
            <v>6064g</v>
          </cell>
          <cell r="T252" t="str">
            <v>本期采购前十名情况</v>
          </cell>
          <cell r="U252" t="str">
            <v>供应商名称</v>
          </cell>
          <cell r="V252">
            <v>-1</v>
          </cell>
          <cell r="W252">
            <v>6401</v>
          </cell>
          <cell r="X252">
            <v>2</v>
          </cell>
        </row>
        <row r="253">
          <cell r="B253" t="str">
            <v>8c51</v>
          </cell>
          <cell r="C253" t="str">
            <v>其他权益工具（永续债）_所有者投入资本</v>
          </cell>
          <cell r="D253">
            <v>-1</v>
          </cell>
          <cell r="E253" t="str">
            <v>OEI</v>
          </cell>
          <cell r="G253" t="str">
            <v>所有者投入资本</v>
          </cell>
          <cell r="I253" t="str">
            <v>8c51</v>
          </cell>
          <cell r="J253" t="str">
            <v>J</v>
          </cell>
          <cell r="M253" t="str">
            <v>盈余公积_所有者权益其他内部结转</v>
          </cell>
          <cell r="S253" t="str">
            <v>6001x</v>
          </cell>
          <cell r="T253" t="str">
            <v>营业收入补充资料</v>
          </cell>
          <cell r="U253" t="str">
            <v>项       目</v>
          </cell>
          <cell r="V253">
            <v>-1</v>
          </cell>
          <cell r="W253">
            <v>6001</v>
          </cell>
          <cell r="X253">
            <v>2</v>
          </cell>
        </row>
        <row r="254">
          <cell r="B254" t="str">
            <v>8c52</v>
          </cell>
          <cell r="C254" t="str">
            <v>其他权益工具（永续债）_股份支付</v>
          </cell>
          <cell r="D254">
            <v>-1</v>
          </cell>
          <cell r="E254" t="str">
            <v>OEI</v>
          </cell>
          <cell r="G254" t="str">
            <v>股份支付计入所有者权益的金额</v>
          </cell>
          <cell r="I254" t="str">
            <v>8c52</v>
          </cell>
          <cell r="J254" t="str">
            <v>J</v>
          </cell>
          <cell r="M254" t="str">
            <v>盈余公积_专项储备本期提取</v>
          </cell>
          <cell r="S254" t="str">
            <v>6401x</v>
          </cell>
          <cell r="T254" t="str">
            <v>营业成本补充资料</v>
          </cell>
          <cell r="U254" t="str">
            <v>项       目</v>
          </cell>
          <cell r="V254">
            <v>-1</v>
          </cell>
          <cell r="W254">
            <v>6401</v>
          </cell>
          <cell r="X254">
            <v>2</v>
          </cell>
        </row>
        <row r="255">
          <cell r="B255" t="str">
            <v>8c53</v>
          </cell>
          <cell r="C255" t="str">
            <v>其他权益工具（永续债）_其他权益工具持有者投入资本</v>
          </cell>
          <cell r="D255">
            <v>-1</v>
          </cell>
          <cell r="E255" t="str">
            <v>OEI</v>
          </cell>
          <cell r="G255" t="str">
            <v>其他权益工具持有者投入资本</v>
          </cell>
          <cell r="I255" t="str">
            <v>8c53</v>
          </cell>
          <cell r="J255" t="str">
            <v>J</v>
          </cell>
          <cell r="M255" t="str">
            <v>盈余公积_专项储备本期使用</v>
          </cell>
          <cell r="S255" t="str">
            <v>6600a</v>
          </cell>
          <cell r="T255" t="str">
            <v>税金及附加明细项目</v>
          </cell>
          <cell r="U255" t="str">
            <v>税       种</v>
          </cell>
          <cell r="V255">
            <v>1</v>
          </cell>
          <cell r="W255">
            <v>6600</v>
          </cell>
          <cell r="X255">
            <v>1</v>
          </cell>
        </row>
        <row r="256">
          <cell r="B256" t="str">
            <v>8c56</v>
          </cell>
          <cell r="C256" t="str">
            <v>其他权益工具（永续债）_所有者其他投入和减少资本</v>
          </cell>
          <cell r="D256">
            <v>-1</v>
          </cell>
          <cell r="E256" t="str">
            <v>OEI</v>
          </cell>
          <cell r="G256" t="str">
            <v>其他</v>
          </cell>
          <cell r="I256" t="str">
            <v>8c56</v>
          </cell>
          <cell r="J256" t="str">
            <v>J</v>
          </cell>
          <cell r="M256" t="str">
            <v>盈余公积_本期其他增减变动</v>
          </cell>
          <cell r="S256" t="str">
            <v>6600x</v>
          </cell>
          <cell r="T256" t="str">
            <v>税金及附加补充资料</v>
          </cell>
          <cell r="U256" t="str">
            <v>项       目</v>
          </cell>
          <cell r="V256">
            <v>1</v>
          </cell>
          <cell r="W256">
            <v>6600</v>
          </cell>
          <cell r="X256">
            <v>2</v>
          </cell>
        </row>
        <row r="257">
          <cell r="B257" t="str">
            <v>8c60</v>
          </cell>
          <cell r="C257" t="str">
            <v>其他权益工具（永续债）_利润分配影响权益</v>
          </cell>
          <cell r="E257" t="str">
            <v>OEI＝</v>
          </cell>
          <cell r="G257" t="str">
            <v>（三）利润分配</v>
          </cell>
          <cell r="I257" t="str">
            <v>8c60</v>
          </cell>
          <cell r="M257" t="str">
            <v>一般风险准备_上年年末余额</v>
          </cell>
          <cell r="S257" t="str">
            <v>6601a</v>
          </cell>
          <cell r="T257" t="str">
            <v>销售费用明细项目</v>
          </cell>
          <cell r="U257" t="str">
            <v>项       目</v>
          </cell>
          <cell r="V257">
            <v>1</v>
          </cell>
          <cell r="W257">
            <v>6601</v>
          </cell>
          <cell r="X257">
            <v>1</v>
          </cell>
        </row>
        <row r="258">
          <cell r="B258" t="str">
            <v>8c61</v>
          </cell>
          <cell r="C258" t="str">
            <v>其他权益工具（永续债）_提取盈余公积</v>
          </cell>
          <cell r="D258">
            <v>-1</v>
          </cell>
          <cell r="E258" t="str">
            <v>OEI</v>
          </cell>
          <cell r="G258" t="str">
            <v>提取盈余公积</v>
          </cell>
          <cell r="I258" t="str">
            <v>8c61</v>
          </cell>
          <cell r="J258" t="str">
            <v>J</v>
          </cell>
          <cell r="M258" t="str">
            <v>一般风险准备_会计政策变更调整上年年末余额</v>
          </cell>
          <cell r="S258" t="str">
            <v>6601x</v>
          </cell>
          <cell r="T258" t="str">
            <v>销售费用补充资料</v>
          </cell>
          <cell r="U258" t="str">
            <v>项       目</v>
          </cell>
          <cell r="V258">
            <v>1</v>
          </cell>
          <cell r="W258">
            <v>6601</v>
          </cell>
          <cell r="X258">
            <v>2</v>
          </cell>
        </row>
        <row r="259">
          <cell r="B259" t="str">
            <v>8c62</v>
          </cell>
          <cell r="C259" t="str">
            <v>其他权益工具（永续债）_提取一般风险准备</v>
          </cell>
          <cell r="D259">
            <v>-1</v>
          </cell>
          <cell r="E259" t="str">
            <v>OEI</v>
          </cell>
          <cell r="G259" t="str">
            <v>提取一般风险准备</v>
          </cell>
          <cell r="I259" t="str">
            <v>8c62</v>
          </cell>
          <cell r="J259" t="str">
            <v>J</v>
          </cell>
          <cell r="M259" t="str">
            <v>一般风险准备_前期差错更正调整上年年末余额</v>
          </cell>
          <cell r="S259" t="str">
            <v>6602a</v>
          </cell>
          <cell r="T259" t="str">
            <v>管理费用明细项目</v>
          </cell>
          <cell r="U259" t="str">
            <v>项       目</v>
          </cell>
          <cell r="V259">
            <v>1</v>
          </cell>
          <cell r="W259">
            <v>6602</v>
          </cell>
          <cell r="X259">
            <v>1</v>
          </cell>
        </row>
        <row r="260">
          <cell r="B260" t="str">
            <v>8c63</v>
          </cell>
          <cell r="C260" t="str">
            <v>其他权益工具（永续债）_对所有者的分配</v>
          </cell>
          <cell r="D260">
            <v>-1</v>
          </cell>
          <cell r="E260" t="str">
            <v>OEI</v>
          </cell>
          <cell r="G260" t="str">
            <v>对所有者（或股东）的分配</v>
          </cell>
          <cell r="I260" t="str">
            <v>8c63</v>
          </cell>
          <cell r="J260" t="str">
            <v>J</v>
          </cell>
          <cell r="M260" t="str">
            <v>一般风险准备_同一控制下企业合并调整上年年末余额</v>
          </cell>
          <cell r="S260" t="str">
            <v>6602x</v>
          </cell>
          <cell r="T260" t="str">
            <v>管理费用补充资料</v>
          </cell>
          <cell r="U260" t="str">
            <v>项       目</v>
          </cell>
          <cell r="V260">
            <v>1</v>
          </cell>
          <cell r="W260">
            <v>6602</v>
          </cell>
          <cell r="X260">
            <v>2</v>
          </cell>
        </row>
        <row r="261">
          <cell r="B261" t="str">
            <v>8c66</v>
          </cell>
          <cell r="C261" t="str">
            <v>其他权益工具（永续债）_其他利润分配</v>
          </cell>
          <cell r="D261">
            <v>-1</v>
          </cell>
          <cell r="E261" t="str">
            <v>OEI</v>
          </cell>
          <cell r="G261" t="str">
            <v>其他</v>
          </cell>
          <cell r="I261" t="str">
            <v>8c66</v>
          </cell>
          <cell r="J261" t="str">
            <v>J</v>
          </cell>
          <cell r="M261" t="str">
            <v>一般风险准备_其他原因调整上年年末余额</v>
          </cell>
          <cell r="S261" t="str">
            <v>6606a</v>
          </cell>
          <cell r="T261" t="str">
            <v>研发费用明细项目</v>
          </cell>
          <cell r="U261" t="str">
            <v>项       目</v>
          </cell>
          <cell r="V261">
            <v>1</v>
          </cell>
          <cell r="W261">
            <v>6606</v>
          </cell>
          <cell r="X261">
            <v>1</v>
          </cell>
        </row>
        <row r="262">
          <cell r="B262" t="str">
            <v>8c70</v>
          </cell>
          <cell r="C262" t="str">
            <v>其他权益工具（永续债）_所有者权益内部结转</v>
          </cell>
          <cell r="E262" t="str">
            <v>OEI＝</v>
          </cell>
          <cell r="G262" t="str">
            <v>（四）所有者权益内部结转</v>
          </cell>
          <cell r="I262" t="str">
            <v>8c70</v>
          </cell>
          <cell r="M262" t="str">
            <v>一般风险准备_净利润增加权益</v>
          </cell>
          <cell r="S262" t="str">
            <v>6603a</v>
          </cell>
          <cell r="T262" t="str">
            <v>财务费用明细项目</v>
          </cell>
          <cell r="U262" t="str">
            <v>项       目</v>
          </cell>
          <cell r="V262">
            <v>1</v>
          </cell>
          <cell r="W262">
            <v>6603</v>
          </cell>
          <cell r="X262">
            <v>1</v>
          </cell>
        </row>
        <row r="263">
          <cell r="B263" t="str">
            <v>8c71</v>
          </cell>
          <cell r="C263" t="str">
            <v>其他权益工具（永续债）_资本公积转增资本</v>
          </cell>
          <cell r="D263">
            <v>-1</v>
          </cell>
          <cell r="E263" t="str">
            <v>OEI</v>
          </cell>
          <cell r="G263" t="str">
            <v>资本公积转增资本（或股本）</v>
          </cell>
          <cell r="I263" t="str">
            <v>8c71</v>
          </cell>
          <cell r="J263" t="str">
            <v>J</v>
          </cell>
          <cell r="M263" t="str">
            <v>一般风险准备_其他综合收益增加权益</v>
          </cell>
          <cell r="S263" t="str">
            <v>6603x</v>
          </cell>
          <cell r="T263" t="str">
            <v>财务费用补充资料</v>
          </cell>
          <cell r="U263" t="str">
            <v>项       目</v>
          </cell>
          <cell r="V263">
            <v>1</v>
          </cell>
          <cell r="W263">
            <v>6603</v>
          </cell>
          <cell r="X263">
            <v>2</v>
          </cell>
        </row>
        <row r="264">
          <cell r="B264" t="str">
            <v>8c72</v>
          </cell>
          <cell r="C264" t="str">
            <v>其他权益工具（永续债）_盈余公积转增资本</v>
          </cell>
          <cell r="D264">
            <v>-1</v>
          </cell>
          <cell r="E264" t="str">
            <v>OEI</v>
          </cell>
          <cell r="G264" t="str">
            <v>盈余公积转增资本（或股本）</v>
          </cell>
          <cell r="I264" t="str">
            <v>8c72</v>
          </cell>
          <cell r="J264" t="str">
            <v>J</v>
          </cell>
          <cell r="M264" t="str">
            <v>一般风险准备_综合收益总额增加权益</v>
          </cell>
          <cell r="S264" t="str">
            <v>6671a</v>
          </cell>
          <cell r="T264" t="str">
            <v>资产减值损失明细项目</v>
          </cell>
          <cell r="U264" t="str">
            <v>项       目</v>
          </cell>
          <cell r="V264">
            <v>1</v>
          </cell>
          <cell r="W264">
            <v>6671</v>
          </cell>
          <cell r="X264">
            <v>1</v>
          </cell>
        </row>
        <row r="265">
          <cell r="B265" t="str">
            <v>8c73</v>
          </cell>
          <cell r="C265" t="str">
            <v>其他权益工具（永续债）_盈余公积弥补亏损</v>
          </cell>
          <cell r="D265">
            <v>-1</v>
          </cell>
          <cell r="E265" t="str">
            <v>OEI</v>
          </cell>
          <cell r="G265" t="str">
            <v>盈余公积弥补亏损</v>
          </cell>
          <cell r="I265" t="str">
            <v>8c73</v>
          </cell>
          <cell r="J265" t="str">
            <v>J</v>
          </cell>
          <cell r="M265" t="str">
            <v>一般风险准备_所有者投入资本增加权益</v>
          </cell>
          <cell r="S265" t="str">
            <v>6101a</v>
          </cell>
          <cell r="T265" t="str">
            <v>公允价值变动收益明细项目</v>
          </cell>
          <cell r="U265" t="str">
            <v>产生公允价值变动收益的来源</v>
          </cell>
          <cell r="V265">
            <v>1</v>
          </cell>
          <cell r="W265">
            <v>6101</v>
          </cell>
          <cell r="X265">
            <v>1</v>
          </cell>
        </row>
        <row r="266">
          <cell r="B266" t="str">
            <v>8c75</v>
          </cell>
          <cell r="C266" t="str">
            <v>其他权益工具（永续债）_设定受益计划变动额结转留存收益</v>
          </cell>
          <cell r="D266">
            <v>-1</v>
          </cell>
          <cell r="E266" t="str">
            <v>OEI</v>
          </cell>
          <cell r="G266" t="str">
            <v>设定受益计划变动额结转留存收益</v>
          </cell>
          <cell r="I266" t="str">
            <v>8c75</v>
          </cell>
          <cell r="J266" t="str">
            <v>J</v>
          </cell>
          <cell r="M266" t="str">
            <v>一般风险准备_股份支付计入所有者权益的金额</v>
          </cell>
          <cell r="S266" t="str">
            <v>6111a</v>
          </cell>
          <cell r="T266" t="str">
            <v>投资收益按来源列示</v>
          </cell>
          <cell r="U266" t="str">
            <v>项       目</v>
          </cell>
          <cell r="V266">
            <v>1</v>
          </cell>
          <cell r="W266">
            <v>6111</v>
          </cell>
          <cell r="X266">
            <v>1</v>
          </cell>
        </row>
        <row r="267">
          <cell r="B267" t="str">
            <v>8c76</v>
          </cell>
          <cell r="C267" t="str">
            <v>其他权益工具（永续债）_所有者权益其他内部结转</v>
          </cell>
          <cell r="D267">
            <v>-1</v>
          </cell>
          <cell r="E267" t="str">
            <v>OEI</v>
          </cell>
          <cell r="G267" t="str">
            <v>其他</v>
          </cell>
          <cell r="I267" t="str">
            <v>8c76</v>
          </cell>
          <cell r="J267" t="str">
            <v>J</v>
          </cell>
          <cell r="M267" t="str">
            <v>一般风险准备_其他权益工具持有者投入资本</v>
          </cell>
          <cell r="S267" t="str">
            <v>6171a</v>
          </cell>
          <cell r="T267" t="str">
            <v>资产处置收益明细项目</v>
          </cell>
          <cell r="U267" t="str">
            <v>项       目</v>
          </cell>
          <cell r="V267">
            <v>1</v>
          </cell>
          <cell r="W267">
            <v>6171</v>
          </cell>
          <cell r="X267">
            <v>1</v>
          </cell>
        </row>
        <row r="268">
          <cell r="B268" t="str">
            <v>8c80</v>
          </cell>
          <cell r="C268" t="str">
            <v>其他权益工具（永续债）_专项储备影响权益</v>
          </cell>
          <cell r="E268" t="str">
            <v>OEI＝</v>
          </cell>
          <cell r="G268" t="str">
            <v>（五）专项储备</v>
          </cell>
          <cell r="I268" t="str">
            <v>8c80</v>
          </cell>
          <cell r="M268" t="str">
            <v>一般风险准备_所有者其他投入和减少资本</v>
          </cell>
          <cell r="S268" t="str">
            <v>6181a</v>
          </cell>
          <cell r="T268" t="str">
            <v>其他收益明细项目</v>
          </cell>
          <cell r="U268" t="str">
            <v>项       目</v>
          </cell>
          <cell r="V268">
            <v>1</v>
          </cell>
          <cell r="W268">
            <v>6181</v>
          </cell>
          <cell r="X268">
            <v>1</v>
          </cell>
        </row>
        <row r="269">
          <cell r="B269" t="str">
            <v>8c81</v>
          </cell>
          <cell r="C269" t="str">
            <v>其他权益工具（永续债）_专项储备本期提取</v>
          </cell>
          <cell r="D269">
            <v>-1</v>
          </cell>
          <cell r="E269" t="str">
            <v>OEI</v>
          </cell>
          <cell r="G269" t="str">
            <v>本期提取</v>
          </cell>
          <cell r="I269" t="str">
            <v>8c81</v>
          </cell>
          <cell r="J269" t="str">
            <v>J</v>
          </cell>
          <cell r="M269" t="str">
            <v>一般风险准备_提取盈余公积影响权益</v>
          </cell>
          <cell r="S269" t="str">
            <v>6710a</v>
          </cell>
          <cell r="T269" t="str">
            <v>营业外收入明细项目</v>
          </cell>
          <cell r="U269" t="str">
            <v>项       目</v>
          </cell>
          <cell r="V269">
            <v>1</v>
          </cell>
          <cell r="W269">
            <v>6710</v>
          </cell>
          <cell r="X269">
            <v>1</v>
          </cell>
        </row>
        <row r="270">
          <cell r="B270" t="str">
            <v>8c82</v>
          </cell>
          <cell r="C270" t="str">
            <v>其他权益工具（永续债）_专项储备本期使用</v>
          </cell>
          <cell r="D270">
            <v>-1</v>
          </cell>
          <cell r="E270" t="str">
            <v>OEI</v>
          </cell>
          <cell r="G270" t="str">
            <v>本期使用</v>
          </cell>
          <cell r="I270" t="str">
            <v>8c82</v>
          </cell>
          <cell r="J270" t="str">
            <v>J</v>
          </cell>
          <cell r="M270" t="str">
            <v>一般风险准备_提取</v>
          </cell>
          <cell r="S270" t="str">
            <v>6710b</v>
          </cell>
          <cell r="T270" t="str">
            <v>政府补助明细列示</v>
          </cell>
          <cell r="U270" t="str">
            <v>项       目</v>
          </cell>
          <cell r="V270">
            <v>1</v>
          </cell>
          <cell r="W270">
            <v>6710</v>
          </cell>
          <cell r="X270">
            <v>2</v>
          </cell>
        </row>
        <row r="271">
          <cell r="B271" t="str">
            <v>8c96</v>
          </cell>
          <cell r="C271" t="str">
            <v>其他权益工具（永续债）_本期其他增减变动</v>
          </cell>
          <cell r="D271">
            <v>-1</v>
          </cell>
          <cell r="E271" t="str">
            <v>OEI</v>
          </cell>
          <cell r="G271" t="str">
            <v>（七）其他</v>
          </cell>
          <cell r="I271" t="str">
            <v>8c96</v>
          </cell>
          <cell r="J271" t="str">
            <v>J</v>
          </cell>
          <cell r="M271" t="str">
            <v>一般风险准备_对所有者的分配影响权益</v>
          </cell>
          <cell r="S271" t="str">
            <v>6711a</v>
          </cell>
          <cell r="T271" t="str">
            <v>营业外支出明细项目</v>
          </cell>
          <cell r="U271" t="str">
            <v>项       目</v>
          </cell>
          <cell r="V271">
            <v>1</v>
          </cell>
          <cell r="W271">
            <v>6711</v>
          </cell>
          <cell r="X271">
            <v>1</v>
          </cell>
        </row>
        <row r="272">
          <cell r="B272" t="str">
            <v>8c99</v>
          </cell>
          <cell r="C272" t="str">
            <v>其他权益工具（永续债）_本期期末余额</v>
          </cell>
          <cell r="E272" t="str">
            <v>OEI＝</v>
          </cell>
          <cell r="G272" t="str">
            <v>四、本期期末余额</v>
          </cell>
          <cell r="I272" t="str">
            <v>8c99</v>
          </cell>
          <cell r="M272" t="str">
            <v>一般风险准备_其他利润分配</v>
          </cell>
          <cell r="S272" t="str">
            <v>6791a</v>
          </cell>
          <cell r="T272" t="str">
            <v>所得税费用明细</v>
          </cell>
          <cell r="U272" t="str">
            <v>项       目</v>
          </cell>
          <cell r="V272">
            <v>1</v>
          </cell>
          <cell r="W272">
            <v>6791</v>
          </cell>
          <cell r="X272">
            <v>1</v>
          </cell>
        </row>
        <row r="273">
          <cell r="B273" t="str">
            <v>8d00</v>
          </cell>
          <cell r="C273" t="str">
            <v>其他权益工具（其他）增减变动</v>
          </cell>
          <cell r="E273" t="str">
            <v>：OEI</v>
          </cell>
          <cell r="G273" t="str">
            <v>其他权益工具（其他）增减变动</v>
          </cell>
          <cell r="I273" t="str">
            <v>8d00</v>
          </cell>
          <cell r="M273" t="str">
            <v>一般风险准备_资本公积转增资本影响权益</v>
          </cell>
          <cell r="S273" t="str">
            <v>6791b</v>
          </cell>
          <cell r="T273" t="str">
            <v>所得税费用与利润总额的关系</v>
          </cell>
          <cell r="U273" t="str">
            <v>项       目</v>
          </cell>
          <cell r="V273">
            <v>1</v>
          </cell>
          <cell r="W273">
            <v>6791</v>
          </cell>
          <cell r="X273">
            <v>2</v>
          </cell>
        </row>
        <row r="274">
          <cell r="B274" t="str">
            <v>8d01</v>
          </cell>
          <cell r="C274" t="str">
            <v>其他权益工具（其他）_上年年末余额</v>
          </cell>
          <cell r="D274">
            <v>-1</v>
          </cell>
          <cell r="E274" t="str">
            <v>OEI</v>
          </cell>
          <cell r="G274" t="str">
            <v>一、上年年末余额</v>
          </cell>
          <cell r="I274" t="str">
            <v>8d01</v>
          </cell>
          <cell r="J274" t="str">
            <v>J</v>
          </cell>
          <cell r="M274" t="str">
            <v>一般风险准备_盈余公积转增资本影响权益</v>
          </cell>
          <cell r="S274" t="str">
            <v>7046a</v>
          </cell>
          <cell r="T274" t="str">
            <v>收到的其他与经营活动有关的现金</v>
          </cell>
          <cell r="U274" t="str">
            <v>项       目</v>
          </cell>
          <cell r="V274">
            <v>1</v>
          </cell>
          <cell r="W274">
            <v>7046</v>
          </cell>
          <cell r="X274">
            <v>1</v>
          </cell>
        </row>
        <row r="275">
          <cell r="B275" t="str">
            <v>8d02</v>
          </cell>
          <cell r="C275" t="str">
            <v>其他权益工具（其他）_会计政策变更调整上年年末余额</v>
          </cell>
          <cell r="D275">
            <v>-1</v>
          </cell>
          <cell r="E275" t="str">
            <v>OEI</v>
          </cell>
          <cell r="G275" t="str">
            <v>加：会计政策变更</v>
          </cell>
          <cell r="I275" t="str">
            <v>8d02</v>
          </cell>
          <cell r="J275" t="str">
            <v>J</v>
          </cell>
          <cell r="M275" t="str">
            <v>一般风险准备_盈余公积弥补亏损影响权益</v>
          </cell>
          <cell r="S275" t="str">
            <v>7046x</v>
          </cell>
          <cell r="T275" t="str">
            <v>收到其他与经营活动有关的现金计算表</v>
          </cell>
          <cell r="U275" t="str">
            <v>项       目</v>
          </cell>
          <cell r="V275">
            <v>1</v>
          </cell>
          <cell r="W275">
            <v>7046</v>
          </cell>
          <cell r="X275">
            <v>2</v>
          </cell>
        </row>
        <row r="276">
          <cell r="B276" t="str">
            <v>8d03</v>
          </cell>
          <cell r="C276" t="str">
            <v>其他权益工具（其他）_前期差错更正调整上年年末余额</v>
          </cell>
          <cell r="D276">
            <v>-1</v>
          </cell>
          <cell r="E276" t="str">
            <v>OEI</v>
          </cell>
          <cell r="G276" t="str">
            <v>前期差错更正</v>
          </cell>
          <cell r="I276" t="str">
            <v>8d03</v>
          </cell>
          <cell r="J276" t="str">
            <v>J</v>
          </cell>
          <cell r="M276" t="str">
            <v>一般风险准备_设定受益计划变动额结转留存收益</v>
          </cell>
          <cell r="S276" t="str">
            <v>7096a</v>
          </cell>
          <cell r="T276" t="str">
            <v>支付的其他与经营活动有关的现金</v>
          </cell>
          <cell r="U276" t="str">
            <v>项       目</v>
          </cell>
          <cell r="V276">
            <v>1</v>
          </cell>
          <cell r="W276">
            <v>7096</v>
          </cell>
          <cell r="X276">
            <v>1</v>
          </cell>
        </row>
        <row r="277">
          <cell r="B277" t="str">
            <v>8d04</v>
          </cell>
          <cell r="C277" t="str">
            <v>其他权益工具（其他）_同一控制下企业合并调整上年年末余额</v>
          </cell>
          <cell r="D277">
            <v>-1</v>
          </cell>
          <cell r="E277" t="str">
            <v>※OEI</v>
          </cell>
          <cell r="G277" t="str">
            <v>同一控制下企业合并</v>
          </cell>
          <cell r="I277" t="str">
            <v>8d04</v>
          </cell>
          <cell r="J277" t="str">
            <v>J</v>
          </cell>
          <cell r="M277" t="str">
            <v>一般风险准备_所有者权益其他内部结转</v>
          </cell>
          <cell r="S277" t="str">
            <v>7096x</v>
          </cell>
          <cell r="T277" t="str">
            <v>支付其他与经营活动有关的现金计算表</v>
          </cell>
          <cell r="U277" t="str">
            <v>项       目</v>
          </cell>
          <cell r="V277">
            <v>1</v>
          </cell>
          <cell r="W277">
            <v>7096</v>
          </cell>
          <cell r="X277">
            <v>2</v>
          </cell>
        </row>
        <row r="278">
          <cell r="B278" t="str">
            <v>8d09</v>
          </cell>
          <cell r="C278" t="str">
            <v>其他权益工具（其他）_其他原因调整上年年末余额</v>
          </cell>
          <cell r="D278">
            <v>-1</v>
          </cell>
          <cell r="E278" t="str">
            <v>OEI</v>
          </cell>
          <cell r="G278" t="str">
            <v>其他</v>
          </cell>
          <cell r="I278" t="str">
            <v>8d09</v>
          </cell>
          <cell r="J278" t="str">
            <v>J</v>
          </cell>
          <cell r="M278" t="str">
            <v>一般风险准备_专项储备本期提取</v>
          </cell>
          <cell r="S278" t="str">
            <v>7146a</v>
          </cell>
          <cell r="T278" t="str">
            <v>收到的其他与投资活动有关的现金</v>
          </cell>
          <cell r="U278" t="str">
            <v>项       目</v>
          </cell>
          <cell r="V278">
            <v>1</v>
          </cell>
          <cell r="W278">
            <v>7146</v>
          </cell>
          <cell r="X278">
            <v>1</v>
          </cell>
        </row>
        <row r="279">
          <cell r="B279" t="str">
            <v>8d10</v>
          </cell>
          <cell r="C279" t="str">
            <v>其他权益工具（其他）_本年年初余额</v>
          </cell>
          <cell r="E279" t="str">
            <v>OEI＝</v>
          </cell>
          <cell r="G279" t="str">
            <v>二、本年年初余额</v>
          </cell>
          <cell r="I279" t="str">
            <v>8d10</v>
          </cell>
          <cell r="M279" t="str">
            <v>一般风险准备_专项储备本期使用</v>
          </cell>
          <cell r="S279" t="str">
            <v>7196a</v>
          </cell>
          <cell r="T279" t="str">
            <v>支付的其他与投资活动有关的现金</v>
          </cell>
          <cell r="U279" t="str">
            <v>项       目</v>
          </cell>
          <cell r="V279">
            <v>1</v>
          </cell>
          <cell r="W279">
            <v>7196</v>
          </cell>
          <cell r="X279">
            <v>1</v>
          </cell>
        </row>
        <row r="280">
          <cell r="B280" t="str">
            <v>8d90</v>
          </cell>
          <cell r="C280" t="str">
            <v>其他权益工具（其他）_本期增减变动金额</v>
          </cell>
          <cell r="E280" t="str">
            <v>OEI＝</v>
          </cell>
          <cell r="G280" t="str">
            <v>三、本期增减变动金额（减少以“-”号填列）</v>
          </cell>
          <cell r="I280" t="str">
            <v>8d90</v>
          </cell>
          <cell r="M280" t="str">
            <v>一般风险准备_本期其他增减变动</v>
          </cell>
          <cell r="S280" t="str">
            <v>7246a</v>
          </cell>
          <cell r="T280" t="str">
            <v>收到的其他与筹资活动有关的现金</v>
          </cell>
          <cell r="U280" t="str">
            <v>项       目</v>
          </cell>
          <cell r="V280">
            <v>1</v>
          </cell>
          <cell r="W280">
            <v>7246</v>
          </cell>
          <cell r="X280">
            <v>1</v>
          </cell>
        </row>
        <row r="281">
          <cell r="B281" t="str">
            <v>8d40</v>
          </cell>
          <cell r="C281" t="str">
            <v>其他权益工具（其他）_综合收益总额增加权益</v>
          </cell>
          <cell r="D281">
            <v>-1</v>
          </cell>
          <cell r="E281" t="str">
            <v>OEI</v>
          </cell>
          <cell r="G281" t="str">
            <v>（一）综合收益总额</v>
          </cell>
          <cell r="I281" t="str">
            <v>8d40</v>
          </cell>
          <cell r="J281" t="str">
            <v>J</v>
          </cell>
          <cell r="M281" t="str">
            <v>未分配利润_上年年末余额</v>
          </cell>
          <cell r="S281" t="str">
            <v>7296a</v>
          </cell>
          <cell r="T281" t="str">
            <v>支付的其他与筹资活动有关的现金</v>
          </cell>
          <cell r="U281" t="str">
            <v>项       目</v>
          </cell>
          <cell r="V281">
            <v>1</v>
          </cell>
          <cell r="W281">
            <v>7296</v>
          </cell>
          <cell r="X281">
            <v>1</v>
          </cell>
        </row>
        <row r="282">
          <cell r="B282" t="str">
            <v>8d50</v>
          </cell>
          <cell r="C282" t="str">
            <v>其他权益工具（其他）_所有者投入和减少资本影响权益</v>
          </cell>
          <cell r="E282" t="str">
            <v>OEI＝</v>
          </cell>
          <cell r="G282" t="str">
            <v>（二）所有者投入和减少资本</v>
          </cell>
          <cell r="I282" t="str">
            <v>8d50</v>
          </cell>
          <cell r="M282" t="str">
            <v>未分配利润_会计政策变更调整上年年末余额</v>
          </cell>
          <cell r="S282" t="str">
            <v>7001x</v>
          </cell>
          <cell r="T282" t="str">
            <v>销售商品提供劳务收到的现金计算表</v>
          </cell>
          <cell r="U282" t="str">
            <v>项       目</v>
          </cell>
          <cell r="V282">
            <v>1</v>
          </cell>
          <cell r="W282">
            <v>7001</v>
          </cell>
          <cell r="X282">
            <v>2</v>
          </cell>
        </row>
        <row r="283">
          <cell r="B283" t="str">
            <v>8d51</v>
          </cell>
          <cell r="C283" t="str">
            <v>其他权益工具（其他）_所有者投入资本</v>
          </cell>
          <cell r="D283">
            <v>-1</v>
          </cell>
          <cell r="E283" t="str">
            <v>OEI</v>
          </cell>
          <cell r="G283" t="str">
            <v>所有者投入资本</v>
          </cell>
          <cell r="I283" t="str">
            <v>8d51</v>
          </cell>
          <cell r="J283" t="str">
            <v>J</v>
          </cell>
          <cell r="M283" t="str">
            <v>未分配利润_前期差错更正调整上年年末余额</v>
          </cell>
          <cell r="S283" t="str">
            <v>7051x</v>
          </cell>
          <cell r="T283" t="str">
            <v>购买商品接受劳务支付的现金计算表</v>
          </cell>
          <cell r="U283" t="str">
            <v>项       目</v>
          </cell>
          <cell r="V283">
            <v>1</v>
          </cell>
          <cell r="W283">
            <v>7051</v>
          </cell>
          <cell r="X283">
            <v>2</v>
          </cell>
        </row>
        <row r="284">
          <cell r="B284" t="str">
            <v>8d52</v>
          </cell>
          <cell r="C284" t="str">
            <v>其他权益工具（其他）_股份支付</v>
          </cell>
          <cell r="D284">
            <v>-1</v>
          </cell>
          <cell r="E284" t="str">
            <v>OEI</v>
          </cell>
          <cell r="G284" t="str">
            <v>股份支付计入所有者权益的金额</v>
          </cell>
          <cell r="I284" t="str">
            <v>8d52</v>
          </cell>
          <cell r="J284" t="str">
            <v>J</v>
          </cell>
          <cell r="M284" t="str">
            <v>未分配利润_同一控制下企业合并调整上年年末余额</v>
          </cell>
          <cell r="S284" t="str">
            <v>7061x</v>
          </cell>
          <cell r="T284" t="str">
            <v>支付给职工以及为职工支付的现金计算表</v>
          </cell>
          <cell r="U284" t="str">
            <v>项       目</v>
          </cell>
          <cell r="V284">
            <v>1</v>
          </cell>
          <cell r="W284">
            <v>7061</v>
          </cell>
          <cell r="X284">
            <v>2</v>
          </cell>
        </row>
        <row r="285">
          <cell r="B285" t="str">
            <v>8d53</v>
          </cell>
          <cell r="C285" t="str">
            <v>其他权益工具（其他）_其他权益工具持有者投入资本</v>
          </cell>
          <cell r="D285">
            <v>-1</v>
          </cell>
          <cell r="E285" t="str">
            <v>OEI</v>
          </cell>
          <cell r="G285" t="str">
            <v>其他权益工具持有者投入资本</v>
          </cell>
          <cell r="I285" t="str">
            <v>8d53</v>
          </cell>
          <cell r="J285" t="str">
            <v>J</v>
          </cell>
          <cell r="M285" t="str">
            <v>未分配利润_其他原因调整上年年末余额</v>
          </cell>
          <cell r="S285" t="str">
            <v>7071x</v>
          </cell>
          <cell r="T285" t="str">
            <v>支付的各项税费计算表</v>
          </cell>
          <cell r="U285" t="str">
            <v>项       目</v>
          </cell>
          <cell r="V285">
            <v>1</v>
          </cell>
          <cell r="W285">
            <v>7071</v>
          </cell>
          <cell r="X285">
            <v>2</v>
          </cell>
        </row>
        <row r="286">
          <cell r="B286" t="str">
            <v>8d56</v>
          </cell>
          <cell r="C286" t="str">
            <v>其他权益工具（其他）_所有者其他投入和减少资本</v>
          </cell>
          <cell r="D286">
            <v>-1</v>
          </cell>
          <cell r="E286" t="str">
            <v>OEI</v>
          </cell>
          <cell r="G286" t="str">
            <v>其他</v>
          </cell>
          <cell r="I286" t="str">
            <v>8d56</v>
          </cell>
          <cell r="J286" t="str">
            <v>J</v>
          </cell>
          <cell r="M286" t="str">
            <v>未分配利润_所有者投入资本增加权益</v>
          </cell>
          <cell r="S286" t="str">
            <v>7101x</v>
          </cell>
          <cell r="T286" t="str">
            <v>收回投资收到的现金计算表</v>
          </cell>
          <cell r="U286" t="str">
            <v>项       目</v>
          </cell>
          <cell r="V286">
            <v>1</v>
          </cell>
          <cell r="W286">
            <v>7101</v>
          </cell>
          <cell r="X286">
            <v>2</v>
          </cell>
        </row>
        <row r="287">
          <cell r="B287" t="str">
            <v>8d60</v>
          </cell>
          <cell r="C287" t="str">
            <v>其他权益工具（其他）_利润分配影响权益</v>
          </cell>
          <cell r="E287" t="str">
            <v>OEI＝</v>
          </cell>
          <cell r="G287" t="str">
            <v>（三）利润分配</v>
          </cell>
          <cell r="I287" t="str">
            <v>8d60</v>
          </cell>
          <cell r="M287" t="str">
            <v>未分配利润_股份支付计入所有者权益的金额</v>
          </cell>
          <cell r="S287" t="str">
            <v>7105x</v>
          </cell>
          <cell r="T287" t="str">
            <v>取得投资收益收到的现金计算表</v>
          </cell>
          <cell r="U287" t="str">
            <v>项       目</v>
          </cell>
          <cell r="V287">
            <v>1</v>
          </cell>
          <cell r="W287">
            <v>7105</v>
          </cell>
          <cell r="X287">
            <v>2</v>
          </cell>
        </row>
        <row r="288">
          <cell r="B288" t="str">
            <v>8d61</v>
          </cell>
          <cell r="C288" t="str">
            <v>其他权益工具（其他）_提取盈余公积</v>
          </cell>
          <cell r="D288">
            <v>-1</v>
          </cell>
          <cell r="E288" t="str">
            <v>OEI</v>
          </cell>
          <cell r="G288" t="str">
            <v>提取盈余公积</v>
          </cell>
          <cell r="I288" t="str">
            <v>8d61</v>
          </cell>
          <cell r="J288" t="str">
            <v>J</v>
          </cell>
          <cell r="M288" t="str">
            <v>未分配利润_其他权益工具持有者投入资本</v>
          </cell>
          <cell r="S288" t="str">
            <v>7111x</v>
          </cell>
          <cell r="T288" t="str">
            <v>处置固定资产无形资产长期资产收回的现金计算表</v>
          </cell>
          <cell r="U288" t="str">
            <v>项       目</v>
          </cell>
          <cell r="V288">
            <v>1</v>
          </cell>
          <cell r="W288">
            <v>7111</v>
          </cell>
          <cell r="X288">
            <v>2</v>
          </cell>
        </row>
        <row r="289">
          <cell r="B289" t="str">
            <v>8d62</v>
          </cell>
          <cell r="C289" t="str">
            <v>其他权益工具（其他）_提取一般风险准备</v>
          </cell>
          <cell r="D289">
            <v>-1</v>
          </cell>
          <cell r="E289" t="str">
            <v>OEI</v>
          </cell>
          <cell r="G289" t="str">
            <v>提取一般风险准备</v>
          </cell>
          <cell r="I289" t="str">
            <v>8d62</v>
          </cell>
          <cell r="J289" t="str">
            <v>J</v>
          </cell>
          <cell r="M289" t="str">
            <v>未分配利润_所有者其他投入和减少资本</v>
          </cell>
          <cell r="S289" t="str">
            <v>7151x</v>
          </cell>
          <cell r="T289" t="str">
            <v>购置固定资产无形资产长期资产支付的现金计算表</v>
          </cell>
          <cell r="U289" t="str">
            <v>项       目</v>
          </cell>
          <cell r="V289">
            <v>1</v>
          </cell>
          <cell r="W289">
            <v>7151</v>
          </cell>
          <cell r="X289">
            <v>2</v>
          </cell>
        </row>
        <row r="290">
          <cell r="B290" t="str">
            <v>8d63</v>
          </cell>
          <cell r="C290" t="str">
            <v>其他权益工具（其他）_对所有者的分配</v>
          </cell>
          <cell r="D290">
            <v>-1</v>
          </cell>
          <cell r="E290" t="str">
            <v>OEI</v>
          </cell>
          <cell r="G290" t="str">
            <v>对所有者（或股东）的分配</v>
          </cell>
          <cell r="I290" t="str">
            <v>8d63</v>
          </cell>
          <cell r="J290" t="str">
            <v>J</v>
          </cell>
          <cell r="M290" t="str">
            <v>未分配利润_提取盈余公积</v>
          </cell>
          <cell r="S290" t="str">
            <v>7161x</v>
          </cell>
          <cell r="T290" t="str">
            <v>投资支付的现金计算表</v>
          </cell>
          <cell r="U290" t="str">
            <v>项       目</v>
          </cell>
          <cell r="V290">
            <v>1</v>
          </cell>
          <cell r="W290">
            <v>7161</v>
          </cell>
          <cell r="X290">
            <v>2</v>
          </cell>
        </row>
        <row r="291">
          <cell r="B291" t="str">
            <v>8d66</v>
          </cell>
          <cell r="C291" t="str">
            <v>其他权益工具（其他）_其他利润分配</v>
          </cell>
          <cell r="D291">
            <v>-1</v>
          </cell>
          <cell r="E291" t="str">
            <v>OEI</v>
          </cell>
          <cell r="G291" t="str">
            <v>其他</v>
          </cell>
          <cell r="I291" t="str">
            <v>8d66</v>
          </cell>
          <cell r="J291" t="str">
            <v>J</v>
          </cell>
          <cell r="M291" t="str">
            <v>未分配利润_提取一般风险准备</v>
          </cell>
          <cell r="S291" t="str">
            <v>7211x</v>
          </cell>
          <cell r="T291" t="str">
            <v>取得借款收到的现金计算表</v>
          </cell>
          <cell r="U291" t="str">
            <v>项       目</v>
          </cell>
          <cell r="V291">
            <v>1</v>
          </cell>
          <cell r="W291">
            <v>7211</v>
          </cell>
          <cell r="X291">
            <v>2</v>
          </cell>
        </row>
        <row r="292">
          <cell r="B292" t="str">
            <v>8d70</v>
          </cell>
          <cell r="C292" t="str">
            <v>其他权益工具（其他）_所有者权益内部结转</v>
          </cell>
          <cell r="E292" t="str">
            <v>OEI＝</v>
          </cell>
          <cell r="G292" t="str">
            <v>（四）所有者权益内部结转</v>
          </cell>
          <cell r="I292" t="str">
            <v>8d70</v>
          </cell>
          <cell r="M292" t="str">
            <v>未分配利润_对所有者的分配</v>
          </cell>
          <cell r="S292" t="str">
            <v>7251x</v>
          </cell>
          <cell r="T292" t="str">
            <v>偿还债务支付的现金计算表</v>
          </cell>
          <cell r="U292" t="str">
            <v>项       目</v>
          </cell>
          <cell r="V292">
            <v>1</v>
          </cell>
          <cell r="W292">
            <v>7251</v>
          </cell>
          <cell r="X292">
            <v>2</v>
          </cell>
        </row>
        <row r="293">
          <cell r="B293" t="str">
            <v>8d71</v>
          </cell>
          <cell r="C293" t="str">
            <v>其他权益工具（其他）_资本公积转增资本</v>
          </cell>
          <cell r="D293">
            <v>-1</v>
          </cell>
          <cell r="E293" t="str">
            <v>OEI</v>
          </cell>
          <cell r="G293" t="str">
            <v>资本公积转增资本（或股本）</v>
          </cell>
          <cell r="I293" t="str">
            <v>8d71</v>
          </cell>
          <cell r="J293" t="str">
            <v>J</v>
          </cell>
          <cell r="M293" t="str">
            <v>未分配利润_其他利润分配</v>
          </cell>
          <cell r="S293" t="str">
            <v>7261x</v>
          </cell>
          <cell r="T293" t="str">
            <v>分配利润偿付利息支付的现金计算表</v>
          </cell>
          <cell r="U293" t="str">
            <v>项       目</v>
          </cell>
          <cell r="V293">
            <v>1</v>
          </cell>
          <cell r="W293">
            <v>7261</v>
          </cell>
          <cell r="X293">
            <v>2</v>
          </cell>
        </row>
        <row r="294">
          <cell r="B294" t="str">
            <v>8d72</v>
          </cell>
          <cell r="C294" t="str">
            <v>其他权益工具（其他）_盈余公积转增资本</v>
          </cell>
          <cell r="D294">
            <v>-1</v>
          </cell>
          <cell r="E294" t="str">
            <v>OEI</v>
          </cell>
          <cell r="G294" t="str">
            <v>盈余公积转增资本（或股本）</v>
          </cell>
          <cell r="I294" t="str">
            <v>8d72</v>
          </cell>
          <cell r="J294" t="str">
            <v>J</v>
          </cell>
          <cell r="M294" t="str">
            <v>未分配利润_资本公积转增资本影响权益</v>
          </cell>
          <cell r="S294" t="str">
            <v>7500a</v>
          </cell>
          <cell r="T294" t="str">
            <v>将净利润调节为经营活动现金流量</v>
          </cell>
          <cell r="U294" t="str">
            <v>补充资料</v>
          </cell>
          <cell r="V294">
            <v>-2</v>
          </cell>
          <cell r="X294">
            <v>2</v>
          </cell>
        </row>
        <row r="295">
          <cell r="B295" t="str">
            <v>8d73</v>
          </cell>
          <cell r="C295" t="str">
            <v>其他权益工具（其他）_盈余公积弥补亏损</v>
          </cell>
          <cell r="D295">
            <v>-1</v>
          </cell>
          <cell r="E295" t="str">
            <v>OEI</v>
          </cell>
          <cell r="G295" t="str">
            <v>盈余公积弥补亏损</v>
          </cell>
          <cell r="I295" t="str">
            <v>8d73</v>
          </cell>
          <cell r="J295" t="str">
            <v>J</v>
          </cell>
          <cell r="M295" t="str">
            <v>未分配利润_盈余公积转增资本影响权益</v>
          </cell>
          <cell r="S295" t="str">
            <v>7500b</v>
          </cell>
          <cell r="T295" t="str">
            <v>不涉及现金收支的重大投资和筹资活动</v>
          </cell>
          <cell r="U295" t="str">
            <v>补充资料</v>
          </cell>
          <cell r="V295">
            <v>-2</v>
          </cell>
          <cell r="X295">
            <v>2</v>
          </cell>
        </row>
        <row r="296">
          <cell r="B296" t="str">
            <v>8d75</v>
          </cell>
          <cell r="C296" t="str">
            <v>其他权益工具（其他）_设定受益计划变动额结转留存收益</v>
          </cell>
          <cell r="D296">
            <v>-1</v>
          </cell>
          <cell r="E296" t="str">
            <v>OEI</v>
          </cell>
          <cell r="G296" t="str">
            <v>设定受益计划变动额结转留存收益</v>
          </cell>
          <cell r="I296" t="str">
            <v>8d75</v>
          </cell>
          <cell r="J296" t="str">
            <v>J</v>
          </cell>
          <cell r="M296" t="str">
            <v>未分配利润_盈余公积弥补亏损</v>
          </cell>
          <cell r="S296" t="str">
            <v>7500c</v>
          </cell>
          <cell r="T296" t="str">
            <v>现金及现金等价物净变动情况</v>
          </cell>
          <cell r="U296" t="str">
            <v>补充资料</v>
          </cell>
          <cell r="V296">
            <v>-2</v>
          </cell>
          <cell r="X296">
            <v>2</v>
          </cell>
        </row>
        <row r="297">
          <cell r="B297" t="str">
            <v>8d76</v>
          </cell>
          <cell r="C297" t="str">
            <v>其他权益工具（其他）_所有者权益其他内部结转</v>
          </cell>
          <cell r="D297">
            <v>-1</v>
          </cell>
          <cell r="E297" t="str">
            <v>OEI</v>
          </cell>
          <cell r="G297" t="str">
            <v>其他</v>
          </cell>
          <cell r="I297" t="str">
            <v>8d76</v>
          </cell>
          <cell r="J297" t="str">
            <v>J</v>
          </cell>
          <cell r="M297" t="str">
            <v>未分配利润_设定受益计划变动额结转留存收益</v>
          </cell>
          <cell r="S297" t="str">
            <v>7500g</v>
          </cell>
          <cell r="T297" t="str">
            <v xml:space="preserve">本期支付的取得子公司的现金净额 </v>
          </cell>
          <cell r="U297" t="str">
            <v>项       目</v>
          </cell>
          <cell r="V297">
            <v>-2</v>
          </cell>
          <cell r="X297">
            <v>2</v>
          </cell>
        </row>
        <row r="298">
          <cell r="B298" t="str">
            <v>8d80</v>
          </cell>
          <cell r="C298" t="str">
            <v>其他权益工具（其他）_专项储备影响权益</v>
          </cell>
          <cell r="E298" t="str">
            <v>OEI＝</v>
          </cell>
          <cell r="G298" t="str">
            <v>（五）专项储备</v>
          </cell>
          <cell r="I298" t="str">
            <v>8d80</v>
          </cell>
          <cell r="M298" t="str">
            <v>未分配利润_所有者权益其他内部结转</v>
          </cell>
          <cell r="S298" t="str">
            <v>7500h</v>
          </cell>
          <cell r="T298" t="str">
            <v xml:space="preserve">本期收到的处置子公司的现金净额 </v>
          </cell>
          <cell r="U298" t="str">
            <v>项       目</v>
          </cell>
          <cell r="V298">
            <v>-2</v>
          </cell>
          <cell r="X298">
            <v>2</v>
          </cell>
        </row>
        <row r="299">
          <cell r="B299" t="str">
            <v>8d81</v>
          </cell>
          <cell r="C299" t="str">
            <v>其他权益工具（其他）_专项储备本期提取</v>
          </cell>
          <cell r="D299">
            <v>-1</v>
          </cell>
          <cell r="E299" t="str">
            <v>OEI</v>
          </cell>
          <cell r="G299" t="str">
            <v>本期提取</v>
          </cell>
          <cell r="I299" t="str">
            <v>8d81</v>
          </cell>
          <cell r="J299" t="str">
            <v>J</v>
          </cell>
          <cell r="M299" t="str">
            <v>未分配利润_专项储备本期提取</v>
          </cell>
          <cell r="S299" t="str">
            <v>7500e</v>
          </cell>
          <cell r="T299" t="str">
            <v>现金及现金等价物的构成</v>
          </cell>
          <cell r="U299" t="str">
            <v>项       目</v>
          </cell>
          <cell r="V299">
            <v>-2</v>
          </cell>
          <cell r="X299">
            <v>2</v>
          </cell>
        </row>
        <row r="300">
          <cell r="B300" t="str">
            <v>8d82</v>
          </cell>
          <cell r="C300" t="str">
            <v>其他权益工具（其他）_专项储备本期使用</v>
          </cell>
          <cell r="D300">
            <v>-1</v>
          </cell>
          <cell r="E300" t="str">
            <v>OEI</v>
          </cell>
          <cell r="G300" t="str">
            <v>本期使用</v>
          </cell>
          <cell r="I300" t="str">
            <v>8d82</v>
          </cell>
          <cell r="J300" t="str">
            <v>J</v>
          </cell>
          <cell r="M300" t="str">
            <v>未分配利润_专项储备本期使用</v>
          </cell>
          <cell r="S300" t="str">
            <v>7500f</v>
          </cell>
          <cell r="T300" t="str">
            <v>货币资金与现金及现金等价物的调节</v>
          </cell>
          <cell r="U300" t="str">
            <v>项       目</v>
          </cell>
          <cell r="V300">
            <v>-2</v>
          </cell>
          <cell r="X300">
            <v>2</v>
          </cell>
        </row>
        <row r="301">
          <cell r="B301" t="str">
            <v>8d96</v>
          </cell>
          <cell r="C301" t="str">
            <v>其他权益工具（其他）_本期其他增减变动</v>
          </cell>
          <cell r="D301">
            <v>-1</v>
          </cell>
          <cell r="E301" t="str">
            <v>OEI</v>
          </cell>
          <cell r="G301" t="str">
            <v>（七）其他</v>
          </cell>
          <cell r="I301" t="str">
            <v>8d96</v>
          </cell>
          <cell r="J301" t="str">
            <v>J</v>
          </cell>
          <cell r="M301" t="str">
            <v>未分配利润_本期其他增减变动</v>
          </cell>
          <cell r="S301" t="str">
            <v>7500d</v>
          </cell>
          <cell r="T301" t="str">
            <v>本期取得或处置子公司及其他营业单位的有关信息</v>
          </cell>
          <cell r="U301" t="str">
            <v>项       目</v>
          </cell>
          <cell r="V301">
            <v>-2</v>
          </cell>
          <cell r="X301">
            <v>2</v>
          </cell>
        </row>
        <row r="302">
          <cell r="B302" t="str">
            <v>8d99</v>
          </cell>
          <cell r="C302" t="str">
            <v>其他权益工具（其他）_本期期末余额</v>
          </cell>
          <cell r="E302" t="str">
            <v>OEI＝</v>
          </cell>
          <cell r="G302" t="str">
            <v>四、本期期末余额</v>
          </cell>
          <cell r="I302" t="str">
            <v>8d99</v>
          </cell>
          <cell r="M302" t="str">
            <v>少数股东权益_上年年末余额</v>
          </cell>
          <cell r="S302" t="str">
            <v>7503a</v>
          </cell>
          <cell r="T302" t="str">
            <v>将净利润调节为经营活动现金流量：资产减值准备金额</v>
          </cell>
          <cell r="U302" t="str">
            <v>项       目</v>
          </cell>
          <cell r="V302">
            <v>1</v>
          </cell>
          <cell r="X302">
            <v>9</v>
          </cell>
        </row>
        <row r="303">
          <cell r="B303" t="str">
            <v>8g00</v>
          </cell>
          <cell r="C303" t="str">
            <v>其他综合收益增减变动</v>
          </cell>
          <cell r="E303" t="str">
            <v>：</v>
          </cell>
          <cell r="G303" t="str">
            <v>其他综合收益增减变动</v>
          </cell>
          <cell r="I303" t="str">
            <v>8g00</v>
          </cell>
          <cell r="M303" t="str">
            <v>少数股东权益_会计政策变更调整上年年末余额</v>
          </cell>
          <cell r="S303" t="str">
            <v>7505a</v>
          </cell>
          <cell r="T303" t="str">
            <v>将净利润调节为经营活动现金流量：固定资产折旧、油气资产折耗、生产性生物资产折旧</v>
          </cell>
          <cell r="U303" t="str">
            <v>项       目</v>
          </cell>
          <cell r="V303">
            <v>1</v>
          </cell>
          <cell r="X303">
            <v>9</v>
          </cell>
        </row>
        <row r="304">
          <cell r="B304" t="str">
            <v>8g01</v>
          </cell>
          <cell r="C304" t="str">
            <v>其他综合收益_上年年末余额</v>
          </cell>
          <cell r="D304">
            <v>-1</v>
          </cell>
          <cell r="G304" t="str">
            <v>一、上年年末余额</v>
          </cell>
          <cell r="I304" t="str">
            <v>8g01</v>
          </cell>
          <cell r="J304" t="str">
            <v>J</v>
          </cell>
          <cell r="M304" t="str">
            <v>少数股东权益_前期差错更正调整上年年末余额</v>
          </cell>
          <cell r="S304" t="str">
            <v>7506a</v>
          </cell>
          <cell r="T304" t="str">
            <v>将净利润调节为经营活动现金流量：无形资产摊销</v>
          </cell>
          <cell r="U304" t="str">
            <v>项       目</v>
          </cell>
          <cell r="V304">
            <v>1</v>
          </cell>
          <cell r="X304">
            <v>9</v>
          </cell>
        </row>
        <row r="305">
          <cell r="B305" t="str">
            <v>8g02</v>
          </cell>
          <cell r="C305" t="str">
            <v>其他综合收益_会计政策变更调整上年年末余额</v>
          </cell>
          <cell r="D305">
            <v>-1</v>
          </cell>
          <cell r="G305" t="str">
            <v>加：会计政策变更</v>
          </cell>
          <cell r="I305" t="str">
            <v>8g02</v>
          </cell>
          <cell r="J305" t="str">
            <v>J</v>
          </cell>
          <cell r="M305" t="str">
            <v>少数股东权益_同一控制下企业合并调整上年年末余额</v>
          </cell>
          <cell r="S305" t="str">
            <v>7507a</v>
          </cell>
          <cell r="T305" t="str">
            <v>将净利润调节为经营活动现金流量：长期待摊费用摊销</v>
          </cell>
          <cell r="U305" t="str">
            <v>项       目</v>
          </cell>
          <cell r="V305">
            <v>1</v>
          </cell>
          <cell r="X305">
            <v>9</v>
          </cell>
        </row>
        <row r="306">
          <cell r="B306" t="str">
            <v>8g03</v>
          </cell>
          <cell r="C306" t="str">
            <v>其他综合收益_前期差错更正调整上年年末余额</v>
          </cell>
          <cell r="D306">
            <v>-1</v>
          </cell>
          <cell r="G306" t="str">
            <v>前期差错更正</v>
          </cell>
          <cell r="I306" t="str">
            <v>8g03</v>
          </cell>
          <cell r="J306" t="str">
            <v>J</v>
          </cell>
          <cell r="M306" t="str">
            <v>少数股东权益_其他原因调整上年年末余额</v>
          </cell>
          <cell r="S306" t="str">
            <v>7508a</v>
          </cell>
          <cell r="T306" t="str">
            <v>将净利润调节为经营活动现金流量：处置固定资产、无形资产和其他长期资产的损失</v>
          </cell>
          <cell r="U306" t="str">
            <v>项       目</v>
          </cell>
          <cell r="V306">
            <v>1</v>
          </cell>
          <cell r="X306">
            <v>9</v>
          </cell>
        </row>
        <row r="307">
          <cell r="B307" t="str">
            <v>8g04</v>
          </cell>
          <cell r="C307" t="str">
            <v>其他综合收益_同一控制下企业合并调整上年年末余额</v>
          </cell>
          <cell r="D307">
            <v>-1</v>
          </cell>
          <cell r="E307" t="str">
            <v>※</v>
          </cell>
          <cell r="G307" t="str">
            <v>同一控制下企业合并</v>
          </cell>
          <cell r="I307" t="str">
            <v>8g04</v>
          </cell>
          <cell r="J307" t="str">
            <v>J</v>
          </cell>
          <cell r="M307" t="str">
            <v>少数股东权益_净利润</v>
          </cell>
          <cell r="S307" t="str">
            <v>7509a</v>
          </cell>
          <cell r="T307" t="str">
            <v>将净利润调节为经营活动现金流量：固定资产报废损失</v>
          </cell>
          <cell r="U307" t="str">
            <v>项       目</v>
          </cell>
          <cell r="V307">
            <v>1</v>
          </cell>
          <cell r="X307">
            <v>9</v>
          </cell>
        </row>
        <row r="308">
          <cell r="B308" t="str">
            <v>8g09</v>
          </cell>
          <cell r="C308" t="str">
            <v>其他综合收益_其他原因调整上年年末余额</v>
          </cell>
          <cell r="D308">
            <v>-1</v>
          </cell>
          <cell r="G308" t="str">
            <v>其他</v>
          </cell>
          <cell r="I308" t="str">
            <v>8g09</v>
          </cell>
          <cell r="J308" t="str">
            <v>J</v>
          </cell>
          <cell r="M308" t="str">
            <v>少数股东权益_其他综合收益</v>
          </cell>
          <cell r="S308" t="str">
            <v>7510a</v>
          </cell>
          <cell r="T308" t="str">
            <v>将净利润调节为经营活动现金流量：公允价值变动损失</v>
          </cell>
          <cell r="U308" t="str">
            <v>项       目</v>
          </cell>
          <cell r="V308">
            <v>1</v>
          </cell>
          <cell r="X308">
            <v>9</v>
          </cell>
        </row>
        <row r="309">
          <cell r="B309" t="str">
            <v>8g10</v>
          </cell>
          <cell r="C309" t="str">
            <v>其他综合收益_本年年初余额</v>
          </cell>
          <cell r="E309" t="str">
            <v>＝</v>
          </cell>
          <cell r="G309" t="str">
            <v>二、本年年初余额</v>
          </cell>
          <cell r="I309" t="str">
            <v>8g10</v>
          </cell>
          <cell r="M309" t="str">
            <v>少数股东权益_综合收益总额增加权益</v>
          </cell>
          <cell r="S309" t="str">
            <v>7511a</v>
          </cell>
          <cell r="T309" t="str">
            <v>将净利润调节为经营活动现金流量：财务费用金额</v>
          </cell>
          <cell r="U309" t="str">
            <v>项       目</v>
          </cell>
          <cell r="V309">
            <v>1</v>
          </cell>
          <cell r="X309">
            <v>9</v>
          </cell>
        </row>
        <row r="310">
          <cell r="B310" t="str">
            <v>8g90</v>
          </cell>
          <cell r="C310" t="str">
            <v>其他综合收益_本期增减变动金额</v>
          </cell>
          <cell r="E310" t="str">
            <v>＝</v>
          </cell>
          <cell r="G310" t="str">
            <v>三、本期增减变动金额（减少以“-”号填列）</v>
          </cell>
          <cell r="I310" t="str">
            <v>8g90</v>
          </cell>
          <cell r="M310" t="str">
            <v>少数股东权益_所有者投入资本</v>
          </cell>
          <cell r="S310" t="str">
            <v>7512a</v>
          </cell>
          <cell r="T310" t="str">
            <v>将净利润调节为经营活动现金流量：投资损失</v>
          </cell>
          <cell r="U310" t="str">
            <v>项       目</v>
          </cell>
          <cell r="V310">
            <v>1</v>
          </cell>
          <cell r="X310">
            <v>9</v>
          </cell>
        </row>
        <row r="311">
          <cell r="B311" t="str">
            <v>8g40</v>
          </cell>
          <cell r="C311" t="str">
            <v>其他综合收益_综合收益总额增加权益</v>
          </cell>
          <cell r="D311">
            <v>-1</v>
          </cell>
          <cell r="G311" t="str">
            <v>（一）综合收益总额</v>
          </cell>
          <cell r="I311" t="str">
            <v>8g40</v>
          </cell>
          <cell r="M311" t="str">
            <v>少数股东权益_股份支付</v>
          </cell>
          <cell r="S311" t="str">
            <v>7515a</v>
          </cell>
          <cell r="T311" t="str">
            <v>将净利润调节为经营活动现金流量：递延所得税资产减少</v>
          </cell>
          <cell r="U311" t="str">
            <v>项       目</v>
          </cell>
          <cell r="V311">
            <v>1</v>
          </cell>
          <cell r="X311">
            <v>9</v>
          </cell>
        </row>
        <row r="312">
          <cell r="B312" t="str">
            <v>8g50</v>
          </cell>
          <cell r="C312" t="str">
            <v>其他综合收益_所有者投入和减少资本影响权益</v>
          </cell>
          <cell r="E312" t="str">
            <v>＝</v>
          </cell>
          <cell r="G312" t="str">
            <v>（二）所有者投入和减少资本</v>
          </cell>
          <cell r="I312" t="str">
            <v>8g50</v>
          </cell>
          <cell r="M312" t="str">
            <v>少数股东权益_其他权益工具持有者投入资本</v>
          </cell>
          <cell r="S312" t="str">
            <v>7516a</v>
          </cell>
          <cell r="T312" t="str">
            <v>将净利润调节为经营活动现金流量：递延所得税负债增加</v>
          </cell>
          <cell r="U312" t="str">
            <v>项       目</v>
          </cell>
          <cell r="V312">
            <v>1</v>
          </cell>
          <cell r="X312">
            <v>9</v>
          </cell>
        </row>
        <row r="313">
          <cell r="B313" t="str">
            <v>8g51</v>
          </cell>
          <cell r="C313" t="str">
            <v>其他综合收益_所有者投入资本</v>
          </cell>
          <cell r="D313">
            <v>-1</v>
          </cell>
          <cell r="G313" t="str">
            <v>所有者投入资本</v>
          </cell>
          <cell r="I313" t="str">
            <v>8g51</v>
          </cell>
          <cell r="J313" t="str">
            <v>J</v>
          </cell>
          <cell r="M313" t="str">
            <v>少数股东权益_所有者其他投入和减少资本</v>
          </cell>
          <cell r="S313" t="str">
            <v>7517a</v>
          </cell>
          <cell r="T313" t="str">
            <v>将净利润调节为经营活动现金流量：存货的减少</v>
          </cell>
          <cell r="U313" t="str">
            <v>项       目</v>
          </cell>
          <cell r="V313">
            <v>1</v>
          </cell>
          <cell r="X313">
            <v>9</v>
          </cell>
        </row>
        <row r="314">
          <cell r="B314" t="str">
            <v>8g52</v>
          </cell>
          <cell r="C314" t="str">
            <v>其他综合收益_股份支付</v>
          </cell>
          <cell r="D314">
            <v>-1</v>
          </cell>
          <cell r="G314" t="str">
            <v>股份支付计入所有者权益的金额</v>
          </cell>
          <cell r="I314" t="str">
            <v>8g52</v>
          </cell>
          <cell r="J314" t="str">
            <v>J</v>
          </cell>
          <cell r="M314" t="str">
            <v>少数股东权益_提取盈余公积影响权益</v>
          </cell>
          <cell r="S314" t="str">
            <v>7518a</v>
          </cell>
          <cell r="T314" t="str">
            <v>将净利润调节为经营活动现金流量：经营性应收项目的减少</v>
          </cell>
          <cell r="U314" t="str">
            <v>项       目</v>
          </cell>
          <cell r="V314">
            <v>1</v>
          </cell>
          <cell r="X314">
            <v>9</v>
          </cell>
        </row>
        <row r="315">
          <cell r="B315" t="str">
            <v>8g53</v>
          </cell>
          <cell r="C315" t="str">
            <v>其他综合收益_其他权益工具持有者投入资本</v>
          </cell>
          <cell r="D315">
            <v>-1</v>
          </cell>
          <cell r="E315" t="str">
            <v>OEI</v>
          </cell>
          <cell r="G315" t="str">
            <v>其他权益工具持有者投入资本</v>
          </cell>
          <cell r="I315" t="str">
            <v>8g53</v>
          </cell>
          <cell r="J315" t="str">
            <v>J</v>
          </cell>
          <cell r="M315" t="str">
            <v>少数股东权益_提取一般风险准备影响权益</v>
          </cell>
          <cell r="S315" t="str">
            <v>7519a</v>
          </cell>
          <cell r="T315" t="str">
            <v>将净利润调节为经营活动现金流量：经营性应付项目的增加</v>
          </cell>
          <cell r="U315" t="str">
            <v>项       目</v>
          </cell>
          <cell r="V315">
            <v>1</v>
          </cell>
          <cell r="X315">
            <v>9</v>
          </cell>
        </row>
        <row r="316">
          <cell r="B316" t="str">
            <v>8g56</v>
          </cell>
          <cell r="C316" t="str">
            <v>其他综合收益_所有者其他投入和减少资本</v>
          </cell>
          <cell r="D316">
            <v>-1</v>
          </cell>
          <cell r="G316" t="str">
            <v>其他</v>
          </cell>
          <cell r="I316" t="str">
            <v>8g56</v>
          </cell>
          <cell r="J316" t="str">
            <v>J</v>
          </cell>
          <cell r="M316" t="str">
            <v>少数股东权益_对所有者的分配</v>
          </cell>
          <cell r="S316" t="str">
            <v>7523a</v>
          </cell>
          <cell r="T316" t="str">
            <v>将净利润调节为经营活动现金流量：其他项目</v>
          </cell>
          <cell r="U316" t="str">
            <v>项       目</v>
          </cell>
          <cell r="V316">
            <v>1</v>
          </cell>
          <cell r="X316">
            <v>9</v>
          </cell>
        </row>
        <row r="317">
          <cell r="B317" t="str">
            <v>8g60</v>
          </cell>
          <cell r="C317" t="str">
            <v>其他综合收益_利润分配影响权益</v>
          </cell>
          <cell r="E317" t="str">
            <v>＝</v>
          </cell>
          <cell r="G317" t="str">
            <v>（三）利润分配</v>
          </cell>
          <cell r="I317" t="str">
            <v>8g60</v>
          </cell>
          <cell r="M317" t="str">
            <v>少数股东权益_其他利润分配</v>
          </cell>
          <cell r="S317" t="str">
            <v>9314a</v>
          </cell>
          <cell r="T317" t="str">
            <v>所有者权益变动表项目注释</v>
          </cell>
          <cell r="U317" t="str">
            <v>项       目</v>
          </cell>
          <cell r="V317">
            <v>-2</v>
          </cell>
          <cell r="X317">
            <v>2</v>
          </cell>
        </row>
        <row r="318">
          <cell r="B318" t="str">
            <v>8g61</v>
          </cell>
          <cell r="C318" t="str">
            <v>其他综合收益_提取盈余公积</v>
          </cell>
          <cell r="D318">
            <v>-1</v>
          </cell>
          <cell r="G318" t="str">
            <v>提取盈余公积</v>
          </cell>
          <cell r="I318" t="str">
            <v>8g61</v>
          </cell>
          <cell r="J318" t="str">
            <v>J</v>
          </cell>
          <cell r="M318" t="str">
            <v>少数股东权益_资本公积转增资本影响权益</v>
          </cell>
          <cell r="S318" t="str">
            <v>1997a</v>
          </cell>
          <cell r="T318" t="str">
            <v>所有权或使用权受到限制的资产</v>
          </cell>
          <cell r="U318" t="str">
            <v>所有权受到限制的资产类别</v>
          </cell>
          <cell r="V318">
            <v>-2</v>
          </cell>
          <cell r="X318">
            <v>2</v>
          </cell>
        </row>
        <row r="319">
          <cell r="B319" t="str">
            <v>8g62</v>
          </cell>
          <cell r="C319" t="str">
            <v>其他综合收益_提取一般风险准备</v>
          </cell>
          <cell r="D319">
            <v>-1</v>
          </cell>
          <cell r="G319" t="str">
            <v>提取一般风险准备</v>
          </cell>
          <cell r="I319" t="str">
            <v>8g62</v>
          </cell>
          <cell r="J319" t="str">
            <v>J</v>
          </cell>
          <cell r="M319" t="str">
            <v>少数股东权益_盈余公积转增资本影响权益</v>
          </cell>
          <cell r="S319" t="str">
            <v>1704a</v>
          </cell>
          <cell r="T319" t="str">
            <v>外币货币性项目</v>
          </cell>
          <cell r="U319" t="str">
            <v>项       目</v>
          </cell>
          <cell r="V319">
            <v>-2</v>
          </cell>
          <cell r="X319">
            <v>2</v>
          </cell>
        </row>
        <row r="320">
          <cell r="B320" t="str">
            <v>8g63</v>
          </cell>
          <cell r="C320" t="str">
            <v>其他综合收益_对所有者的分配</v>
          </cell>
          <cell r="D320">
            <v>-1</v>
          </cell>
          <cell r="G320" t="str">
            <v>对所有者（或股东）的分配</v>
          </cell>
          <cell r="I320" t="str">
            <v>8g63</v>
          </cell>
          <cell r="J320" t="str">
            <v>J</v>
          </cell>
          <cell r="M320" t="str">
            <v>少数股东权益_盈余公积弥补亏损影响权益</v>
          </cell>
          <cell r="S320" t="str">
            <v>9325a</v>
          </cell>
          <cell r="T320" t="str">
            <v>本集团持有的计息金融工具</v>
          </cell>
          <cell r="U320" t="str">
            <v>项       目</v>
          </cell>
          <cell r="V320">
            <v>-2</v>
          </cell>
          <cell r="X320">
            <v>2</v>
          </cell>
        </row>
        <row r="321">
          <cell r="B321" t="str">
            <v>8g66</v>
          </cell>
          <cell r="C321" t="str">
            <v>其他综合收益_其他利润分配</v>
          </cell>
          <cell r="D321">
            <v>-1</v>
          </cell>
          <cell r="G321" t="str">
            <v>其他</v>
          </cell>
          <cell r="I321" t="str">
            <v>8g66</v>
          </cell>
          <cell r="J321" t="str">
            <v>J</v>
          </cell>
          <cell r="M321" t="str">
            <v>少数股东权益_设定受益计划变动额结转留存收益</v>
          </cell>
          <cell r="S321" t="str">
            <v>9325e</v>
          </cell>
          <cell r="T321" t="str">
            <v>期末本集团持有的金融资产和金融负债按未折现剩余合同现金流量的到期期限分析</v>
          </cell>
          <cell r="U321" t="str">
            <v>项       目</v>
          </cell>
          <cell r="V321">
            <v>-2</v>
          </cell>
          <cell r="X321">
            <v>2</v>
          </cell>
        </row>
        <row r="322">
          <cell r="B322" t="str">
            <v>8g70</v>
          </cell>
          <cell r="C322" t="str">
            <v>其他综合收益_所有者权益内部结转</v>
          </cell>
          <cell r="E322" t="str">
            <v>＝</v>
          </cell>
          <cell r="G322" t="str">
            <v>（四）所有者权益内部结转</v>
          </cell>
          <cell r="I322" t="str">
            <v>8g70</v>
          </cell>
          <cell r="M322" t="str">
            <v>少数股东权益_所有者权益其他内部结转</v>
          </cell>
          <cell r="S322" t="str">
            <v>9325f</v>
          </cell>
          <cell r="T322" t="str">
            <v>期初本集团持有的金融资产和金融负债按未折现剩余合同现金流量的到期期限分析</v>
          </cell>
          <cell r="U322" t="str">
            <v>项       目</v>
          </cell>
          <cell r="V322">
            <v>-2</v>
          </cell>
          <cell r="X322">
            <v>2</v>
          </cell>
        </row>
        <row r="323">
          <cell r="B323" t="str">
            <v>8g71</v>
          </cell>
          <cell r="C323" t="str">
            <v>其他综合收益_资本公积转增资本</v>
          </cell>
          <cell r="D323">
            <v>-1</v>
          </cell>
          <cell r="G323" t="str">
            <v>资本公积转增资本（或股本）</v>
          </cell>
          <cell r="I323" t="str">
            <v>8g71</v>
          </cell>
          <cell r="J323" t="str">
            <v>J</v>
          </cell>
          <cell r="M323" t="str">
            <v>少数股东权益_专项储备本期提取</v>
          </cell>
          <cell r="S323" t="str">
            <v>9331a</v>
          </cell>
          <cell r="T323" t="str">
            <v>以公允价值计量的项目和金额</v>
          </cell>
          <cell r="U323" t="str">
            <v>项       目</v>
          </cell>
          <cell r="V323">
            <v>-2</v>
          </cell>
          <cell r="X323">
            <v>2</v>
          </cell>
        </row>
        <row r="324">
          <cell r="B324" t="str">
            <v>8g72</v>
          </cell>
          <cell r="C324" t="str">
            <v>其他综合收益_盈余公积转增资本</v>
          </cell>
          <cell r="D324">
            <v>-1</v>
          </cell>
          <cell r="G324" t="str">
            <v>盈余公积转增资本（或股本）</v>
          </cell>
          <cell r="I324" t="str">
            <v>8g72</v>
          </cell>
          <cell r="J324" t="str">
            <v>J</v>
          </cell>
          <cell r="M324" t="str">
            <v>少数股东权益_专项储备本期使用</v>
          </cell>
          <cell r="S324" t="str">
            <v>9331b</v>
          </cell>
          <cell r="T324" t="str">
            <v>不以公允价值计量但披露其公允价值的项目和金额（期末）</v>
          </cell>
          <cell r="U324" t="str">
            <v>项       目</v>
          </cell>
          <cell r="V324">
            <v>-2</v>
          </cell>
          <cell r="X324">
            <v>2</v>
          </cell>
        </row>
        <row r="325">
          <cell r="B325" t="str">
            <v>8g73</v>
          </cell>
          <cell r="C325" t="str">
            <v>其他综合收益_盈余公积弥补亏损</v>
          </cell>
          <cell r="D325">
            <v>-1</v>
          </cell>
          <cell r="G325" t="str">
            <v>盈余公积弥补亏损</v>
          </cell>
          <cell r="I325" t="str">
            <v>8g73</v>
          </cell>
          <cell r="J325" t="str">
            <v>J</v>
          </cell>
          <cell r="M325" t="str">
            <v>少数股东权益_本期其他增减变动</v>
          </cell>
          <cell r="S325" t="str">
            <v>9331c</v>
          </cell>
          <cell r="T325" t="str">
            <v>不以公允价值计量但披露其公允价值的项目和金额（期初）</v>
          </cell>
          <cell r="U325" t="str">
            <v>项       目</v>
          </cell>
          <cell r="V325">
            <v>-2</v>
          </cell>
          <cell r="X325">
            <v>2</v>
          </cell>
        </row>
        <row r="326">
          <cell r="B326" t="str">
            <v>8g75</v>
          </cell>
          <cell r="C326" t="str">
            <v>其他综合收益_设定受益计划变动额结转留存收益</v>
          </cell>
          <cell r="D326">
            <v>-1</v>
          </cell>
          <cell r="E326" t="str">
            <v>OEI</v>
          </cell>
          <cell r="G326" t="str">
            <v>设定受益计划变动额结转留存收益</v>
          </cell>
          <cell r="I326" t="str">
            <v>8g75</v>
          </cell>
          <cell r="J326" t="str">
            <v>J</v>
          </cell>
          <cell r="M326" t="str">
            <v>其他权益工具（优先股）_上年年末余额</v>
          </cell>
          <cell r="S326" t="str">
            <v>9331d</v>
          </cell>
          <cell r="T326" t="str">
            <v>第三层次公允价值计量中使用的重要的不可观察输入值的量化信息</v>
          </cell>
          <cell r="U326" t="str">
            <v>项       目</v>
          </cell>
          <cell r="V326">
            <v>-2</v>
          </cell>
          <cell r="X326">
            <v>2</v>
          </cell>
        </row>
        <row r="327">
          <cell r="B327" t="str">
            <v>8g76</v>
          </cell>
          <cell r="C327" t="str">
            <v>其他综合收益_所有者权益其他内部结转</v>
          </cell>
          <cell r="D327">
            <v>-1</v>
          </cell>
          <cell r="G327" t="str">
            <v>其他</v>
          </cell>
          <cell r="I327" t="str">
            <v>8g76</v>
          </cell>
          <cell r="J327" t="str">
            <v>J</v>
          </cell>
          <cell r="M327" t="str">
            <v>其他权益工具（优先股）_会计政策变更调整上年年末余额</v>
          </cell>
          <cell r="S327" t="str">
            <v>9331e</v>
          </cell>
          <cell r="T327" t="str">
            <v>归入公允价值层级第三层次的公允价值计量的调节表（本期）</v>
          </cell>
          <cell r="U327" t="str">
            <v>项       目</v>
          </cell>
          <cell r="V327">
            <v>-2</v>
          </cell>
          <cell r="X327">
            <v>2</v>
          </cell>
        </row>
        <row r="328">
          <cell r="B328" t="str">
            <v>8g80</v>
          </cell>
          <cell r="C328" t="str">
            <v>其他综合收益_专项储备影响权益</v>
          </cell>
          <cell r="E328" t="str">
            <v>＝</v>
          </cell>
          <cell r="G328" t="str">
            <v>（五）专项储备</v>
          </cell>
          <cell r="I328" t="str">
            <v>8g80</v>
          </cell>
          <cell r="M328" t="str">
            <v>其他权益工具（优先股）_前期差错更正调整上年年末余额</v>
          </cell>
          <cell r="S328" t="str">
            <v>9331f</v>
          </cell>
          <cell r="T328" t="str">
            <v>计入当前损益的利得和损失中与金融资产和非金融资产有关的损益信息（本期）</v>
          </cell>
          <cell r="U328" t="str">
            <v>项       目</v>
          </cell>
          <cell r="V328">
            <v>-2</v>
          </cell>
          <cell r="X328">
            <v>2</v>
          </cell>
        </row>
        <row r="329">
          <cell r="B329" t="str">
            <v>8g81</v>
          </cell>
          <cell r="C329" t="str">
            <v>其他综合收益_专项储备本期提取</v>
          </cell>
          <cell r="D329">
            <v>-1</v>
          </cell>
          <cell r="G329" t="str">
            <v>本期提取</v>
          </cell>
          <cell r="I329" t="str">
            <v>8g81</v>
          </cell>
          <cell r="J329" t="str">
            <v>J</v>
          </cell>
          <cell r="M329" t="str">
            <v>其他权益工具（优先股）_同一控制下企业合并调整上年年末余额</v>
          </cell>
          <cell r="S329" t="str">
            <v>9331g</v>
          </cell>
          <cell r="T329" t="str">
            <v>归入公允价值层级第三层次的公允价值计量的调节表（上期）</v>
          </cell>
          <cell r="U329" t="str">
            <v>项       目</v>
          </cell>
          <cell r="V329">
            <v>-2</v>
          </cell>
          <cell r="X329">
            <v>2</v>
          </cell>
        </row>
        <row r="330">
          <cell r="B330" t="str">
            <v>8g82</v>
          </cell>
          <cell r="C330" t="str">
            <v>其他综合收益_专项储备本期使用</v>
          </cell>
          <cell r="D330">
            <v>-1</v>
          </cell>
          <cell r="G330" t="str">
            <v>本期使用</v>
          </cell>
          <cell r="I330" t="str">
            <v>8g82</v>
          </cell>
          <cell r="J330" t="str">
            <v>J</v>
          </cell>
          <cell r="M330" t="str">
            <v>其他权益工具（优先股）_其他原因调整上年年末余额</v>
          </cell>
          <cell r="S330" t="str">
            <v>9331h</v>
          </cell>
          <cell r="T330" t="str">
            <v>计入当前损益的利得和损失中与金融资产和非金融资产有关的损益信息（上期）</v>
          </cell>
          <cell r="U330" t="str">
            <v>项       目</v>
          </cell>
          <cell r="V330">
            <v>-2</v>
          </cell>
          <cell r="X330">
            <v>2</v>
          </cell>
        </row>
        <row r="331">
          <cell r="B331" t="str">
            <v>8g96</v>
          </cell>
          <cell r="C331" t="str">
            <v>其他综合收益_本期其他增减变动</v>
          </cell>
          <cell r="D331">
            <v>-1</v>
          </cell>
          <cell r="G331" t="str">
            <v>（七）其他</v>
          </cell>
          <cell r="I331" t="str">
            <v>8g96</v>
          </cell>
          <cell r="J331" t="str">
            <v>J</v>
          </cell>
          <cell r="M331" t="str">
            <v>其他权益工具（优先股）_综合收益总额增加权益</v>
          </cell>
          <cell r="S331" t="str">
            <v>9120c</v>
          </cell>
          <cell r="T331" t="str">
            <v>关联托管、承包情况——公司受托管理、承包</v>
          </cell>
          <cell r="U331" t="str">
            <v>项       目</v>
          </cell>
          <cell r="V331">
            <v>-2</v>
          </cell>
          <cell r="X331">
            <v>2</v>
          </cell>
        </row>
        <row r="332">
          <cell r="B332" t="str">
            <v>8g99</v>
          </cell>
          <cell r="C332" t="str">
            <v>其他综合收益_本期期末余额</v>
          </cell>
          <cell r="E332" t="str">
            <v>＝</v>
          </cell>
          <cell r="G332" t="str">
            <v>四、本期期末余额</v>
          </cell>
          <cell r="I332" t="str">
            <v>8g99</v>
          </cell>
          <cell r="M332" t="str">
            <v>其他权益工具（优先股）_所有者投入资本</v>
          </cell>
          <cell r="S332" t="str">
            <v>9120d</v>
          </cell>
          <cell r="T332" t="str">
            <v>关联托管、承包情况——公司委托管理、出包</v>
          </cell>
          <cell r="U332" t="str">
            <v>项       目</v>
          </cell>
          <cell r="V332">
            <v>-2</v>
          </cell>
          <cell r="X332">
            <v>2</v>
          </cell>
        </row>
        <row r="333">
          <cell r="B333">
            <v>8200</v>
          </cell>
          <cell r="C333" t="str">
            <v>资本公积增减变动</v>
          </cell>
          <cell r="E333" t="str">
            <v>：</v>
          </cell>
          <cell r="G333" t="str">
            <v>资本公积增减变动</v>
          </cell>
          <cell r="I333">
            <v>8200</v>
          </cell>
          <cell r="M333" t="str">
            <v>其他权益工具（优先股）_股份支付</v>
          </cell>
          <cell r="S333" t="str">
            <v>9120e</v>
          </cell>
          <cell r="T333" t="str">
            <v>关联租赁情况——公司出租</v>
          </cell>
          <cell r="U333" t="str">
            <v>项       目</v>
          </cell>
          <cell r="V333">
            <v>-2</v>
          </cell>
          <cell r="X333">
            <v>2</v>
          </cell>
        </row>
        <row r="334">
          <cell r="B334">
            <v>8201</v>
          </cell>
          <cell r="C334" t="str">
            <v>资本公积_上年年末余额</v>
          </cell>
          <cell r="D334">
            <v>-1</v>
          </cell>
          <cell r="F334">
            <v>5210</v>
          </cell>
          <cell r="G334" t="str">
            <v>一、上年年末余额</v>
          </cell>
          <cell r="I334">
            <v>8201</v>
          </cell>
          <cell r="J334" t="str">
            <v>J</v>
          </cell>
          <cell r="M334" t="str">
            <v>其他权益工具（优先股）_其他权益工具持有者投入资本</v>
          </cell>
          <cell r="S334" t="str">
            <v>9120f</v>
          </cell>
          <cell r="T334" t="str">
            <v>关联租赁情况——公司承租</v>
          </cell>
          <cell r="U334" t="str">
            <v>项       目</v>
          </cell>
          <cell r="V334">
            <v>-2</v>
          </cell>
          <cell r="X334">
            <v>2</v>
          </cell>
        </row>
        <row r="335">
          <cell r="B335">
            <v>8202</v>
          </cell>
          <cell r="C335" t="str">
            <v>资本公积_会计政策变更调整上年年末余额</v>
          </cell>
          <cell r="D335">
            <v>-1</v>
          </cell>
          <cell r="F335">
            <v>5210</v>
          </cell>
          <cell r="G335" t="str">
            <v>加：会计政策变更</v>
          </cell>
          <cell r="I335">
            <v>8202</v>
          </cell>
          <cell r="J335" t="str">
            <v>J</v>
          </cell>
          <cell r="M335" t="str">
            <v>其他权益工具（优先股）_所有者其他投入和减少资本</v>
          </cell>
          <cell r="S335" t="str">
            <v>9120g</v>
          </cell>
          <cell r="T335" t="str">
            <v>关联担保情况——本集团作为担保方</v>
          </cell>
          <cell r="U335" t="str">
            <v>项       目</v>
          </cell>
          <cell r="V335">
            <v>-2</v>
          </cell>
          <cell r="X335">
            <v>2</v>
          </cell>
        </row>
        <row r="336">
          <cell r="B336">
            <v>8203</v>
          </cell>
          <cell r="C336" t="str">
            <v>资本公积_前期差错更正调整上年年末余额</v>
          </cell>
          <cell r="D336">
            <v>-1</v>
          </cell>
          <cell r="F336">
            <v>5210</v>
          </cell>
          <cell r="G336" t="str">
            <v>前期差错更正</v>
          </cell>
          <cell r="I336">
            <v>8203</v>
          </cell>
          <cell r="J336" t="str">
            <v>J</v>
          </cell>
          <cell r="M336" t="str">
            <v>其他权益工具（优先股）_提取盈余公积</v>
          </cell>
          <cell r="S336" t="str">
            <v>9120h</v>
          </cell>
          <cell r="T336" t="str">
            <v>关联担保情况——本集团作为被担保方</v>
          </cell>
          <cell r="U336" t="str">
            <v>项       目</v>
          </cell>
          <cell r="V336">
            <v>-2</v>
          </cell>
          <cell r="X336">
            <v>2</v>
          </cell>
        </row>
        <row r="337">
          <cell r="B337">
            <v>8204</v>
          </cell>
          <cell r="C337" t="str">
            <v>资本公积_同一控制下企业合并调整上年年末余额</v>
          </cell>
          <cell r="D337">
            <v>-1</v>
          </cell>
          <cell r="E337" t="str">
            <v>※</v>
          </cell>
          <cell r="F337">
            <v>5210</v>
          </cell>
          <cell r="G337" t="str">
            <v>同一控制下企业合并</v>
          </cell>
          <cell r="I337">
            <v>8204</v>
          </cell>
          <cell r="J337" t="str">
            <v>J</v>
          </cell>
          <cell r="M337" t="str">
            <v>其他权益工具（优先股）_提取一般风险准备</v>
          </cell>
          <cell r="S337" t="str">
            <v>9120i</v>
          </cell>
          <cell r="T337" t="str">
            <v>关联方资金拆借情况——拆入</v>
          </cell>
          <cell r="U337" t="str">
            <v>项       目</v>
          </cell>
          <cell r="V337">
            <v>-2</v>
          </cell>
          <cell r="X337">
            <v>2</v>
          </cell>
        </row>
        <row r="338">
          <cell r="B338">
            <v>8209</v>
          </cell>
          <cell r="C338" t="str">
            <v>资本公积_其他原因调整上年年末余额</v>
          </cell>
          <cell r="D338">
            <v>-1</v>
          </cell>
          <cell r="F338">
            <v>5210</v>
          </cell>
          <cell r="G338" t="str">
            <v>其他</v>
          </cell>
          <cell r="I338">
            <v>8209</v>
          </cell>
          <cell r="J338" t="str">
            <v>J</v>
          </cell>
          <cell r="M338" t="str">
            <v>其他权益工具（优先股）_对所有者的分配</v>
          </cell>
          <cell r="S338" t="str">
            <v>9120j</v>
          </cell>
          <cell r="T338" t="str">
            <v>关联方资金拆借情况——拆出</v>
          </cell>
          <cell r="U338" t="str">
            <v>项       目</v>
          </cell>
          <cell r="V338">
            <v>-2</v>
          </cell>
          <cell r="X338">
            <v>2</v>
          </cell>
        </row>
        <row r="339">
          <cell r="B339">
            <v>8210</v>
          </cell>
          <cell r="C339" t="str">
            <v>资本公积_本年年初余额</v>
          </cell>
          <cell r="E339" t="str">
            <v>＝</v>
          </cell>
          <cell r="G339" t="str">
            <v>二、本年年初余额</v>
          </cell>
          <cell r="I339">
            <v>8210</v>
          </cell>
          <cell r="M339" t="str">
            <v>其他权益工具（优先股）_其他利润分配</v>
          </cell>
          <cell r="S339" t="str">
            <v>9120k</v>
          </cell>
          <cell r="T339" t="str">
            <v>关联方资产转让、债务重组情况</v>
          </cell>
          <cell r="U339" t="str">
            <v>项       目</v>
          </cell>
          <cell r="V339">
            <v>-2</v>
          </cell>
          <cell r="X339">
            <v>2</v>
          </cell>
        </row>
        <row r="340">
          <cell r="B340">
            <v>8290</v>
          </cell>
          <cell r="C340" t="str">
            <v>资本公积_本期增减变动金额</v>
          </cell>
          <cell r="E340" t="str">
            <v>＝</v>
          </cell>
          <cell r="G340" t="str">
            <v>三、本期增减变动金额（减少以“-”号填列）</v>
          </cell>
          <cell r="I340">
            <v>8290</v>
          </cell>
          <cell r="M340" t="str">
            <v>其他权益工具（优先股）_资本公积转增资本</v>
          </cell>
          <cell r="S340" t="str">
            <v>9120l</v>
          </cell>
          <cell r="T340" t="str">
            <v>关键管理人员薪酬情况</v>
          </cell>
          <cell r="U340" t="str">
            <v>项       目</v>
          </cell>
          <cell r="V340">
            <v>-2</v>
          </cell>
          <cell r="X340">
            <v>2</v>
          </cell>
        </row>
        <row r="341">
          <cell r="B341">
            <v>8230</v>
          </cell>
          <cell r="C341" t="str">
            <v>资本公积_其他综合收益</v>
          </cell>
          <cell r="D341">
            <v>-1</v>
          </cell>
          <cell r="F341">
            <v>5210</v>
          </cell>
          <cell r="G341" t="str">
            <v>（二）其他综合收益</v>
          </cell>
          <cell r="I341">
            <v>8230</v>
          </cell>
          <cell r="J341" t="str">
            <v>J</v>
          </cell>
          <cell r="M341" t="str">
            <v>其他权益工具（优先股）_盈余公积转增资本</v>
          </cell>
          <cell r="S341" t="str">
            <v>9367a</v>
          </cell>
          <cell r="T341" t="str">
            <v>其他重要事项（终止经营）</v>
          </cell>
          <cell r="U341" t="str">
            <v>项       目</v>
          </cell>
          <cell r="V341">
            <v>-2</v>
          </cell>
          <cell r="X341">
            <v>2</v>
          </cell>
        </row>
        <row r="342">
          <cell r="B342">
            <v>8240</v>
          </cell>
          <cell r="C342" t="str">
            <v>资本公积_综合收益总额增加权益</v>
          </cell>
          <cell r="D342">
            <v>-1</v>
          </cell>
          <cell r="G342" t="str">
            <v>（一）综合收益总额</v>
          </cell>
          <cell r="I342">
            <v>8240</v>
          </cell>
          <cell r="J342" t="str">
            <v>J</v>
          </cell>
          <cell r="M342" t="str">
            <v>其他权益工具（优先股）_盈余公积弥补亏损</v>
          </cell>
          <cell r="S342" t="str">
            <v>9371e</v>
          </cell>
          <cell r="T342" t="str">
            <v>政府补助按种类列示</v>
          </cell>
          <cell r="U342" t="str">
            <v>种       类</v>
          </cell>
          <cell r="V342">
            <v>-2</v>
          </cell>
          <cell r="X342">
            <v>2</v>
          </cell>
        </row>
        <row r="343">
          <cell r="B343">
            <v>8250</v>
          </cell>
          <cell r="C343" t="str">
            <v>资本公积_所有者投入和减少资本影响权益</v>
          </cell>
          <cell r="E343" t="str">
            <v>＝</v>
          </cell>
          <cell r="G343" t="str">
            <v>（二）所有者投入和减少资本</v>
          </cell>
          <cell r="I343">
            <v>8250</v>
          </cell>
          <cell r="M343" t="str">
            <v>其他权益工具（优先股）_设定受益计划变动额结转留存收益</v>
          </cell>
          <cell r="S343" t="str">
            <v>9371a</v>
          </cell>
          <cell r="T343" t="str">
            <v>计入递延收益的政府补助，后续采用总额法计量</v>
          </cell>
          <cell r="U343" t="str">
            <v>项       目</v>
          </cell>
          <cell r="V343">
            <v>-2</v>
          </cell>
          <cell r="X343">
            <v>2</v>
          </cell>
        </row>
        <row r="344">
          <cell r="B344">
            <v>8251</v>
          </cell>
          <cell r="C344" t="str">
            <v>资本公积_所有者投入资本</v>
          </cell>
          <cell r="D344">
            <v>-1</v>
          </cell>
          <cell r="F344">
            <v>5210</v>
          </cell>
          <cell r="G344" t="str">
            <v>所有者投入资本</v>
          </cell>
          <cell r="I344">
            <v>8251</v>
          </cell>
          <cell r="J344" t="str">
            <v>J</v>
          </cell>
          <cell r="M344" t="str">
            <v>其他权益工具（优先股）_所有者权益其他内部结转</v>
          </cell>
          <cell r="S344" t="str">
            <v>9371b</v>
          </cell>
          <cell r="T344" t="str">
            <v>计入递延收益的政府补助，后续采用净额法计量</v>
          </cell>
          <cell r="U344" t="str">
            <v>项       目</v>
          </cell>
          <cell r="V344">
            <v>-2</v>
          </cell>
          <cell r="X344">
            <v>2</v>
          </cell>
        </row>
        <row r="345">
          <cell r="B345">
            <v>8252</v>
          </cell>
          <cell r="C345" t="str">
            <v>资本公积_股份支付</v>
          </cell>
          <cell r="D345">
            <v>-1</v>
          </cell>
          <cell r="F345">
            <v>5210</v>
          </cell>
          <cell r="G345" t="str">
            <v>股份支付计入所有者权益的金额</v>
          </cell>
          <cell r="I345">
            <v>8252</v>
          </cell>
          <cell r="J345" t="str">
            <v>J</v>
          </cell>
          <cell r="M345" t="str">
            <v>其他权益工具（优先股）_专项储备本期提取</v>
          </cell>
          <cell r="S345" t="str">
            <v>9371c</v>
          </cell>
          <cell r="T345" t="str">
            <v>采用总额法计入当期损益的政府补助情况</v>
          </cell>
          <cell r="U345" t="str">
            <v>项       目</v>
          </cell>
          <cell r="V345">
            <v>-2</v>
          </cell>
          <cell r="X345">
            <v>2</v>
          </cell>
        </row>
        <row r="346">
          <cell r="B346">
            <v>8253</v>
          </cell>
          <cell r="C346" t="str">
            <v>资本公积_其他权益工具持有者投入资本</v>
          </cell>
          <cell r="D346">
            <v>-1</v>
          </cell>
          <cell r="E346" t="str">
            <v>OEI</v>
          </cell>
          <cell r="F346">
            <v>5210</v>
          </cell>
          <cell r="G346" t="str">
            <v>其他权益工具持有者投入资本</v>
          </cell>
          <cell r="I346">
            <v>8253</v>
          </cell>
          <cell r="J346" t="str">
            <v>J</v>
          </cell>
          <cell r="M346" t="str">
            <v>其他权益工具（优先股）_专项储备本期使用</v>
          </cell>
          <cell r="S346" t="str">
            <v>9371f</v>
          </cell>
          <cell r="T346" t="str">
            <v>采用总额法计入当期损益的政府补助本年返还情况</v>
          </cell>
          <cell r="U346" t="str">
            <v>项       目</v>
          </cell>
          <cell r="V346">
            <v>-2</v>
          </cell>
          <cell r="X346">
            <v>2</v>
          </cell>
        </row>
        <row r="347">
          <cell r="B347">
            <v>8256</v>
          </cell>
          <cell r="C347" t="str">
            <v>资本公积_所有者其他投入和减少资本</v>
          </cell>
          <cell r="D347">
            <v>-1</v>
          </cell>
          <cell r="F347">
            <v>5210</v>
          </cell>
          <cell r="G347" t="str">
            <v>其他</v>
          </cell>
          <cell r="I347">
            <v>8256</v>
          </cell>
          <cell r="J347" t="str">
            <v>J</v>
          </cell>
          <cell r="M347" t="str">
            <v>其他权益工具（优先股）_本期其他增减变动</v>
          </cell>
          <cell r="S347" t="str">
            <v>9371d</v>
          </cell>
          <cell r="T347" t="str">
            <v>采用净额法冲减相关成本的政府补助情况</v>
          </cell>
          <cell r="U347" t="str">
            <v>项       目</v>
          </cell>
          <cell r="V347">
            <v>-2</v>
          </cell>
          <cell r="X347">
            <v>2</v>
          </cell>
        </row>
        <row r="348">
          <cell r="B348">
            <v>8260</v>
          </cell>
          <cell r="C348" t="str">
            <v>资本公积_利润分配影响权益</v>
          </cell>
          <cell r="E348" t="str">
            <v>＝</v>
          </cell>
          <cell r="G348" t="str">
            <v>（三）利润分配</v>
          </cell>
          <cell r="I348">
            <v>8260</v>
          </cell>
          <cell r="M348" t="str">
            <v>其他权益工具（永续债）_上年年末余额</v>
          </cell>
          <cell r="S348" t="str">
            <v>9371g</v>
          </cell>
          <cell r="T348" t="str">
            <v>采用净额法冲减相关成本的政府补助本年返还情况</v>
          </cell>
          <cell r="U348" t="str">
            <v>项       目</v>
          </cell>
          <cell r="V348">
            <v>-2</v>
          </cell>
          <cell r="X348">
            <v>2</v>
          </cell>
        </row>
        <row r="349">
          <cell r="B349">
            <v>8266</v>
          </cell>
          <cell r="C349" t="str">
            <v>资本公积_其他利润分配</v>
          </cell>
          <cell r="D349">
            <v>-1</v>
          </cell>
          <cell r="F349">
            <v>5210</v>
          </cell>
          <cell r="G349" t="str">
            <v>其他</v>
          </cell>
          <cell r="I349">
            <v>8266</v>
          </cell>
          <cell r="J349" t="str">
            <v>J</v>
          </cell>
          <cell r="M349" t="str">
            <v>其他权益工具（永续债）_会计政策变更调整上年年末余额</v>
          </cell>
          <cell r="S349" t="str">
            <v>9601a</v>
          </cell>
          <cell r="T349" t="str">
            <v>当期非经常性损益明细表</v>
          </cell>
          <cell r="U349" t="str">
            <v>项       目</v>
          </cell>
          <cell r="V349">
            <v>-2</v>
          </cell>
          <cell r="X349">
            <v>2</v>
          </cell>
        </row>
        <row r="350">
          <cell r="B350">
            <v>8270</v>
          </cell>
          <cell r="C350" t="str">
            <v>资本公积_所有者权益内部结转</v>
          </cell>
          <cell r="E350" t="str">
            <v>＝</v>
          </cell>
          <cell r="G350" t="str">
            <v>（四）所有者权益内部结转</v>
          </cell>
          <cell r="I350">
            <v>8270</v>
          </cell>
          <cell r="M350" t="str">
            <v>其他权益工具（永续债）_前期差错更正调整上年年末余额</v>
          </cell>
          <cell r="S350" t="str">
            <v>9601c</v>
          </cell>
          <cell r="T350" t="str">
            <v>将证监会公告列举的非经常性损益项目界定为经常性项目的说明</v>
          </cell>
          <cell r="U350" t="str">
            <v>项       目</v>
          </cell>
          <cell r="V350">
            <v>-2</v>
          </cell>
          <cell r="X350">
            <v>2</v>
          </cell>
        </row>
        <row r="351">
          <cell r="B351">
            <v>8271</v>
          </cell>
          <cell r="C351" t="str">
            <v>资本公积_转增资本</v>
          </cell>
          <cell r="D351">
            <v>-1</v>
          </cell>
          <cell r="F351">
            <v>5210</v>
          </cell>
          <cell r="G351" t="str">
            <v>资本公积转增资本（或股本）</v>
          </cell>
          <cell r="I351">
            <v>8271</v>
          </cell>
          <cell r="J351" t="str">
            <v>J</v>
          </cell>
          <cell r="M351" t="str">
            <v>其他权益工具（永续债）_同一控制下企业合并调整上年年末余额</v>
          </cell>
          <cell r="S351" t="str">
            <v>9601b</v>
          </cell>
          <cell r="T351" t="str">
            <v>其他符合非经常性损益定义的损益项目</v>
          </cell>
          <cell r="U351" t="str">
            <v>项       目</v>
          </cell>
          <cell r="V351">
            <v>-2</v>
          </cell>
          <cell r="X351">
            <v>2</v>
          </cell>
        </row>
        <row r="352">
          <cell r="B352">
            <v>8275</v>
          </cell>
          <cell r="C352" t="str">
            <v>资本公积_设定受益计划变动额结转留存收益</v>
          </cell>
          <cell r="D352">
            <v>-1</v>
          </cell>
          <cell r="E352" t="str">
            <v>OEI</v>
          </cell>
          <cell r="F352">
            <v>5210</v>
          </cell>
          <cell r="G352" t="str">
            <v>设定受益计划变动额结转留存收益</v>
          </cell>
          <cell r="I352">
            <v>8275</v>
          </cell>
          <cell r="J352" t="str">
            <v>J</v>
          </cell>
          <cell r="M352" t="str">
            <v>其他权益工具（永续债）_其他原因调整上年年末余额</v>
          </cell>
          <cell r="S352" t="str">
            <v>9601d</v>
          </cell>
          <cell r="T352" t="str">
            <v>报告年度不再作为非经常性损益列报的项目</v>
          </cell>
          <cell r="U352" t="str">
            <v>项       目</v>
          </cell>
          <cell r="V352">
            <v>-2</v>
          </cell>
          <cell r="X352">
            <v>2</v>
          </cell>
        </row>
        <row r="353">
          <cell r="B353">
            <v>8276</v>
          </cell>
          <cell r="C353" t="str">
            <v>资本公积_所有者权益其他内部结转</v>
          </cell>
          <cell r="D353">
            <v>-1</v>
          </cell>
          <cell r="E353" t="str">
            <v>LOW</v>
          </cell>
          <cell r="F353">
            <v>5210</v>
          </cell>
          <cell r="G353" t="str">
            <v>其他</v>
          </cell>
          <cell r="I353">
            <v>8276</v>
          </cell>
          <cell r="J353" t="str">
            <v>J</v>
          </cell>
          <cell r="M353" t="str">
            <v>其他权益工具（永续债）_综合收益总额增加权益</v>
          </cell>
          <cell r="S353" t="str">
            <v>9690a</v>
          </cell>
          <cell r="T353" t="str">
            <v>费用按性质分类的补充资料</v>
          </cell>
          <cell r="U353" t="str">
            <v>项       目</v>
          </cell>
          <cell r="V353">
            <v>-2</v>
          </cell>
          <cell r="X353">
            <v>2</v>
          </cell>
        </row>
        <row r="354">
          <cell r="B354">
            <v>8296</v>
          </cell>
          <cell r="C354" t="str">
            <v>资本公积_本期其他增减变动</v>
          </cell>
          <cell r="D354">
            <v>-1</v>
          </cell>
          <cell r="F354">
            <v>5210</v>
          </cell>
          <cell r="G354" t="str">
            <v>（七）其他</v>
          </cell>
          <cell r="I354">
            <v>8296</v>
          </cell>
          <cell r="J354" t="str">
            <v>J</v>
          </cell>
          <cell r="M354" t="str">
            <v>其他权益工具（永续债）_所有者投入资本</v>
          </cell>
          <cell r="S354" t="str">
            <v>9690b</v>
          </cell>
          <cell r="T354" t="str">
            <v>补充资料（一）</v>
          </cell>
          <cell r="U354" t="str">
            <v>项       目</v>
          </cell>
          <cell r="V354">
            <v>-2</v>
          </cell>
          <cell r="X354">
            <v>2</v>
          </cell>
        </row>
        <row r="355">
          <cell r="B355">
            <v>8299</v>
          </cell>
          <cell r="C355" t="str">
            <v>资本公积_本期期末余额</v>
          </cell>
          <cell r="E355" t="str">
            <v>＝</v>
          </cell>
          <cell r="G355" t="str">
            <v>四、本期期末余额</v>
          </cell>
          <cell r="I355">
            <v>8299</v>
          </cell>
          <cell r="M355" t="str">
            <v>其他权益工具（永续债）_股份支付</v>
          </cell>
          <cell r="S355" t="str">
            <v>9690c</v>
          </cell>
          <cell r="T355" t="str">
            <v>补充资料（二）</v>
          </cell>
          <cell r="U355" t="str">
            <v>项       目</v>
          </cell>
          <cell r="V355">
            <v>-2</v>
          </cell>
          <cell r="X355">
            <v>2</v>
          </cell>
        </row>
        <row r="356">
          <cell r="B356">
            <v>8300</v>
          </cell>
          <cell r="C356" t="str">
            <v>库存股增减变动</v>
          </cell>
          <cell r="E356" t="str">
            <v>：</v>
          </cell>
          <cell r="G356" t="str">
            <v>减：库存股增减变动</v>
          </cell>
          <cell r="I356">
            <v>8300</v>
          </cell>
          <cell r="M356" t="str">
            <v>其他权益工具（永续债）_其他权益工具持有者投入资本</v>
          </cell>
        </row>
        <row r="357">
          <cell r="B357">
            <v>8301</v>
          </cell>
          <cell r="C357" t="str">
            <v>库存股_上年年末余额</v>
          </cell>
          <cell r="D357">
            <v>1</v>
          </cell>
          <cell r="F357">
            <v>5310</v>
          </cell>
          <cell r="G357" t="str">
            <v>一、上年年末余额</v>
          </cell>
          <cell r="I357">
            <v>8301</v>
          </cell>
          <cell r="J357" t="str">
            <v>J</v>
          </cell>
          <cell r="M357" t="str">
            <v>其他权益工具（永续债）_所有者其他投入和减少资本</v>
          </cell>
        </row>
        <row r="358">
          <cell r="B358">
            <v>8302</v>
          </cell>
          <cell r="C358" t="str">
            <v>库存股_会计政策变更调整上年年末余额</v>
          </cell>
          <cell r="D358">
            <v>1</v>
          </cell>
          <cell r="F358">
            <v>5310</v>
          </cell>
          <cell r="G358" t="str">
            <v>加：会计政策变更</v>
          </cell>
          <cell r="I358">
            <v>8302</v>
          </cell>
          <cell r="J358" t="str">
            <v>J</v>
          </cell>
          <cell r="M358" t="str">
            <v>其他权益工具（永续债）_提取盈余公积</v>
          </cell>
        </row>
        <row r="359">
          <cell r="B359">
            <v>8303</v>
          </cell>
          <cell r="C359" t="str">
            <v>库存股_前期差错更正调整上年年末余额</v>
          </cell>
          <cell r="D359">
            <v>1</v>
          </cell>
          <cell r="F359">
            <v>5310</v>
          </cell>
          <cell r="G359" t="str">
            <v>前期差错更正</v>
          </cell>
          <cell r="I359">
            <v>8303</v>
          </cell>
          <cell r="J359" t="str">
            <v>J</v>
          </cell>
          <cell r="M359" t="str">
            <v>其他权益工具（永续债）_提取一般风险准备</v>
          </cell>
        </row>
        <row r="360">
          <cell r="B360">
            <v>8304</v>
          </cell>
          <cell r="C360" t="str">
            <v>库存股_同一控制下企业合并调整上年年末余额</v>
          </cell>
          <cell r="D360">
            <v>1</v>
          </cell>
          <cell r="E360" t="str">
            <v>※</v>
          </cell>
          <cell r="F360">
            <v>5310</v>
          </cell>
          <cell r="G360" t="str">
            <v>同一控制下企业合并</v>
          </cell>
          <cell r="I360">
            <v>8304</v>
          </cell>
          <cell r="J360" t="str">
            <v>J</v>
          </cell>
          <cell r="M360" t="str">
            <v>其他权益工具（永续债）_对所有者的分配</v>
          </cell>
        </row>
        <row r="361">
          <cell r="B361">
            <v>8309</v>
          </cell>
          <cell r="C361" t="str">
            <v>库存股_其他原因调整上年年末余额</v>
          </cell>
          <cell r="D361">
            <v>1</v>
          </cell>
          <cell r="E361" t="str">
            <v>LOW</v>
          </cell>
          <cell r="F361">
            <v>5310</v>
          </cell>
          <cell r="G361" t="str">
            <v>其他</v>
          </cell>
          <cell r="I361">
            <v>8309</v>
          </cell>
          <cell r="J361" t="str">
            <v>J</v>
          </cell>
          <cell r="M361" t="str">
            <v>其他权益工具（永续债）_其他利润分配</v>
          </cell>
        </row>
        <row r="362">
          <cell r="B362">
            <v>8310</v>
          </cell>
          <cell r="C362" t="str">
            <v>库存股_本年年初余额</v>
          </cell>
          <cell r="E362" t="str">
            <v>＝</v>
          </cell>
          <cell r="G362" t="str">
            <v>二、本年年初余额</v>
          </cell>
          <cell r="I362">
            <v>8310</v>
          </cell>
          <cell r="M362" t="str">
            <v>其他权益工具（永续债）_资本公积转增资本</v>
          </cell>
        </row>
        <row r="363">
          <cell r="B363">
            <v>8390</v>
          </cell>
          <cell r="C363" t="str">
            <v>库存股_本期增减变动金额</v>
          </cell>
          <cell r="E363" t="str">
            <v>＝</v>
          </cell>
          <cell r="G363" t="str">
            <v>三、本期增减变动金额（减少以“-”号填列）</v>
          </cell>
          <cell r="I363">
            <v>8390</v>
          </cell>
          <cell r="M363" t="str">
            <v>其他权益工具（永续债）_盈余公积转增资本</v>
          </cell>
        </row>
        <row r="364">
          <cell r="B364">
            <v>8350</v>
          </cell>
          <cell r="C364" t="str">
            <v>库存股_所有者投入和减少资本影响权益</v>
          </cell>
          <cell r="E364" t="str">
            <v>＝</v>
          </cell>
          <cell r="G364" t="str">
            <v>（二）所有者投入和减少资本</v>
          </cell>
          <cell r="I364">
            <v>8350</v>
          </cell>
          <cell r="M364" t="str">
            <v>其他权益工具（永续债）_盈余公积弥补亏损</v>
          </cell>
        </row>
        <row r="365">
          <cell r="B365">
            <v>8351</v>
          </cell>
          <cell r="C365" t="str">
            <v>库存股_所有者投入资本</v>
          </cell>
          <cell r="D365">
            <v>1</v>
          </cell>
          <cell r="F365">
            <v>5310</v>
          </cell>
          <cell r="G365" t="str">
            <v>所有者投入资本</v>
          </cell>
          <cell r="I365">
            <v>8351</v>
          </cell>
          <cell r="J365" t="str">
            <v>J</v>
          </cell>
          <cell r="M365" t="str">
            <v>其他权益工具（永续债）_设定受益计划变动额结转留存收益</v>
          </cell>
        </row>
        <row r="366">
          <cell r="B366">
            <v>8352</v>
          </cell>
          <cell r="C366" t="str">
            <v>库存股_股份支付</v>
          </cell>
          <cell r="D366">
            <v>1</v>
          </cell>
          <cell r="E366" t="str">
            <v>LOW</v>
          </cell>
          <cell r="F366">
            <v>5310</v>
          </cell>
          <cell r="G366" t="str">
            <v>股份支付计入所有者权益的金额</v>
          </cell>
          <cell r="I366">
            <v>8352</v>
          </cell>
          <cell r="J366" t="str">
            <v>J</v>
          </cell>
          <cell r="M366" t="str">
            <v>其他权益工具（永续债）_所有者权益其他内部结转</v>
          </cell>
        </row>
        <row r="367">
          <cell r="B367">
            <v>8353</v>
          </cell>
          <cell r="C367" t="str">
            <v>库存股_其他权益工具持有者投入资本</v>
          </cell>
          <cell r="D367">
            <v>1</v>
          </cell>
          <cell r="E367" t="str">
            <v>OEI</v>
          </cell>
          <cell r="F367">
            <v>5310</v>
          </cell>
          <cell r="G367" t="str">
            <v>其他权益工具持有者投入资本</v>
          </cell>
          <cell r="I367">
            <v>8353</v>
          </cell>
          <cell r="J367" t="str">
            <v>J</v>
          </cell>
          <cell r="M367" t="str">
            <v>其他权益工具（永续债）_专项储备本期提取</v>
          </cell>
        </row>
        <row r="368">
          <cell r="B368">
            <v>8356</v>
          </cell>
          <cell r="C368" t="str">
            <v>库存股_所有者其他投入和减少资本</v>
          </cell>
          <cell r="D368">
            <v>1</v>
          </cell>
          <cell r="E368" t="str">
            <v>LOW</v>
          </cell>
          <cell r="F368">
            <v>5310</v>
          </cell>
          <cell r="G368" t="str">
            <v>其他</v>
          </cell>
          <cell r="I368">
            <v>8356</v>
          </cell>
          <cell r="J368" t="str">
            <v>J</v>
          </cell>
          <cell r="M368" t="str">
            <v>其他权益工具（永续债）_专项储备本期使用</v>
          </cell>
        </row>
        <row r="369">
          <cell r="B369">
            <v>8360</v>
          </cell>
          <cell r="C369" t="str">
            <v>库存股_利润分配影响权益</v>
          </cell>
          <cell r="E369" t="str">
            <v>＝</v>
          </cell>
          <cell r="G369" t="str">
            <v>（三）利润分配</v>
          </cell>
          <cell r="I369">
            <v>8360</v>
          </cell>
          <cell r="M369" t="str">
            <v>其他权益工具（永续债）_本期其他增减变动</v>
          </cell>
        </row>
        <row r="370">
          <cell r="B370">
            <v>8363</v>
          </cell>
          <cell r="C370" t="str">
            <v>库存股_对所有者的分配</v>
          </cell>
          <cell r="D370">
            <v>1</v>
          </cell>
          <cell r="E370" t="str">
            <v>LOW</v>
          </cell>
          <cell r="F370">
            <v>5310</v>
          </cell>
          <cell r="G370" t="str">
            <v>对所有者（或股东）的分配</v>
          </cell>
          <cell r="I370">
            <v>8363</v>
          </cell>
          <cell r="J370" t="str">
            <v>J</v>
          </cell>
          <cell r="M370" t="str">
            <v>其他权益工具（其他）_上年年末余额</v>
          </cell>
        </row>
        <row r="371">
          <cell r="B371">
            <v>8366</v>
          </cell>
          <cell r="C371" t="str">
            <v>库存股_其他利润分配</v>
          </cell>
          <cell r="D371">
            <v>1</v>
          </cell>
          <cell r="E371" t="str">
            <v>LOW</v>
          </cell>
          <cell r="F371">
            <v>5310</v>
          </cell>
          <cell r="G371" t="str">
            <v>其他</v>
          </cell>
          <cell r="I371">
            <v>8366</v>
          </cell>
          <cell r="J371" t="str">
            <v>J</v>
          </cell>
          <cell r="M371" t="str">
            <v>其他权益工具（其他）_会计政策变更调整上年年末余额</v>
          </cell>
        </row>
        <row r="372">
          <cell r="B372">
            <v>8370</v>
          </cell>
          <cell r="C372" t="str">
            <v>库存股_所有者权益内部结转</v>
          </cell>
          <cell r="E372" t="str">
            <v>＝</v>
          </cell>
          <cell r="G372" t="str">
            <v>（四）所有者权益内部结转</v>
          </cell>
          <cell r="I372">
            <v>8370</v>
          </cell>
          <cell r="M372" t="str">
            <v>其他权益工具（其他）_前期差错更正调整上年年末余额</v>
          </cell>
        </row>
        <row r="373">
          <cell r="B373">
            <v>8375</v>
          </cell>
          <cell r="C373" t="str">
            <v>库存股_设定受益计划变动额结转留存收益</v>
          </cell>
          <cell r="D373">
            <v>1</v>
          </cell>
          <cell r="E373" t="str">
            <v>OEI</v>
          </cell>
          <cell r="F373">
            <v>5310</v>
          </cell>
          <cell r="G373" t="str">
            <v>设定受益计划变动额结转留存收益</v>
          </cell>
          <cell r="I373">
            <v>8375</v>
          </cell>
          <cell r="J373" t="str">
            <v>J</v>
          </cell>
          <cell r="M373" t="str">
            <v>其他权益工具（其他）_同一控制下企业合并调整上年年末余额</v>
          </cell>
        </row>
        <row r="374">
          <cell r="B374">
            <v>8376</v>
          </cell>
          <cell r="C374" t="str">
            <v>库存股_所有者权益其他内部结转</v>
          </cell>
          <cell r="D374">
            <v>1</v>
          </cell>
          <cell r="F374">
            <v>5310</v>
          </cell>
          <cell r="G374" t="str">
            <v>其他</v>
          </cell>
          <cell r="I374">
            <v>8376</v>
          </cell>
          <cell r="J374" t="str">
            <v>J</v>
          </cell>
          <cell r="M374" t="str">
            <v>其他权益工具（其他）_其他原因调整上年年末余额</v>
          </cell>
        </row>
        <row r="375">
          <cell r="B375">
            <v>8396</v>
          </cell>
          <cell r="C375" t="str">
            <v>库存股_本期其他增减变动</v>
          </cell>
          <cell r="D375">
            <v>1</v>
          </cell>
          <cell r="E375" t="str">
            <v>LOW</v>
          </cell>
          <cell r="F375">
            <v>5310</v>
          </cell>
          <cell r="G375" t="str">
            <v>（七）其他</v>
          </cell>
          <cell r="I375">
            <v>8396</v>
          </cell>
          <cell r="J375" t="str">
            <v>J</v>
          </cell>
          <cell r="M375" t="str">
            <v>其他权益工具（其他）_综合收益总额增加权益</v>
          </cell>
        </row>
        <row r="376">
          <cell r="B376">
            <v>8399</v>
          </cell>
          <cell r="C376" t="str">
            <v>库存股_本期期末余额</v>
          </cell>
          <cell r="E376" t="str">
            <v>＝</v>
          </cell>
          <cell r="G376" t="str">
            <v>四、本期期末余额</v>
          </cell>
          <cell r="I376">
            <v>8399</v>
          </cell>
          <cell r="M376" t="str">
            <v>其他权益工具（其他）_所有者投入资本</v>
          </cell>
        </row>
        <row r="377">
          <cell r="B377">
            <v>8400</v>
          </cell>
          <cell r="C377" t="str">
            <v>专项储备增减变动</v>
          </cell>
          <cell r="E377" t="str">
            <v>：</v>
          </cell>
          <cell r="G377" t="str">
            <v>专项储备增减变动</v>
          </cell>
          <cell r="I377">
            <v>8400</v>
          </cell>
          <cell r="M377" t="str">
            <v>其他权益工具（其他）_股份支付</v>
          </cell>
        </row>
        <row r="378">
          <cell r="B378">
            <v>8401</v>
          </cell>
          <cell r="C378" t="str">
            <v>专项储备_上年年末余额</v>
          </cell>
          <cell r="D378">
            <v>-1</v>
          </cell>
          <cell r="F378">
            <v>5510</v>
          </cell>
          <cell r="G378" t="str">
            <v>一、上年年末余额</v>
          </cell>
          <cell r="I378">
            <v>8401</v>
          </cell>
          <cell r="J378" t="str">
            <v>J</v>
          </cell>
          <cell r="M378" t="str">
            <v>其他权益工具（其他）_其他权益工具持有者投入资本</v>
          </cell>
        </row>
        <row r="379">
          <cell r="B379">
            <v>8402</v>
          </cell>
          <cell r="C379" t="str">
            <v>专项储备_会计政策变更调整上年年末余额</v>
          </cell>
          <cell r="D379">
            <v>-1</v>
          </cell>
          <cell r="F379">
            <v>5510</v>
          </cell>
          <cell r="G379" t="str">
            <v>加：会计政策变更</v>
          </cell>
          <cell r="I379">
            <v>8402</v>
          </cell>
          <cell r="J379" t="str">
            <v>J</v>
          </cell>
          <cell r="M379" t="str">
            <v>其他权益工具（其他）_所有者其他投入和减少资本</v>
          </cell>
        </row>
        <row r="380">
          <cell r="B380">
            <v>8403</v>
          </cell>
          <cell r="C380" t="str">
            <v>专项储备_前期差错更正调整上年年末余额</v>
          </cell>
          <cell r="D380">
            <v>-1</v>
          </cell>
          <cell r="F380">
            <v>5510</v>
          </cell>
          <cell r="G380" t="str">
            <v>前期差错更正</v>
          </cell>
          <cell r="I380">
            <v>8403</v>
          </cell>
          <cell r="J380" t="str">
            <v>J</v>
          </cell>
          <cell r="M380" t="str">
            <v>其他权益工具（其他）_提取盈余公积</v>
          </cell>
        </row>
        <row r="381">
          <cell r="B381">
            <v>8404</v>
          </cell>
          <cell r="C381" t="str">
            <v>专项储备_同一控制下企业合并调整上年年末余额</v>
          </cell>
          <cell r="D381">
            <v>-1</v>
          </cell>
          <cell r="E381" t="str">
            <v>※</v>
          </cell>
          <cell r="F381">
            <v>5510</v>
          </cell>
          <cell r="G381" t="str">
            <v>同一控制下企业合并</v>
          </cell>
          <cell r="I381">
            <v>8404</v>
          </cell>
          <cell r="J381" t="str">
            <v>J</v>
          </cell>
          <cell r="M381" t="str">
            <v>其他权益工具（其他）_提取一般风险准备</v>
          </cell>
        </row>
        <row r="382">
          <cell r="B382">
            <v>8409</v>
          </cell>
          <cell r="C382" t="str">
            <v>专项储备_其他原因调整上年年末余额</v>
          </cell>
          <cell r="D382">
            <v>-1</v>
          </cell>
          <cell r="E382" t="str">
            <v>LOW</v>
          </cell>
          <cell r="F382">
            <v>5510</v>
          </cell>
          <cell r="G382" t="str">
            <v>其他</v>
          </cell>
          <cell r="I382">
            <v>8409</v>
          </cell>
          <cell r="J382" t="str">
            <v>J</v>
          </cell>
          <cell r="M382" t="str">
            <v>其他权益工具（其他）_对所有者的分配</v>
          </cell>
        </row>
        <row r="383">
          <cell r="B383">
            <v>8410</v>
          </cell>
          <cell r="C383" t="str">
            <v>专项储备_本年年初余额</v>
          </cell>
          <cell r="E383" t="str">
            <v>＝</v>
          </cell>
          <cell r="G383" t="str">
            <v>二、本年年初余额</v>
          </cell>
          <cell r="I383">
            <v>8410</v>
          </cell>
          <cell r="M383" t="str">
            <v>其他权益工具（其他）_其他利润分配</v>
          </cell>
        </row>
        <row r="384">
          <cell r="B384">
            <v>8453</v>
          </cell>
          <cell r="C384" t="str">
            <v>专项储备_其他权益工具持有者投入资本</v>
          </cell>
          <cell r="D384">
            <v>-1</v>
          </cell>
          <cell r="E384" t="str">
            <v>OEI</v>
          </cell>
          <cell r="F384">
            <v>5510</v>
          </cell>
          <cell r="G384" t="str">
            <v>其他权益工具持有者投入资本</v>
          </cell>
          <cell r="I384">
            <v>8453</v>
          </cell>
          <cell r="J384" t="str">
            <v>J</v>
          </cell>
          <cell r="M384" t="str">
            <v>其他权益工具（其他）_资本公积转增资本</v>
          </cell>
        </row>
        <row r="385">
          <cell r="B385">
            <v>8490</v>
          </cell>
          <cell r="C385" t="str">
            <v>专项储备_本期增减变动金额</v>
          </cell>
          <cell r="E385" t="str">
            <v>＝</v>
          </cell>
          <cell r="G385" t="str">
            <v>三、本期增减变动金额（减少以“-”号填列）</v>
          </cell>
          <cell r="I385">
            <v>8490</v>
          </cell>
          <cell r="M385" t="str">
            <v>其他权益工具（其他）_盈余公积转增资本</v>
          </cell>
        </row>
        <row r="386">
          <cell r="B386">
            <v>8470</v>
          </cell>
          <cell r="C386" t="str">
            <v>专项储备_所有者权益内部结转</v>
          </cell>
          <cell r="E386" t="str">
            <v>＝</v>
          </cell>
          <cell r="G386" t="str">
            <v>（四）所有者权益内部结转</v>
          </cell>
          <cell r="I386">
            <v>8470</v>
          </cell>
          <cell r="M386" t="str">
            <v>其他权益工具（其他）_盈余公积弥补亏损</v>
          </cell>
        </row>
        <row r="387">
          <cell r="B387">
            <v>8475</v>
          </cell>
          <cell r="C387" t="str">
            <v>专项储备_设定受益计划变动额结转留存收益</v>
          </cell>
          <cell r="D387">
            <v>-1</v>
          </cell>
          <cell r="E387" t="str">
            <v>OEI</v>
          </cell>
          <cell r="F387">
            <v>5510</v>
          </cell>
          <cell r="G387" t="str">
            <v>设定受益计划变动额结转留存收益</v>
          </cell>
          <cell r="I387">
            <v>8475</v>
          </cell>
          <cell r="J387" t="str">
            <v>J</v>
          </cell>
          <cell r="M387" t="str">
            <v>其他权益工具（其他）_设定受益计划变动额结转留存收益</v>
          </cell>
        </row>
        <row r="388">
          <cell r="B388">
            <v>8476</v>
          </cell>
          <cell r="C388" t="str">
            <v>专项储备_所有者权益其他内部结转</v>
          </cell>
          <cell r="D388">
            <v>-1</v>
          </cell>
          <cell r="E388" t="str">
            <v>LOW</v>
          </cell>
          <cell r="F388">
            <v>5510</v>
          </cell>
          <cell r="G388" t="str">
            <v>其他</v>
          </cell>
          <cell r="I388">
            <v>8476</v>
          </cell>
          <cell r="J388" t="str">
            <v>J</v>
          </cell>
          <cell r="M388" t="str">
            <v>其他权益工具（其他）_所有者权益其他内部结转</v>
          </cell>
        </row>
        <row r="389">
          <cell r="B389">
            <v>8480</v>
          </cell>
          <cell r="C389" t="str">
            <v>专项储备_专项储备影响权益</v>
          </cell>
          <cell r="E389" t="str">
            <v>＝</v>
          </cell>
          <cell r="G389" t="str">
            <v>（五）专项储备</v>
          </cell>
          <cell r="I389">
            <v>8480</v>
          </cell>
          <cell r="M389" t="str">
            <v>其他权益工具（其他）_专项储备本期提取</v>
          </cell>
        </row>
        <row r="390">
          <cell r="B390">
            <v>8481</v>
          </cell>
          <cell r="C390" t="str">
            <v>专项储备_本期提取</v>
          </cell>
          <cell r="D390">
            <v>-1</v>
          </cell>
          <cell r="F390">
            <v>5510</v>
          </cell>
          <cell r="G390" t="str">
            <v>本期提取</v>
          </cell>
          <cell r="I390">
            <v>8481</v>
          </cell>
          <cell r="J390" t="str">
            <v>J</v>
          </cell>
          <cell r="M390" t="str">
            <v>其他权益工具（其他）_专项储备本期使用</v>
          </cell>
        </row>
        <row r="391">
          <cell r="B391">
            <v>8482</v>
          </cell>
          <cell r="C391" t="str">
            <v>专项储备_本期使用</v>
          </cell>
          <cell r="D391">
            <v>-1</v>
          </cell>
          <cell r="F391">
            <v>5510</v>
          </cell>
          <cell r="G391" t="str">
            <v>本期使用</v>
          </cell>
          <cell r="I391">
            <v>8482</v>
          </cell>
          <cell r="J391" t="str">
            <v>J</v>
          </cell>
          <cell r="M391" t="str">
            <v>其他权益工具（其他）_本期其他增减变动</v>
          </cell>
        </row>
        <row r="392">
          <cell r="B392">
            <v>8496</v>
          </cell>
          <cell r="C392" t="str">
            <v>专项储备_本期其他增减变动</v>
          </cell>
          <cell r="D392">
            <v>-1</v>
          </cell>
          <cell r="E392" t="str">
            <v>LOW</v>
          </cell>
          <cell r="F392">
            <v>5510</v>
          </cell>
          <cell r="G392" t="str">
            <v>（七）其他</v>
          </cell>
          <cell r="I392">
            <v>8496</v>
          </cell>
          <cell r="J392" t="str">
            <v>J</v>
          </cell>
          <cell r="M392" t="str">
            <v>其他综合收益_上年年末余额</v>
          </cell>
        </row>
        <row r="393">
          <cell r="B393">
            <v>8499</v>
          </cell>
          <cell r="C393" t="str">
            <v>专项储备_本期期末余额</v>
          </cell>
          <cell r="E393" t="str">
            <v>＝</v>
          </cell>
          <cell r="G393" t="str">
            <v>四、本期期末余额</v>
          </cell>
          <cell r="I393">
            <v>8499</v>
          </cell>
          <cell r="M393" t="str">
            <v>其他综合收益_会计政策变更调整上年年末余额</v>
          </cell>
        </row>
        <row r="394">
          <cell r="B394">
            <v>8500</v>
          </cell>
          <cell r="C394" t="str">
            <v>盈余公积增减变动</v>
          </cell>
          <cell r="E394" t="str">
            <v>：</v>
          </cell>
          <cell r="G394" t="str">
            <v>盈余公积增减变动</v>
          </cell>
          <cell r="I394">
            <v>8500</v>
          </cell>
          <cell r="M394" t="str">
            <v>其他综合收益_前期差错更正调整上年年末余额</v>
          </cell>
        </row>
        <row r="395">
          <cell r="B395">
            <v>8501</v>
          </cell>
          <cell r="C395" t="str">
            <v>盈余公积_上年年末余额</v>
          </cell>
          <cell r="D395">
            <v>-1</v>
          </cell>
          <cell r="F395">
            <v>5410</v>
          </cell>
          <cell r="G395" t="str">
            <v>一、上年年末余额</v>
          </cell>
          <cell r="I395">
            <v>8501</v>
          </cell>
          <cell r="J395" t="str">
            <v>J</v>
          </cell>
          <cell r="M395" t="str">
            <v>其他综合收益_同一控制下企业合并调整上年年末余额</v>
          </cell>
        </row>
        <row r="396">
          <cell r="B396">
            <v>8502</v>
          </cell>
          <cell r="C396" t="str">
            <v>盈余公积_会计政策变更调整上年年末余额</v>
          </cell>
          <cell r="D396">
            <v>-1</v>
          </cell>
          <cell r="F396">
            <v>5410</v>
          </cell>
          <cell r="G396" t="str">
            <v>加：会计政策变更</v>
          </cell>
          <cell r="I396">
            <v>8502</v>
          </cell>
          <cell r="J396" t="str">
            <v>J</v>
          </cell>
          <cell r="M396" t="str">
            <v>其他综合收益_其他原因调整上年年末余额</v>
          </cell>
        </row>
        <row r="397">
          <cell r="B397">
            <v>8503</v>
          </cell>
          <cell r="C397" t="str">
            <v>盈余公积_前期差错更正调整上年年末余额</v>
          </cell>
          <cell r="D397">
            <v>-1</v>
          </cell>
          <cell r="F397">
            <v>5410</v>
          </cell>
          <cell r="G397" t="str">
            <v>前期差错更正</v>
          </cell>
          <cell r="I397">
            <v>8503</v>
          </cell>
          <cell r="J397" t="str">
            <v>J</v>
          </cell>
          <cell r="M397" t="str">
            <v>其他综合收益_所有者投入资本</v>
          </cell>
        </row>
        <row r="398">
          <cell r="B398">
            <v>8504</v>
          </cell>
          <cell r="C398" t="str">
            <v>盈余公积_同一控制下企业合并调整上年年末余额</v>
          </cell>
          <cell r="D398">
            <v>-1</v>
          </cell>
          <cell r="E398" t="str">
            <v>※</v>
          </cell>
          <cell r="F398">
            <v>5410</v>
          </cell>
          <cell r="G398" t="str">
            <v>同一控制下企业合并</v>
          </cell>
          <cell r="I398">
            <v>8504</v>
          </cell>
          <cell r="J398" t="str">
            <v>J</v>
          </cell>
          <cell r="M398" t="str">
            <v>其他综合收益_股份支付</v>
          </cell>
        </row>
        <row r="399">
          <cell r="B399">
            <v>8509</v>
          </cell>
          <cell r="C399" t="str">
            <v>盈余公积_其他原因调整上年年末余额</v>
          </cell>
          <cell r="D399">
            <v>-1</v>
          </cell>
          <cell r="F399">
            <v>5410</v>
          </cell>
          <cell r="G399" t="str">
            <v>其他</v>
          </cell>
          <cell r="I399">
            <v>8509</v>
          </cell>
          <cell r="J399" t="str">
            <v>J</v>
          </cell>
          <cell r="M399" t="str">
            <v>其他综合收益_其他权益工具持有者投入资本</v>
          </cell>
        </row>
        <row r="400">
          <cell r="B400">
            <v>8510</v>
          </cell>
          <cell r="C400" t="str">
            <v>盈余公积_本年年初余额</v>
          </cell>
          <cell r="E400" t="str">
            <v>＝</v>
          </cell>
          <cell r="G400" t="str">
            <v>二、本年年初余额</v>
          </cell>
          <cell r="I400">
            <v>8510</v>
          </cell>
          <cell r="M400" t="str">
            <v>其他综合收益_所有者其他投入和减少资本</v>
          </cell>
        </row>
        <row r="401">
          <cell r="B401">
            <v>8590</v>
          </cell>
          <cell r="C401" t="str">
            <v>盈余公积_本期增减变动金额</v>
          </cell>
          <cell r="E401" t="str">
            <v>＝</v>
          </cell>
          <cell r="G401" t="str">
            <v>三、本期增减变动金额（减少以“-”号填列）</v>
          </cell>
          <cell r="I401">
            <v>8590</v>
          </cell>
          <cell r="M401" t="str">
            <v>其他综合收益_提取盈余公积</v>
          </cell>
        </row>
        <row r="402">
          <cell r="B402">
            <v>8550</v>
          </cell>
          <cell r="C402" t="str">
            <v>盈余公积_所有者投入和减少资本影响权益</v>
          </cell>
          <cell r="E402" t="str">
            <v>＝</v>
          </cell>
          <cell r="G402" t="str">
            <v>（二）所有者投入和减少资本</v>
          </cell>
          <cell r="I402">
            <v>8550</v>
          </cell>
          <cell r="M402" t="str">
            <v>其他综合收益_提取一般风险准备</v>
          </cell>
        </row>
        <row r="403">
          <cell r="B403">
            <v>8553</v>
          </cell>
          <cell r="C403" t="str">
            <v>盈余公积_其他权益工具持有者投入资本</v>
          </cell>
          <cell r="D403">
            <v>-1</v>
          </cell>
          <cell r="E403" t="str">
            <v>OEI</v>
          </cell>
          <cell r="F403">
            <v>5410</v>
          </cell>
          <cell r="G403" t="str">
            <v>其他权益工具持有者投入资本</v>
          </cell>
          <cell r="I403">
            <v>8553</v>
          </cell>
          <cell r="J403" t="str">
            <v>J</v>
          </cell>
          <cell r="M403" t="str">
            <v>其他综合收益_对所有者的分配</v>
          </cell>
        </row>
        <row r="404">
          <cell r="B404">
            <v>8556</v>
          </cell>
          <cell r="C404" t="str">
            <v>盈余公积_所有者其他投入和减少资本</v>
          </cell>
          <cell r="D404">
            <v>-1</v>
          </cell>
          <cell r="E404" t="str">
            <v>LOW</v>
          </cell>
          <cell r="F404">
            <v>5410</v>
          </cell>
          <cell r="G404" t="str">
            <v>其他</v>
          </cell>
          <cell r="I404">
            <v>8556</v>
          </cell>
          <cell r="J404" t="str">
            <v>J</v>
          </cell>
          <cell r="M404" t="str">
            <v>其他综合收益_其他利润分配</v>
          </cell>
        </row>
        <row r="405">
          <cell r="B405">
            <v>8560</v>
          </cell>
          <cell r="C405" t="str">
            <v>盈余公积_利润分配影响权益</v>
          </cell>
          <cell r="E405" t="str">
            <v>＝</v>
          </cell>
          <cell r="G405" t="str">
            <v>（三）利润分配</v>
          </cell>
          <cell r="I405">
            <v>8560</v>
          </cell>
          <cell r="M405" t="str">
            <v>其他综合收益_资本公积转增资本</v>
          </cell>
        </row>
        <row r="406">
          <cell r="B406">
            <v>8561</v>
          </cell>
          <cell r="C406" t="str">
            <v>盈余公积_提取</v>
          </cell>
          <cell r="D406">
            <v>-1</v>
          </cell>
          <cell r="F406">
            <v>5410</v>
          </cell>
          <cell r="G406" t="str">
            <v>提取盈余公积</v>
          </cell>
          <cell r="I406">
            <v>8561</v>
          </cell>
          <cell r="J406" t="str">
            <v>J</v>
          </cell>
          <cell r="M406" t="str">
            <v>其他综合收益_盈余公积转增资本</v>
          </cell>
        </row>
        <row r="407">
          <cell r="B407">
            <v>8563</v>
          </cell>
          <cell r="C407" t="str">
            <v>盈余公积_对所有者的分配</v>
          </cell>
          <cell r="D407">
            <v>-1</v>
          </cell>
          <cell r="F407">
            <v>5410</v>
          </cell>
          <cell r="G407" t="str">
            <v>对所有者（或股东）的分配</v>
          </cell>
          <cell r="I407">
            <v>8563</v>
          </cell>
          <cell r="J407" t="str">
            <v>J</v>
          </cell>
          <cell r="M407" t="str">
            <v>其他综合收益_盈余公积弥补亏损</v>
          </cell>
        </row>
        <row r="408">
          <cell r="B408">
            <v>8566</v>
          </cell>
          <cell r="C408" t="str">
            <v>盈余公积_其他利润分配</v>
          </cell>
          <cell r="D408">
            <v>-1</v>
          </cell>
          <cell r="F408">
            <v>5410</v>
          </cell>
          <cell r="G408" t="str">
            <v>其他</v>
          </cell>
          <cell r="I408">
            <v>8566</v>
          </cell>
          <cell r="J408" t="str">
            <v>J</v>
          </cell>
          <cell r="M408" t="str">
            <v>其他综合收益_设定受益计划变动额结转留存收益</v>
          </cell>
        </row>
        <row r="409">
          <cell r="B409">
            <v>8570</v>
          </cell>
          <cell r="C409" t="str">
            <v>盈余公积_所有者权益内部结转</v>
          </cell>
          <cell r="E409" t="str">
            <v>＝</v>
          </cell>
          <cell r="G409" t="str">
            <v>（四）所有者权益内部结转</v>
          </cell>
          <cell r="I409">
            <v>8570</v>
          </cell>
          <cell r="M409" t="str">
            <v>其他综合收益_所有者权益其他内部结转</v>
          </cell>
        </row>
        <row r="410">
          <cell r="B410">
            <v>8572</v>
          </cell>
          <cell r="C410" t="str">
            <v>盈余公积_转增资本</v>
          </cell>
          <cell r="D410">
            <v>-1</v>
          </cell>
          <cell r="F410">
            <v>5410</v>
          </cell>
          <cell r="G410" t="str">
            <v>盈余公积转增资本（或股本）</v>
          </cell>
          <cell r="I410">
            <v>8572</v>
          </cell>
          <cell r="J410" t="str">
            <v>J</v>
          </cell>
          <cell r="M410" t="str">
            <v>其他综合收益_专项储备本期提取</v>
          </cell>
        </row>
        <row r="411">
          <cell r="B411">
            <v>8573</v>
          </cell>
          <cell r="C411" t="str">
            <v>盈余公积_弥补亏损</v>
          </cell>
          <cell r="D411">
            <v>-1</v>
          </cell>
          <cell r="F411">
            <v>5410</v>
          </cell>
          <cell r="G411" t="str">
            <v>盈余公积弥补亏损</v>
          </cell>
          <cell r="I411">
            <v>8573</v>
          </cell>
          <cell r="J411" t="str">
            <v>J</v>
          </cell>
          <cell r="M411" t="str">
            <v>其他综合收益_专项储备本期使用</v>
          </cell>
        </row>
        <row r="412">
          <cell r="B412">
            <v>8575</v>
          </cell>
          <cell r="C412" t="str">
            <v>盈余公积_设定受益计划变动额结转留存收益</v>
          </cell>
          <cell r="D412">
            <v>-1</v>
          </cell>
          <cell r="E412" t="str">
            <v>OEI</v>
          </cell>
          <cell r="F412">
            <v>5410</v>
          </cell>
          <cell r="G412" t="str">
            <v>设定受益计划变动额结转留存收益</v>
          </cell>
          <cell r="I412">
            <v>8575</v>
          </cell>
          <cell r="J412" t="str">
            <v>J</v>
          </cell>
          <cell r="M412" t="str">
            <v>其他综合收益_本期其他增减变动</v>
          </cell>
        </row>
        <row r="413">
          <cell r="B413">
            <v>8576</v>
          </cell>
          <cell r="C413" t="str">
            <v>盈余公积_所有者权益其他内部结转</v>
          </cell>
          <cell r="D413">
            <v>-1</v>
          </cell>
          <cell r="E413" t="str">
            <v>LOW</v>
          </cell>
          <cell r="F413">
            <v>5410</v>
          </cell>
          <cell r="G413" t="str">
            <v>其他</v>
          </cell>
          <cell r="I413">
            <v>8576</v>
          </cell>
          <cell r="J413" t="str">
            <v>J</v>
          </cell>
        </row>
        <row r="414">
          <cell r="B414">
            <v>8596</v>
          </cell>
          <cell r="C414" t="str">
            <v>盈余公积_本期其他增减变动</v>
          </cell>
          <cell r="D414">
            <v>-1</v>
          </cell>
          <cell r="E414" t="str">
            <v>LOW</v>
          </cell>
          <cell r="F414">
            <v>5410</v>
          </cell>
          <cell r="G414" t="str">
            <v>（七）其他</v>
          </cell>
          <cell r="I414">
            <v>8596</v>
          </cell>
          <cell r="J414" t="str">
            <v>J</v>
          </cell>
        </row>
        <row r="415">
          <cell r="B415">
            <v>8599</v>
          </cell>
          <cell r="C415" t="str">
            <v>盈余公积_本期期末余额</v>
          </cell>
          <cell r="E415" t="str">
            <v>＝</v>
          </cell>
          <cell r="G415" t="str">
            <v>四、本期期末余额</v>
          </cell>
          <cell r="I415">
            <v>8599</v>
          </cell>
        </row>
        <row r="416">
          <cell r="B416">
            <v>8600</v>
          </cell>
          <cell r="C416" t="str">
            <v>一般风险准备增减变动</v>
          </cell>
          <cell r="E416" t="str">
            <v>：</v>
          </cell>
          <cell r="G416" t="str">
            <v>一般风险准备增减变动</v>
          </cell>
          <cell r="I416">
            <v>8600</v>
          </cell>
        </row>
        <row r="417">
          <cell r="B417">
            <v>8601</v>
          </cell>
          <cell r="C417" t="str">
            <v>一般风险准备_上年年末余额</v>
          </cell>
          <cell r="D417">
            <v>-1</v>
          </cell>
          <cell r="G417" t="str">
            <v>一、上年年末余额</v>
          </cell>
          <cell r="I417">
            <v>8601</v>
          </cell>
          <cell r="J417" t="str">
            <v>J</v>
          </cell>
        </row>
        <row r="418">
          <cell r="B418">
            <v>8602</v>
          </cell>
          <cell r="C418" t="str">
            <v>一般风险准备_会计政策变更调整上年年末余额</v>
          </cell>
          <cell r="D418">
            <v>-1</v>
          </cell>
          <cell r="G418" t="str">
            <v>加：会计政策变更</v>
          </cell>
          <cell r="I418">
            <v>8602</v>
          </cell>
          <cell r="J418" t="str">
            <v>J</v>
          </cell>
        </row>
        <row r="419">
          <cell r="B419">
            <v>8603</v>
          </cell>
          <cell r="C419" t="str">
            <v>一般风险准备_前期差错更正调整上年年末余额</v>
          </cell>
          <cell r="D419">
            <v>-1</v>
          </cell>
          <cell r="G419" t="str">
            <v>前期差错更正</v>
          </cell>
          <cell r="I419">
            <v>8603</v>
          </cell>
          <cell r="J419" t="str">
            <v>J</v>
          </cell>
        </row>
        <row r="420">
          <cell r="B420">
            <v>8604</v>
          </cell>
          <cell r="C420" t="str">
            <v>一般风险准备_同一控制下企业合并调整上年年末余额</v>
          </cell>
          <cell r="D420">
            <v>-1</v>
          </cell>
          <cell r="E420" t="str">
            <v>※</v>
          </cell>
          <cell r="G420" t="str">
            <v>同一控制下企业合并</v>
          </cell>
          <cell r="I420">
            <v>8604</v>
          </cell>
          <cell r="J420" t="str">
            <v>J</v>
          </cell>
        </row>
        <row r="421">
          <cell r="B421">
            <v>8609</v>
          </cell>
          <cell r="C421" t="str">
            <v>一般风险准备_其他原因调整上年年末余额</v>
          </cell>
          <cell r="D421">
            <v>-1</v>
          </cell>
          <cell r="E421" t="str">
            <v>LOW</v>
          </cell>
          <cell r="G421" t="str">
            <v>其他</v>
          </cell>
          <cell r="I421">
            <v>8609</v>
          </cell>
          <cell r="J421" t="str">
            <v>J</v>
          </cell>
        </row>
        <row r="422">
          <cell r="B422">
            <v>8610</v>
          </cell>
          <cell r="C422" t="str">
            <v>一般风险准备_本年年初余额</v>
          </cell>
          <cell r="E422" t="str">
            <v>＝</v>
          </cell>
          <cell r="G422" t="str">
            <v>二、本年年初余额</v>
          </cell>
          <cell r="I422">
            <v>8610</v>
          </cell>
        </row>
        <row r="423">
          <cell r="B423">
            <v>8690</v>
          </cell>
          <cell r="C423" t="str">
            <v>一般风险准备_本期增减变动金额</v>
          </cell>
          <cell r="E423" t="str">
            <v>＝</v>
          </cell>
          <cell r="G423" t="str">
            <v>三、本期增减变动金额（减少以“-”号填列）</v>
          </cell>
          <cell r="I423">
            <v>8690</v>
          </cell>
        </row>
        <row r="424">
          <cell r="B424">
            <v>8650</v>
          </cell>
          <cell r="C424" t="str">
            <v>一般风险准备_所有者投入和减少资本影响权益</v>
          </cell>
          <cell r="E424" t="str">
            <v>＝</v>
          </cell>
          <cell r="G424" t="str">
            <v>（二）所有者投入和减少资本</v>
          </cell>
          <cell r="I424">
            <v>8650</v>
          </cell>
        </row>
        <row r="425">
          <cell r="B425">
            <v>8653</v>
          </cell>
          <cell r="C425" t="str">
            <v>一般风险准备_其他权益工具持有者投入资本</v>
          </cell>
          <cell r="D425">
            <v>-1</v>
          </cell>
          <cell r="E425" t="str">
            <v>OEI</v>
          </cell>
          <cell r="G425" t="str">
            <v>其他权益工具持有者投入资本</v>
          </cell>
          <cell r="I425">
            <v>8653</v>
          </cell>
          <cell r="J425" t="str">
            <v>J</v>
          </cell>
        </row>
        <row r="426">
          <cell r="B426">
            <v>8656</v>
          </cell>
          <cell r="C426" t="str">
            <v>一般风险准备_所有者其他投入和减少资本</v>
          </cell>
          <cell r="D426">
            <v>-1</v>
          </cell>
          <cell r="E426" t="str">
            <v>LOW</v>
          </cell>
          <cell r="G426" t="str">
            <v>其他</v>
          </cell>
          <cell r="I426">
            <v>8656</v>
          </cell>
          <cell r="J426" t="str">
            <v>J</v>
          </cell>
        </row>
        <row r="427">
          <cell r="B427">
            <v>8660</v>
          </cell>
          <cell r="C427" t="str">
            <v>一般风险准备_利润分配影响权益</v>
          </cell>
          <cell r="E427" t="str">
            <v>＝</v>
          </cell>
          <cell r="G427" t="str">
            <v>（三）利润分配</v>
          </cell>
          <cell r="I427">
            <v>8660</v>
          </cell>
        </row>
        <row r="428">
          <cell r="B428">
            <v>8662</v>
          </cell>
          <cell r="C428" t="str">
            <v>一般风险准备_提取</v>
          </cell>
          <cell r="D428">
            <v>-1</v>
          </cell>
          <cell r="G428" t="str">
            <v>提取一般风险准备</v>
          </cell>
          <cell r="I428">
            <v>8662</v>
          </cell>
          <cell r="J428" t="str">
            <v>J</v>
          </cell>
        </row>
        <row r="429">
          <cell r="B429">
            <v>8666</v>
          </cell>
          <cell r="C429" t="str">
            <v>一般风险准备_其他利润分配</v>
          </cell>
          <cell r="D429">
            <v>-1</v>
          </cell>
          <cell r="E429" t="str">
            <v>LOW</v>
          </cell>
          <cell r="G429" t="str">
            <v>其他</v>
          </cell>
          <cell r="I429">
            <v>8666</v>
          </cell>
          <cell r="J429" t="str">
            <v>J</v>
          </cell>
        </row>
        <row r="430">
          <cell r="B430">
            <v>8670</v>
          </cell>
          <cell r="C430" t="str">
            <v>一般风险准备_所有者权益内部结转</v>
          </cell>
          <cell r="E430" t="str">
            <v>＝</v>
          </cell>
          <cell r="G430" t="str">
            <v>（四）所有者权益内部结转</v>
          </cell>
          <cell r="I430">
            <v>8670</v>
          </cell>
        </row>
        <row r="431">
          <cell r="B431">
            <v>8675</v>
          </cell>
          <cell r="C431" t="str">
            <v>一般风险准备_设定受益计划变动额结转留存收益</v>
          </cell>
          <cell r="D431">
            <v>-1</v>
          </cell>
          <cell r="E431" t="str">
            <v>OEI</v>
          </cell>
          <cell r="G431" t="str">
            <v>设定受益计划变动额结转留存收益</v>
          </cell>
          <cell r="I431">
            <v>8675</v>
          </cell>
          <cell r="J431" t="str">
            <v>J</v>
          </cell>
        </row>
        <row r="432">
          <cell r="B432">
            <v>8676</v>
          </cell>
          <cell r="C432" t="str">
            <v>一般风险准备_所有者权益其他内部结转</v>
          </cell>
          <cell r="D432">
            <v>-1</v>
          </cell>
          <cell r="G432" t="str">
            <v>其他</v>
          </cell>
          <cell r="I432">
            <v>8676</v>
          </cell>
          <cell r="J432" t="str">
            <v>J</v>
          </cell>
        </row>
        <row r="433">
          <cell r="B433">
            <v>8696</v>
          </cell>
          <cell r="C433" t="str">
            <v>一般风险准备_本期其他增减变动</v>
          </cell>
          <cell r="D433">
            <v>-1</v>
          </cell>
          <cell r="E433" t="str">
            <v>LOW</v>
          </cell>
          <cell r="G433" t="str">
            <v>（七）其他</v>
          </cell>
          <cell r="I433">
            <v>8696</v>
          </cell>
          <cell r="J433" t="str">
            <v>J</v>
          </cell>
        </row>
        <row r="434">
          <cell r="B434">
            <v>8699</v>
          </cell>
          <cell r="C434" t="str">
            <v>一般风险准备_本期期末余额</v>
          </cell>
          <cell r="E434" t="str">
            <v>＝</v>
          </cell>
          <cell r="G434" t="str">
            <v>四、本期期末余额</v>
          </cell>
          <cell r="I434">
            <v>8699</v>
          </cell>
        </row>
        <row r="435">
          <cell r="B435">
            <v>8700</v>
          </cell>
          <cell r="C435" t="str">
            <v>未分配利润增减变动</v>
          </cell>
          <cell r="E435" t="str">
            <v>：</v>
          </cell>
          <cell r="G435" t="str">
            <v>未分配利润增减变动</v>
          </cell>
          <cell r="I435">
            <v>8700</v>
          </cell>
        </row>
        <row r="436">
          <cell r="B436">
            <v>8701</v>
          </cell>
          <cell r="C436" t="str">
            <v>未分配利润_上年年末余额</v>
          </cell>
          <cell r="D436">
            <v>-1</v>
          </cell>
          <cell r="F436">
            <v>5610</v>
          </cell>
          <cell r="G436" t="str">
            <v>一、上年年末余额</v>
          </cell>
          <cell r="I436">
            <v>8701</v>
          </cell>
          <cell r="J436" t="str">
            <v>J</v>
          </cell>
        </row>
        <row r="437">
          <cell r="B437">
            <v>8702</v>
          </cell>
          <cell r="C437" t="str">
            <v>未分配利润_会计政策变更调整上年年末余额</v>
          </cell>
          <cell r="D437">
            <v>-1</v>
          </cell>
          <cell r="F437">
            <v>5610</v>
          </cell>
          <cell r="G437" t="str">
            <v>加：会计政策变更</v>
          </cell>
          <cell r="I437">
            <v>8702</v>
          </cell>
          <cell r="J437" t="str">
            <v>J</v>
          </cell>
        </row>
        <row r="438">
          <cell r="B438">
            <v>8703</v>
          </cell>
          <cell r="C438" t="str">
            <v>未分配利润_前期差错更正调整上年年末余额</v>
          </cell>
          <cell r="D438">
            <v>-1</v>
          </cell>
          <cell r="F438">
            <v>5610</v>
          </cell>
          <cell r="G438" t="str">
            <v>前期差错更正</v>
          </cell>
          <cell r="I438">
            <v>8703</v>
          </cell>
          <cell r="J438" t="str">
            <v>J</v>
          </cell>
        </row>
        <row r="439">
          <cell r="B439">
            <v>8704</v>
          </cell>
          <cell r="C439" t="str">
            <v>未分配利润_同一控制下企业合并调整上年年末余额</v>
          </cell>
          <cell r="D439">
            <v>-1</v>
          </cell>
          <cell r="E439" t="str">
            <v>※</v>
          </cell>
          <cell r="F439">
            <v>5610</v>
          </cell>
          <cell r="G439" t="str">
            <v>同一控制下企业合并</v>
          </cell>
          <cell r="I439">
            <v>8704</v>
          </cell>
          <cell r="J439" t="str">
            <v>J</v>
          </cell>
        </row>
        <row r="440">
          <cell r="B440">
            <v>8709</v>
          </cell>
          <cell r="C440" t="str">
            <v>未分配利润_其他原因调整上年年末余额</v>
          </cell>
          <cell r="D440">
            <v>-1</v>
          </cell>
          <cell r="F440">
            <v>5610</v>
          </cell>
          <cell r="G440" t="str">
            <v>其他</v>
          </cell>
          <cell r="I440">
            <v>8709</v>
          </cell>
          <cell r="J440" t="str">
            <v>J</v>
          </cell>
        </row>
        <row r="441">
          <cell r="B441">
            <v>8710</v>
          </cell>
          <cell r="C441" t="str">
            <v>未分配利润_本年年初余额</v>
          </cell>
          <cell r="E441" t="str">
            <v>＝</v>
          </cell>
          <cell r="G441" t="str">
            <v>二、本年年初余额</v>
          </cell>
          <cell r="I441">
            <v>8710</v>
          </cell>
        </row>
        <row r="442">
          <cell r="B442">
            <v>8753</v>
          </cell>
          <cell r="C442" t="str">
            <v>未分配利润_其他权益工具持有者投入资本</v>
          </cell>
          <cell r="D442">
            <v>-1</v>
          </cell>
          <cell r="E442" t="str">
            <v>OEI</v>
          </cell>
          <cell r="F442">
            <v>5610</v>
          </cell>
          <cell r="G442" t="str">
            <v>其他权益工具持有者投入资本</v>
          </cell>
          <cell r="I442">
            <v>8753</v>
          </cell>
          <cell r="J442" t="str">
            <v>J</v>
          </cell>
        </row>
        <row r="443">
          <cell r="B443">
            <v>8790</v>
          </cell>
          <cell r="C443" t="str">
            <v>未分配利润_本期增减变动金额</v>
          </cell>
          <cell r="E443" t="str">
            <v>＝</v>
          </cell>
          <cell r="G443" t="str">
            <v>三、本期增减变动金额（减少以“-”号填列）</v>
          </cell>
          <cell r="I443">
            <v>8790</v>
          </cell>
        </row>
        <row r="444">
          <cell r="B444">
            <v>8721</v>
          </cell>
          <cell r="C444" t="str">
            <v>未分配利润_净利润增加权益</v>
          </cell>
          <cell r="D444">
            <v>-1</v>
          </cell>
          <cell r="G444" t="str">
            <v>（一）净利润</v>
          </cell>
          <cell r="I444">
            <v>8721</v>
          </cell>
        </row>
        <row r="445">
          <cell r="B445">
            <v>8740</v>
          </cell>
          <cell r="C445" t="str">
            <v>未分配利润_综合收益总额增加权益</v>
          </cell>
          <cell r="D445">
            <v>-1</v>
          </cell>
          <cell r="G445" t="str">
            <v>（一）综合收益总额</v>
          </cell>
          <cell r="I445">
            <v>8740</v>
          </cell>
        </row>
        <row r="446">
          <cell r="B446">
            <v>8750</v>
          </cell>
          <cell r="C446" t="str">
            <v>未分配利润_所有者投入和减少资本影响权益</v>
          </cell>
          <cell r="E446" t="str">
            <v>＝</v>
          </cell>
          <cell r="G446" t="str">
            <v>（二）所有者投入和减少资本</v>
          </cell>
          <cell r="I446">
            <v>8750</v>
          </cell>
        </row>
        <row r="447">
          <cell r="B447">
            <v>8756</v>
          </cell>
          <cell r="C447" t="str">
            <v>未分配利润_所有者其他投入和减少资本</v>
          </cell>
          <cell r="D447">
            <v>-1</v>
          </cell>
          <cell r="F447">
            <v>5610</v>
          </cell>
          <cell r="G447" t="str">
            <v>其他</v>
          </cell>
          <cell r="I447">
            <v>8756</v>
          </cell>
          <cell r="J447" t="str">
            <v>J</v>
          </cell>
        </row>
        <row r="448">
          <cell r="B448">
            <v>8760</v>
          </cell>
          <cell r="C448" t="str">
            <v>未分配利润_利润分配影响权益</v>
          </cell>
          <cell r="E448" t="str">
            <v>＝</v>
          </cell>
          <cell r="G448" t="str">
            <v>（三）利润分配</v>
          </cell>
          <cell r="I448">
            <v>8760</v>
          </cell>
        </row>
        <row r="449">
          <cell r="B449">
            <v>8761</v>
          </cell>
          <cell r="C449" t="str">
            <v>未分配利润_提取盈余公积</v>
          </cell>
          <cell r="D449">
            <v>-1</v>
          </cell>
          <cell r="F449">
            <v>5610</v>
          </cell>
          <cell r="G449" t="str">
            <v>提取盈余公积</v>
          </cell>
          <cell r="I449">
            <v>8761</v>
          </cell>
          <cell r="J449" t="str">
            <v>J</v>
          </cell>
        </row>
        <row r="450">
          <cell r="B450">
            <v>8762</v>
          </cell>
          <cell r="C450" t="str">
            <v>未分配利润_提取一般风险准备</v>
          </cell>
          <cell r="D450">
            <v>-1</v>
          </cell>
          <cell r="F450">
            <v>5610</v>
          </cell>
          <cell r="G450" t="str">
            <v>提取一般风险准备</v>
          </cell>
          <cell r="I450">
            <v>8762</v>
          </cell>
          <cell r="J450" t="str">
            <v>J</v>
          </cell>
        </row>
        <row r="451">
          <cell r="B451">
            <v>8763</v>
          </cell>
          <cell r="C451" t="str">
            <v>未分配利润_对所有者的分配</v>
          </cell>
          <cell r="D451">
            <v>-1</v>
          </cell>
          <cell r="F451">
            <v>5610</v>
          </cell>
          <cell r="G451" t="str">
            <v>对所有者（或股东）的分配</v>
          </cell>
          <cell r="I451">
            <v>8763</v>
          </cell>
          <cell r="J451" t="str">
            <v>J</v>
          </cell>
        </row>
        <row r="452">
          <cell r="B452">
            <v>8766</v>
          </cell>
          <cell r="C452" t="str">
            <v>未分配利润_其他利润分配</v>
          </cell>
          <cell r="D452">
            <v>-1</v>
          </cell>
          <cell r="F452">
            <v>5610</v>
          </cell>
          <cell r="G452" t="str">
            <v>其他</v>
          </cell>
          <cell r="I452">
            <v>8766</v>
          </cell>
          <cell r="J452" t="str">
            <v>J</v>
          </cell>
        </row>
        <row r="453">
          <cell r="B453">
            <v>8770</v>
          </cell>
          <cell r="C453" t="str">
            <v>未分配利润_所有者权益内部结转</v>
          </cell>
          <cell r="E453" t="str">
            <v>＝</v>
          </cell>
          <cell r="G453" t="str">
            <v>（四）所有者权益内部结转</v>
          </cell>
          <cell r="I453">
            <v>8770</v>
          </cell>
        </row>
        <row r="454">
          <cell r="B454">
            <v>8773</v>
          </cell>
          <cell r="C454" t="str">
            <v>未分配利润_盈余公积弥补亏损</v>
          </cell>
          <cell r="D454">
            <v>-1</v>
          </cell>
          <cell r="F454">
            <v>5610</v>
          </cell>
          <cell r="G454" t="str">
            <v>盈余公积弥补亏损</v>
          </cell>
          <cell r="I454">
            <v>8773</v>
          </cell>
          <cell r="J454" t="str">
            <v>J</v>
          </cell>
        </row>
        <row r="455">
          <cell r="B455">
            <v>8775</v>
          </cell>
          <cell r="C455" t="str">
            <v>未分配利润_设定受益计划变动额结转留存收益</v>
          </cell>
          <cell r="D455">
            <v>-1</v>
          </cell>
          <cell r="E455" t="str">
            <v>OEI</v>
          </cell>
          <cell r="F455">
            <v>5610</v>
          </cell>
          <cell r="G455" t="str">
            <v>设定受益计划变动额结转留存收益</v>
          </cell>
          <cell r="I455">
            <v>8775</v>
          </cell>
          <cell r="J455" t="str">
            <v>J</v>
          </cell>
        </row>
        <row r="456">
          <cell r="B456">
            <v>8776</v>
          </cell>
          <cell r="C456" t="str">
            <v>未分配利润_所有者权益其他内部结转</v>
          </cell>
          <cell r="D456">
            <v>-1</v>
          </cell>
          <cell r="F456">
            <v>5610</v>
          </cell>
          <cell r="G456" t="str">
            <v>其他</v>
          </cell>
          <cell r="I456">
            <v>8776</v>
          </cell>
          <cell r="J456" t="str">
            <v>J</v>
          </cell>
        </row>
        <row r="457">
          <cell r="B457">
            <v>8780</v>
          </cell>
          <cell r="C457" t="str">
            <v>未分配利润_专项储备影响权益</v>
          </cell>
          <cell r="E457" t="str">
            <v>＝</v>
          </cell>
          <cell r="G457" t="str">
            <v>（五）专项储备</v>
          </cell>
          <cell r="I457">
            <v>8780</v>
          </cell>
        </row>
        <row r="458">
          <cell r="B458">
            <v>8781</v>
          </cell>
          <cell r="C458" t="str">
            <v>未分配利润_专项储备本期提取</v>
          </cell>
          <cell r="D458">
            <v>-1</v>
          </cell>
          <cell r="E458" t="str">
            <v>LOW</v>
          </cell>
          <cell r="F458">
            <v>5610</v>
          </cell>
          <cell r="G458" t="str">
            <v>本期提取</v>
          </cell>
          <cell r="I458">
            <v>8781</v>
          </cell>
          <cell r="J458" t="str">
            <v>J</v>
          </cell>
        </row>
        <row r="459">
          <cell r="B459">
            <v>8782</v>
          </cell>
          <cell r="C459" t="str">
            <v>未分配利润_专项储备本期使用</v>
          </cell>
          <cell r="D459">
            <v>-1</v>
          </cell>
          <cell r="E459" t="str">
            <v>LOW</v>
          </cell>
          <cell r="F459">
            <v>5610</v>
          </cell>
          <cell r="G459" t="str">
            <v>本期使用</v>
          </cell>
          <cell r="I459">
            <v>8782</v>
          </cell>
          <cell r="J459" t="str">
            <v>J</v>
          </cell>
        </row>
        <row r="460">
          <cell r="B460">
            <v>8796</v>
          </cell>
          <cell r="C460" t="str">
            <v>未分配利润_本期其他增减变动</v>
          </cell>
          <cell r="D460">
            <v>-1</v>
          </cell>
          <cell r="E460" t="str">
            <v>LOW</v>
          </cell>
          <cell r="F460">
            <v>5610</v>
          </cell>
          <cell r="G460" t="str">
            <v>（七）其他</v>
          </cell>
          <cell r="I460">
            <v>8796</v>
          </cell>
          <cell r="J460" t="str">
            <v>J</v>
          </cell>
        </row>
        <row r="461">
          <cell r="B461">
            <v>8799</v>
          </cell>
          <cell r="C461" t="str">
            <v>未分配利润_本期期末余额</v>
          </cell>
          <cell r="E461" t="str">
            <v>＝</v>
          </cell>
          <cell r="G461" t="str">
            <v>四、本期期末余额</v>
          </cell>
          <cell r="I461">
            <v>8799</v>
          </cell>
        </row>
        <row r="462">
          <cell r="B462">
            <v>8800</v>
          </cell>
          <cell r="C462" t="str">
            <v>其他归属于母公司所有者权益增减变动</v>
          </cell>
          <cell r="E462" t="str">
            <v>※</v>
          </cell>
          <cell r="G462" t="str">
            <v>其他归属于母公司所有者权益增减变动</v>
          </cell>
          <cell r="I462">
            <v>8800</v>
          </cell>
        </row>
        <row r="463">
          <cell r="B463">
            <v>8801</v>
          </cell>
          <cell r="C463" t="str">
            <v>其他归属于母公司所有者权益_上年年末余额</v>
          </cell>
          <cell r="D463">
            <v>-1</v>
          </cell>
          <cell r="E463" t="str">
            <v>※</v>
          </cell>
          <cell r="G463" t="str">
            <v>一、上年年末余额</v>
          </cell>
          <cell r="I463">
            <v>8801</v>
          </cell>
        </row>
        <row r="464">
          <cell r="B464">
            <v>8802</v>
          </cell>
          <cell r="C464" t="str">
            <v>其他归属于母公司所有者权益_会计政策变更调整上年年末余额</v>
          </cell>
          <cell r="D464">
            <v>-1</v>
          </cell>
          <cell r="E464" t="str">
            <v>※LOW</v>
          </cell>
          <cell r="G464" t="str">
            <v>加：会计政策变更</v>
          </cell>
          <cell r="I464">
            <v>8802</v>
          </cell>
        </row>
        <row r="465">
          <cell r="B465">
            <v>8803</v>
          </cell>
          <cell r="C465" t="str">
            <v>其他归属于母公司所有者权益_前期差错更正调整上年年末余额</v>
          </cell>
          <cell r="D465">
            <v>-1</v>
          </cell>
          <cell r="E465" t="str">
            <v>※LOW</v>
          </cell>
          <cell r="G465" t="str">
            <v>前期差错更正</v>
          </cell>
          <cell r="I465">
            <v>8803</v>
          </cell>
        </row>
        <row r="466">
          <cell r="B466">
            <v>8804</v>
          </cell>
          <cell r="C466" t="str">
            <v>其他归属于母公司所有者权益_同一控制下企业合并调整上年年末余额</v>
          </cell>
          <cell r="D466">
            <v>-1</v>
          </cell>
          <cell r="E466" t="str">
            <v>※</v>
          </cell>
          <cell r="G466" t="str">
            <v>同一控制下企业合并</v>
          </cell>
          <cell r="I466">
            <v>8804</v>
          </cell>
        </row>
        <row r="467">
          <cell r="B467">
            <v>8809</v>
          </cell>
          <cell r="C467" t="str">
            <v>其他归属于母公司所有者权益_其他原因调整上年年末余额</v>
          </cell>
          <cell r="D467">
            <v>-1</v>
          </cell>
          <cell r="E467" t="str">
            <v>※LOW</v>
          </cell>
          <cell r="G467" t="str">
            <v>其他</v>
          </cell>
          <cell r="I467">
            <v>8809</v>
          </cell>
        </row>
        <row r="468">
          <cell r="B468">
            <v>8810</v>
          </cell>
          <cell r="C468" t="str">
            <v>其他归属于母公司所有者权益_本年年初余额</v>
          </cell>
          <cell r="E468" t="str">
            <v>※＝</v>
          </cell>
          <cell r="G468" t="str">
            <v>二、本年年初余额</v>
          </cell>
          <cell r="I468">
            <v>8810</v>
          </cell>
        </row>
        <row r="469">
          <cell r="B469">
            <v>8890</v>
          </cell>
          <cell r="C469" t="str">
            <v>其他归属于母公司所有者权益_本期增减变动金额</v>
          </cell>
          <cell r="E469" t="str">
            <v>※＝</v>
          </cell>
          <cell r="G469" t="str">
            <v>三、本期增减变动金额（减少以“-”号填列）</v>
          </cell>
          <cell r="I469">
            <v>8890</v>
          </cell>
        </row>
        <row r="470">
          <cell r="B470">
            <v>8821</v>
          </cell>
          <cell r="C470" t="str">
            <v>其他归属于母公司所有者权益_净利润增加权益</v>
          </cell>
          <cell r="D470">
            <v>-1</v>
          </cell>
          <cell r="E470" t="str">
            <v>※LOW</v>
          </cell>
          <cell r="G470" t="str">
            <v>（一）净利润</v>
          </cell>
          <cell r="I470">
            <v>8821</v>
          </cell>
        </row>
        <row r="471">
          <cell r="B471">
            <v>8830</v>
          </cell>
          <cell r="C471" t="str">
            <v>其他归属于母公司所有者权益_其他综合收益</v>
          </cell>
          <cell r="D471">
            <v>-1</v>
          </cell>
          <cell r="E471" t="str">
            <v>※LOW</v>
          </cell>
          <cell r="G471" t="str">
            <v>（二）其他综合收益</v>
          </cell>
          <cell r="I471">
            <v>8830</v>
          </cell>
        </row>
        <row r="472">
          <cell r="B472">
            <v>8840</v>
          </cell>
          <cell r="C472" t="str">
            <v>其他归属于母公司所有者权益_综合收益总额增加权益</v>
          </cell>
          <cell r="D472">
            <v>-1</v>
          </cell>
          <cell r="E472" t="str">
            <v>※</v>
          </cell>
          <cell r="G472" t="str">
            <v>（一）综合收益总额</v>
          </cell>
          <cell r="I472">
            <v>8840</v>
          </cell>
        </row>
        <row r="473">
          <cell r="B473">
            <v>8850</v>
          </cell>
          <cell r="C473" t="str">
            <v>其他归属于母公司所有者权益_所有者投入和减少资本影响权益</v>
          </cell>
          <cell r="E473" t="str">
            <v>※＝</v>
          </cell>
          <cell r="G473" t="str">
            <v>（二）所有者投入和减少资本</v>
          </cell>
          <cell r="I473">
            <v>8850</v>
          </cell>
        </row>
        <row r="474">
          <cell r="B474">
            <v>8851</v>
          </cell>
          <cell r="C474" t="str">
            <v>其他归属于母公司所有者权益_所有者投入资本</v>
          </cell>
          <cell r="D474">
            <v>-1</v>
          </cell>
          <cell r="E474" t="str">
            <v>※LOW</v>
          </cell>
          <cell r="G474" t="str">
            <v>所有者投入资本</v>
          </cell>
          <cell r="I474">
            <v>8851</v>
          </cell>
        </row>
        <row r="475">
          <cell r="B475">
            <v>8852</v>
          </cell>
          <cell r="C475" t="str">
            <v>其他归属于母公司所有者权益_股份支付</v>
          </cell>
          <cell r="D475">
            <v>-1</v>
          </cell>
          <cell r="E475" t="str">
            <v>※LOW</v>
          </cell>
          <cell r="G475" t="str">
            <v>股份支付计入所有者权益的金额</v>
          </cell>
          <cell r="I475">
            <v>8852</v>
          </cell>
        </row>
        <row r="476">
          <cell r="B476">
            <v>8853</v>
          </cell>
          <cell r="C476" t="str">
            <v>其他归属于母公司所有者权益_其他权益工具持有者投入资本</v>
          </cell>
          <cell r="D476">
            <v>-1</v>
          </cell>
          <cell r="E476" t="str">
            <v>※OEI</v>
          </cell>
          <cell r="G476" t="str">
            <v>其他权益工具持有者投入资本</v>
          </cell>
          <cell r="I476">
            <v>8853</v>
          </cell>
        </row>
        <row r="477">
          <cell r="B477">
            <v>8856</v>
          </cell>
          <cell r="C477" t="str">
            <v>其他归属于母公司所有者权益_所有者其他投入和减少资本</v>
          </cell>
          <cell r="D477">
            <v>-1</v>
          </cell>
          <cell r="E477" t="str">
            <v>※LOW</v>
          </cell>
          <cell r="G477" t="str">
            <v>其他</v>
          </cell>
          <cell r="I477">
            <v>8856</v>
          </cell>
        </row>
        <row r="478">
          <cell r="B478">
            <v>8860</v>
          </cell>
          <cell r="C478" t="str">
            <v>其他归属于母公司所有者权益_利润分配影响权益</v>
          </cell>
          <cell r="E478" t="str">
            <v>※＝</v>
          </cell>
          <cell r="G478" t="str">
            <v>（三）利润分配</v>
          </cell>
          <cell r="I478">
            <v>8860</v>
          </cell>
        </row>
        <row r="479">
          <cell r="B479">
            <v>8861</v>
          </cell>
          <cell r="C479" t="str">
            <v>其他归属于母公司所有者权益_提取盈余公积</v>
          </cell>
          <cell r="D479">
            <v>-1</v>
          </cell>
          <cell r="E479" t="str">
            <v>※LOW</v>
          </cell>
          <cell r="G479" t="str">
            <v>提取盈余公积</v>
          </cell>
          <cell r="I479">
            <v>8861</v>
          </cell>
        </row>
        <row r="480">
          <cell r="B480">
            <v>8862</v>
          </cell>
          <cell r="C480" t="str">
            <v>其他归属于母公司所有者权益_提取一般风险准备</v>
          </cell>
          <cell r="D480">
            <v>-1</v>
          </cell>
          <cell r="E480" t="str">
            <v>※LOW</v>
          </cell>
          <cell r="G480" t="str">
            <v>提取一般风险准备</v>
          </cell>
          <cell r="I480">
            <v>8862</v>
          </cell>
        </row>
        <row r="481">
          <cell r="B481">
            <v>8863</v>
          </cell>
          <cell r="C481" t="str">
            <v>其他归属于母公司所有者权益_对所有者的分配</v>
          </cell>
          <cell r="D481">
            <v>-1</v>
          </cell>
          <cell r="E481" t="str">
            <v>※LOW</v>
          </cell>
          <cell r="G481" t="str">
            <v>对所有者（或股东）的分配</v>
          </cell>
          <cell r="I481">
            <v>8863</v>
          </cell>
        </row>
        <row r="482">
          <cell r="B482">
            <v>8866</v>
          </cell>
          <cell r="C482" t="str">
            <v>其他归属于母公司所有者权益_其他利润分配</v>
          </cell>
          <cell r="D482">
            <v>-1</v>
          </cell>
          <cell r="E482" t="str">
            <v>※LOW</v>
          </cell>
          <cell r="G482" t="str">
            <v>其他</v>
          </cell>
          <cell r="I482">
            <v>8866</v>
          </cell>
        </row>
        <row r="483">
          <cell r="B483">
            <v>8870</v>
          </cell>
          <cell r="C483" t="str">
            <v>其他归属于母公司所有者权益_所有者权益内部结转</v>
          </cell>
          <cell r="E483" t="str">
            <v>※＝</v>
          </cell>
          <cell r="G483" t="str">
            <v>（四）所有者权益内部结转</v>
          </cell>
          <cell r="I483">
            <v>8870</v>
          </cell>
        </row>
        <row r="484">
          <cell r="B484">
            <v>8871</v>
          </cell>
          <cell r="C484" t="str">
            <v>其他归属于母公司所有者权益_资本公积转增资本</v>
          </cell>
          <cell r="D484">
            <v>-1</v>
          </cell>
          <cell r="E484" t="str">
            <v>※LOW</v>
          </cell>
          <cell r="G484" t="str">
            <v>资本公积转增资本（或股本）</v>
          </cell>
          <cell r="I484">
            <v>8871</v>
          </cell>
        </row>
        <row r="485">
          <cell r="B485">
            <v>8872</v>
          </cell>
          <cell r="C485" t="str">
            <v>其他归属于母公司所有者权益_盈余公积转增资本</v>
          </cell>
          <cell r="D485">
            <v>-1</v>
          </cell>
          <cell r="E485" t="str">
            <v>※LOW</v>
          </cell>
          <cell r="G485" t="str">
            <v>盈余公积转增资本（或股本）</v>
          </cell>
          <cell r="I485">
            <v>8872</v>
          </cell>
        </row>
        <row r="486">
          <cell r="B486">
            <v>8873</v>
          </cell>
          <cell r="C486" t="str">
            <v>其他归属于母公司所有者权益_盈余公积弥补亏损</v>
          </cell>
          <cell r="D486">
            <v>-1</v>
          </cell>
          <cell r="E486" t="str">
            <v>※LOW</v>
          </cell>
          <cell r="G486" t="str">
            <v>盈余公积弥补亏损</v>
          </cell>
          <cell r="I486">
            <v>8873</v>
          </cell>
        </row>
        <row r="487">
          <cell r="B487">
            <v>8875</v>
          </cell>
          <cell r="C487" t="str">
            <v>其他归属于母公司所有者权益_设定受益计划变动额结转留存收益</v>
          </cell>
          <cell r="D487">
            <v>-1</v>
          </cell>
          <cell r="E487" t="str">
            <v>※OEI</v>
          </cell>
          <cell r="G487" t="str">
            <v>设定受益计划变动额结转留存收益</v>
          </cell>
          <cell r="I487">
            <v>8875</v>
          </cell>
        </row>
        <row r="488">
          <cell r="B488">
            <v>8876</v>
          </cell>
          <cell r="C488" t="str">
            <v>其他归属于母公司所有者权益_所有者权益其他内部结转</v>
          </cell>
          <cell r="D488">
            <v>-1</v>
          </cell>
          <cell r="E488" t="str">
            <v>※LOW</v>
          </cell>
          <cell r="G488" t="str">
            <v>其他</v>
          </cell>
          <cell r="I488">
            <v>8876</v>
          </cell>
        </row>
        <row r="489">
          <cell r="B489">
            <v>8880</v>
          </cell>
          <cell r="C489" t="str">
            <v>其他归属于母公司所有者权益_专项储备影响权益</v>
          </cell>
          <cell r="E489" t="str">
            <v>※＝</v>
          </cell>
          <cell r="G489" t="str">
            <v>（五）专项储备</v>
          </cell>
          <cell r="I489">
            <v>8880</v>
          </cell>
        </row>
        <row r="490">
          <cell r="B490">
            <v>8881</v>
          </cell>
          <cell r="C490" t="str">
            <v>其他归属于母公司所有者权益_专项储备本期提取</v>
          </cell>
          <cell r="D490">
            <v>-1</v>
          </cell>
          <cell r="E490" t="str">
            <v>※LOW</v>
          </cell>
          <cell r="G490" t="str">
            <v>本期提取</v>
          </cell>
          <cell r="I490">
            <v>8881</v>
          </cell>
        </row>
        <row r="491">
          <cell r="B491">
            <v>8882</v>
          </cell>
          <cell r="C491" t="str">
            <v>其他归属于母公司所有者权益_专项储备本期使用</v>
          </cell>
          <cell r="D491">
            <v>-1</v>
          </cell>
          <cell r="E491" t="str">
            <v>※LOW</v>
          </cell>
          <cell r="G491" t="str">
            <v>本期使用</v>
          </cell>
          <cell r="I491">
            <v>8882</v>
          </cell>
        </row>
        <row r="492">
          <cell r="B492">
            <v>8896</v>
          </cell>
          <cell r="C492" t="str">
            <v>其他归属于母公司所有者权益_本期其他增减变动</v>
          </cell>
          <cell r="D492">
            <v>-1</v>
          </cell>
          <cell r="E492" t="str">
            <v>※LOW</v>
          </cell>
          <cell r="G492" t="str">
            <v>（七）其他</v>
          </cell>
          <cell r="I492">
            <v>8896</v>
          </cell>
        </row>
        <row r="493">
          <cell r="B493">
            <v>8899</v>
          </cell>
          <cell r="C493" t="str">
            <v>其他归属于母公司所有者权益_本期期末余额</v>
          </cell>
          <cell r="E493" t="str">
            <v>※＝</v>
          </cell>
          <cell r="G493" t="str">
            <v>四、本期期末余额</v>
          </cell>
          <cell r="I493">
            <v>8899</v>
          </cell>
        </row>
        <row r="494">
          <cell r="B494">
            <v>8900</v>
          </cell>
          <cell r="C494" t="str">
            <v>少数股东权益增减变动</v>
          </cell>
          <cell r="E494" t="str">
            <v>※</v>
          </cell>
          <cell r="G494" t="str">
            <v>少数股东权益增减变动</v>
          </cell>
          <cell r="I494">
            <v>8900</v>
          </cell>
        </row>
        <row r="495">
          <cell r="B495">
            <v>8901</v>
          </cell>
          <cell r="C495" t="str">
            <v>少数股东权益_上年年末余额</v>
          </cell>
          <cell r="D495">
            <v>-1</v>
          </cell>
          <cell r="E495" t="str">
            <v>※</v>
          </cell>
          <cell r="G495" t="str">
            <v>一、上年年末余额</v>
          </cell>
          <cell r="I495">
            <v>8901</v>
          </cell>
          <cell r="J495" t="str">
            <v>J</v>
          </cell>
        </row>
        <row r="496">
          <cell r="B496">
            <v>8902</v>
          </cell>
          <cell r="C496" t="str">
            <v>少数股东权益_会计政策变更调整上年年末余额</v>
          </cell>
          <cell r="D496">
            <v>-1</v>
          </cell>
          <cell r="E496" t="str">
            <v>※</v>
          </cell>
          <cell r="G496" t="str">
            <v>加：会计政策变更</v>
          </cell>
          <cell r="I496">
            <v>8902</v>
          </cell>
          <cell r="J496" t="str">
            <v>J</v>
          </cell>
        </row>
        <row r="497">
          <cell r="B497">
            <v>8903</v>
          </cell>
          <cell r="C497" t="str">
            <v>少数股东权益_前期差错更正调整上年年末余额</v>
          </cell>
          <cell r="D497">
            <v>-1</v>
          </cell>
          <cell r="E497" t="str">
            <v>※</v>
          </cell>
          <cell r="G497" t="str">
            <v>前期差错更正</v>
          </cell>
          <cell r="I497">
            <v>8903</v>
          </cell>
          <cell r="J497" t="str">
            <v>J</v>
          </cell>
        </row>
        <row r="498">
          <cell r="B498">
            <v>8904</v>
          </cell>
          <cell r="C498" t="str">
            <v>少数股东权益_同一控制下企业合并调整上年年末余额</v>
          </cell>
          <cell r="D498">
            <v>-1</v>
          </cell>
          <cell r="E498" t="str">
            <v>※</v>
          </cell>
          <cell r="G498" t="str">
            <v>同一控制下企业合并</v>
          </cell>
          <cell r="I498">
            <v>8904</v>
          </cell>
          <cell r="J498" t="str">
            <v>J</v>
          </cell>
        </row>
        <row r="499">
          <cell r="B499">
            <v>8909</v>
          </cell>
          <cell r="C499" t="str">
            <v>少数股东权益_其他原因调整上年年末余额</v>
          </cell>
          <cell r="D499">
            <v>-1</v>
          </cell>
          <cell r="E499" t="str">
            <v>※</v>
          </cell>
          <cell r="G499" t="str">
            <v>其他</v>
          </cell>
          <cell r="I499">
            <v>8909</v>
          </cell>
          <cell r="J499" t="str">
            <v>J</v>
          </cell>
        </row>
        <row r="500">
          <cell r="B500">
            <v>8910</v>
          </cell>
          <cell r="C500" t="str">
            <v>少数股东权益_本年年初余额</v>
          </cell>
          <cell r="E500" t="str">
            <v>※＝</v>
          </cell>
          <cell r="G500" t="str">
            <v>二、本年年初余额</v>
          </cell>
          <cell r="I500">
            <v>8910</v>
          </cell>
        </row>
        <row r="501">
          <cell r="B501">
            <v>8990</v>
          </cell>
          <cell r="C501" t="str">
            <v>少数股东权益_本期增减变动金额</v>
          </cell>
          <cell r="E501" t="str">
            <v>※＝</v>
          </cell>
          <cell r="G501" t="str">
            <v>三、本期增减变动金额（减少以“-”号填列）</v>
          </cell>
          <cell r="I501">
            <v>8990</v>
          </cell>
        </row>
        <row r="502">
          <cell r="B502">
            <v>8921</v>
          </cell>
          <cell r="C502" t="str">
            <v>少数股东权益_净利润</v>
          </cell>
          <cell r="D502">
            <v>-1</v>
          </cell>
          <cell r="E502" t="str">
            <v>※</v>
          </cell>
          <cell r="G502" t="str">
            <v>（一）净利润</v>
          </cell>
          <cell r="I502">
            <v>8921</v>
          </cell>
          <cell r="J502" t="str">
            <v>J</v>
          </cell>
        </row>
        <row r="503">
          <cell r="B503">
            <v>8930</v>
          </cell>
          <cell r="C503" t="str">
            <v>少数股东权益_其他综合收益</v>
          </cell>
          <cell r="D503">
            <v>-1</v>
          </cell>
          <cell r="E503" t="str">
            <v>※</v>
          </cell>
          <cell r="G503" t="str">
            <v>（二）其他综合收益</v>
          </cell>
          <cell r="I503">
            <v>8930</v>
          </cell>
          <cell r="J503" t="str">
            <v>J</v>
          </cell>
        </row>
        <row r="504">
          <cell r="B504">
            <v>8940</v>
          </cell>
          <cell r="C504" t="str">
            <v>少数股东权益_综合收益总额增加权益</v>
          </cell>
          <cell r="D504">
            <v>-1</v>
          </cell>
          <cell r="E504" t="str">
            <v>※</v>
          </cell>
          <cell r="G504" t="str">
            <v>（一）综合收益总额</v>
          </cell>
          <cell r="I504">
            <v>8940</v>
          </cell>
          <cell r="J504" t="str">
            <v>J</v>
          </cell>
        </row>
        <row r="505">
          <cell r="B505">
            <v>8950</v>
          </cell>
          <cell r="C505" t="str">
            <v>少数股东权益_所有者投入和减少资本影响权益</v>
          </cell>
          <cell r="E505" t="str">
            <v>※＝</v>
          </cell>
          <cell r="G505" t="str">
            <v>（二）所有者投入和减少资本</v>
          </cell>
          <cell r="I505">
            <v>8950</v>
          </cell>
        </row>
        <row r="506">
          <cell r="B506">
            <v>8951</v>
          </cell>
          <cell r="C506" t="str">
            <v>少数股东权益_所有者投入资本</v>
          </cell>
          <cell r="D506">
            <v>-1</v>
          </cell>
          <cell r="E506" t="str">
            <v>※</v>
          </cell>
          <cell r="G506" t="str">
            <v>所有者投入资本</v>
          </cell>
          <cell r="I506">
            <v>8951</v>
          </cell>
          <cell r="J506" t="str">
            <v>J</v>
          </cell>
        </row>
        <row r="507">
          <cell r="B507">
            <v>8952</v>
          </cell>
          <cell r="C507" t="str">
            <v>少数股东权益_股份支付</v>
          </cell>
          <cell r="D507">
            <v>-1</v>
          </cell>
          <cell r="E507" t="str">
            <v>※LOW</v>
          </cell>
          <cell r="G507" t="str">
            <v>股份支付计入所有者权益的金额</v>
          </cell>
          <cell r="I507">
            <v>8952</v>
          </cell>
          <cell r="J507" t="str">
            <v>J</v>
          </cell>
        </row>
        <row r="508">
          <cell r="B508">
            <v>8953</v>
          </cell>
          <cell r="C508" t="str">
            <v>少数股东权益_其他权益工具持有者投入资本</v>
          </cell>
          <cell r="D508">
            <v>-1</v>
          </cell>
          <cell r="E508" t="str">
            <v>※OEI</v>
          </cell>
          <cell r="G508" t="str">
            <v>其他权益工具持有者投入资本</v>
          </cell>
          <cell r="I508">
            <v>8953</v>
          </cell>
          <cell r="J508" t="str">
            <v>J</v>
          </cell>
        </row>
        <row r="509">
          <cell r="B509">
            <v>8956</v>
          </cell>
          <cell r="C509" t="str">
            <v>少数股东权益_所有者其他投入和减少资本</v>
          </cell>
          <cell r="D509">
            <v>-1</v>
          </cell>
          <cell r="E509" t="str">
            <v>※LOW</v>
          </cell>
          <cell r="G509" t="str">
            <v>其他</v>
          </cell>
          <cell r="I509">
            <v>8956</v>
          </cell>
          <cell r="J509" t="str">
            <v>J</v>
          </cell>
        </row>
        <row r="510">
          <cell r="B510">
            <v>8960</v>
          </cell>
          <cell r="C510" t="str">
            <v>少数股东权益_利润分配影响权益</v>
          </cell>
          <cell r="E510" t="str">
            <v>※＝</v>
          </cell>
          <cell r="G510" t="str">
            <v>（三）利润分配</v>
          </cell>
          <cell r="I510">
            <v>8960</v>
          </cell>
        </row>
        <row r="511">
          <cell r="B511">
            <v>8963</v>
          </cell>
          <cell r="C511" t="str">
            <v>少数股东权益_对所有者的分配</v>
          </cell>
          <cell r="D511">
            <v>-1</v>
          </cell>
          <cell r="E511" t="str">
            <v>※</v>
          </cell>
          <cell r="G511" t="str">
            <v>对所有者（或股东）的分配</v>
          </cell>
          <cell r="I511">
            <v>8963</v>
          </cell>
          <cell r="J511" t="str">
            <v>J</v>
          </cell>
        </row>
        <row r="512">
          <cell r="B512">
            <v>8966</v>
          </cell>
          <cell r="C512" t="str">
            <v>少数股东权益_其他利润分配</v>
          </cell>
          <cell r="D512">
            <v>-1</v>
          </cell>
          <cell r="E512" t="str">
            <v>※LOW</v>
          </cell>
          <cell r="G512" t="str">
            <v>其他</v>
          </cell>
          <cell r="I512">
            <v>8966</v>
          </cell>
          <cell r="J512" t="str">
            <v>J</v>
          </cell>
        </row>
        <row r="513">
          <cell r="B513">
            <v>8970</v>
          </cell>
          <cell r="C513" t="str">
            <v>少数股东权益_所有者权益内部结转</v>
          </cell>
          <cell r="E513" t="str">
            <v>※＝</v>
          </cell>
          <cell r="G513" t="str">
            <v>（四）所有者权益内部结转</v>
          </cell>
          <cell r="I513">
            <v>8970</v>
          </cell>
        </row>
        <row r="514">
          <cell r="B514">
            <v>8975</v>
          </cell>
          <cell r="C514" t="str">
            <v>少数股东权益_设定受益计划变动额结转留存收益</v>
          </cell>
          <cell r="D514">
            <v>-1</v>
          </cell>
          <cell r="E514" t="str">
            <v>※OEI</v>
          </cell>
          <cell r="G514" t="str">
            <v>设定受益计划变动额结转留存收益</v>
          </cell>
          <cell r="I514">
            <v>8975</v>
          </cell>
          <cell r="J514" t="str">
            <v>J</v>
          </cell>
        </row>
        <row r="515">
          <cell r="B515">
            <v>8976</v>
          </cell>
          <cell r="C515" t="str">
            <v>少数股东权益_所有者权益其他内部结转</v>
          </cell>
          <cell r="D515">
            <v>-1</v>
          </cell>
          <cell r="E515" t="str">
            <v>※LOW</v>
          </cell>
          <cell r="G515" t="str">
            <v>其他</v>
          </cell>
          <cell r="I515">
            <v>8976</v>
          </cell>
          <cell r="J515" t="str">
            <v>J</v>
          </cell>
        </row>
        <row r="516">
          <cell r="B516">
            <v>8980</v>
          </cell>
          <cell r="C516" t="str">
            <v>少数股东权益_专项储备影响权益</v>
          </cell>
          <cell r="E516" t="str">
            <v>※＝</v>
          </cell>
          <cell r="G516" t="str">
            <v>（五）专项储备</v>
          </cell>
          <cell r="I516">
            <v>8980</v>
          </cell>
        </row>
        <row r="517">
          <cell r="B517">
            <v>8981</v>
          </cell>
          <cell r="C517" t="str">
            <v>少数股东权益_专项储备本期提取</v>
          </cell>
          <cell r="D517">
            <v>-1</v>
          </cell>
          <cell r="E517" t="str">
            <v>※LOW</v>
          </cell>
          <cell r="G517" t="str">
            <v>本期提取</v>
          </cell>
          <cell r="I517">
            <v>8981</v>
          </cell>
          <cell r="J517" t="str">
            <v>J</v>
          </cell>
        </row>
        <row r="518">
          <cell r="B518">
            <v>8982</v>
          </cell>
          <cell r="C518" t="str">
            <v>少数股东权益_专项储备本期使用</v>
          </cell>
          <cell r="D518">
            <v>-1</v>
          </cell>
          <cell r="E518" t="str">
            <v>※LOW</v>
          </cell>
          <cell r="G518" t="str">
            <v>本期使用</v>
          </cell>
          <cell r="I518">
            <v>8982</v>
          </cell>
          <cell r="J518" t="str">
            <v>J</v>
          </cell>
        </row>
        <row r="519">
          <cell r="B519">
            <v>8996</v>
          </cell>
          <cell r="C519" t="str">
            <v>少数股东权益_本期其他增减变动</v>
          </cell>
          <cell r="D519">
            <v>-1</v>
          </cell>
          <cell r="E519" t="str">
            <v>※LOW</v>
          </cell>
          <cell r="G519" t="str">
            <v>（七）其他</v>
          </cell>
          <cell r="I519">
            <v>8996</v>
          </cell>
          <cell r="J519" t="str">
            <v>J</v>
          </cell>
        </row>
        <row r="520">
          <cell r="B520">
            <v>8999</v>
          </cell>
          <cell r="C520" t="str">
            <v>少数股东权益_本期期末余额</v>
          </cell>
          <cell r="E520" t="str">
            <v>※＝</v>
          </cell>
          <cell r="G520" t="str">
            <v>四、本期期末余额</v>
          </cell>
          <cell r="I520">
            <v>8999</v>
          </cell>
        </row>
        <row r="521">
          <cell r="B521">
            <v>7</v>
          </cell>
          <cell r="C521" t="str">
            <v>现金流量表</v>
          </cell>
          <cell r="E521" t="str">
            <v>：</v>
          </cell>
          <cell r="G521" t="str">
            <v>现金流量表</v>
          </cell>
          <cell r="I521">
            <v>7</v>
          </cell>
        </row>
        <row r="522">
          <cell r="B522">
            <v>7000</v>
          </cell>
          <cell r="C522" t="str">
            <v>经营活动现金流量项目</v>
          </cell>
          <cell r="E522" t="str">
            <v>：</v>
          </cell>
          <cell r="G522" t="str">
            <v>一、经营活动产生的现金流量：</v>
          </cell>
          <cell r="H522" t="str">
            <v>一、经营活动产生的现金流量：</v>
          </cell>
          <cell r="I522">
            <v>7000</v>
          </cell>
        </row>
        <row r="523">
          <cell r="B523">
            <v>7001</v>
          </cell>
          <cell r="C523" t="str">
            <v>销售商品提供劳务收到的现金</v>
          </cell>
          <cell r="D523">
            <v>1</v>
          </cell>
          <cell r="G523" t="str">
            <v>销售商品、提供劳务收到的现金</v>
          </cell>
          <cell r="H523" t="str">
            <v>销售商品、提供劳务收到的现金</v>
          </cell>
          <cell r="I523">
            <v>7001</v>
          </cell>
          <cell r="J523" t="str">
            <v>J</v>
          </cell>
        </row>
        <row r="524">
          <cell r="B524">
            <v>7011</v>
          </cell>
          <cell r="C524" t="str">
            <v>客户存款和同业存放款项净增加额</v>
          </cell>
          <cell r="D524">
            <v>1</v>
          </cell>
          <cell r="E524" t="str">
            <v>△</v>
          </cell>
          <cell r="G524" t="str">
            <v>客户存款和同业存放款项净增加额</v>
          </cell>
          <cell r="H524" t="str">
            <v>客户存款和同业存放款项净增加额</v>
          </cell>
          <cell r="I524">
            <v>7011</v>
          </cell>
          <cell r="J524" t="str">
            <v>J</v>
          </cell>
        </row>
        <row r="525">
          <cell r="B525">
            <v>7012</v>
          </cell>
          <cell r="C525" t="str">
            <v>向中央银行借款净增加额</v>
          </cell>
          <cell r="D525">
            <v>1</v>
          </cell>
          <cell r="E525" t="str">
            <v>△</v>
          </cell>
          <cell r="G525" t="str">
            <v>向中央银行借款净增加额</v>
          </cell>
          <cell r="H525" t="str">
            <v>向中央银行借款净增加额</v>
          </cell>
          <cell r="I525">
            <v>7012</v>
          </cell>
          <cell r="J525" t="str">
            <v>J</v>
          </cell>
        </row>
        <row r="526">
          <cell r="B526">
            <v>7013</v>
          </cell>
          <cell r="C526" t="str">
            <v>向其他金融机构拆入资金净增加额</v>
          </cell>
          <cell r="D526">
            <v>1</v>
          </cell>
          <cell r="E526" t="str">
            <v>△</v>
          </cell>
          <cell r="G526" t="str">
            <v>向其他金融机构拆入资金净增加额</v>
          </cell>
          <cell r="H526" t="str">
            <v>向其他金融机构拆入资金净增加额</v>
          </cell>
          <cell r="I526">
            <v>7013</v>
          </cell>
          <cell r="J526" t="str">
            <v>J</v>
          </cell>
        </row>
        <row r="527">
          <cell r="B527">
            <v>7014</v>
          </cell>
          <cell r="C527" t="str">
            <v>收到原保险合同保费取得的现金</v>
          </cell>
          <cell r="D527">
            <v>1</v>
          </cell>
          <cell r="E527" t="str">
            <v>△</v>
          </cell>
          <cell r="G527" t="str">
            <v>收到原保险合同保费取得的现金</v>
          </cell>
          <cell r="H527" t="str">
            <v>收到原保险合同保费取得的现金</v>
          </cell>
          <cell r="I527">
            <v>7014</v>
          </cell>
          <cell r="J527" t="str">
            <v>J</v>
          </cell>
        </row>
        <row r="528">
          <cell r="B528">
            <v>7015</v>
          </cell>
          <cell r="C528" t="str">
            <v>收到再保险业务现金净额</v>
          </cell>
          <cell r="D528">
            <v>1</v>
          </cell>
          <cell r="E528" t="str">
            <v>△</v>
          </cell>
          <cell r="G528" t="str">
            <v>收到再保险业务现金净额</v>
          </cell>
          <cell r="H528" t="str">
            <v>收到再保险业务现金净额</v>
          </cell>
          <cell r="I528">
            <v>7015</v>
          </cell>
          <cell r="J528" t="str">
            <v>J</v>
          </cell>
        </row>
        <row r="529">
          <cell r="B529">
            <v>7016</v>
          </cell>
          <cell r="C529" t="str">
            <v>保户储金及投资款净增加额</v>
          </cell>
          <cell r="D529">
            <v>1</v>
          </cell>
          <cell r="E529" t="str">
            <v>△</v>
          </cell>
          <cell r="G529" t="str">
            <v>保户储金及投资款净增加额</v>
          </cell>
          <cell r="H529" t="str">
            <v>保户储金及投资款净增加额</v>
          </cell>
          <cell r="I529">
            <v>7016</v>
          </cell>
          <cell r="J529" t="str">
            <v>J</v>
          </cell>
        </row>
        <row r="530">
          <cell r="B530">
            <v>7021</v>
          </cell>
          <cell r="C530" t="str">
            <v>处置交易性金融资产净增加额</v>
          </cell>
          <cell r="D530">
            <v>1</v>
          </cell>
          <cell r="E530" t="str">
            <v>△</v>
          </cell>
          <cell r="G530" t="str">
            <v>处置以公允价值计量且其变动计入当期损益的金融资产净增加额</v>
          </cell>
          <cell r="H530" t="str">
            <v>处置以公允价值计量且其变动计入当期损益的金融资产净增加额</v>
          </cell>
          <cell r="I530">
            <v>7021</v>
          </cell>
          <cell r="J530" t="str">
            <v>J</v>
          </cell>
        </row>
        <row r="531">
          <cell r="B531">
            <v>7023</v>
          </cell>
          <cell r="C531" t="str">
            <v>收取利息手续费及佣金的现金</v>
          </cell>
          <cell r="D531">
            <v>1</v>
          </cell>
          <cell r="E531" t="str">
            <v>△</v>
          </cell>
          <cell r="G531" t="str">
            <v>收取利息、手续费及佣金的现金</v>
          </cell>
          <cell r="H531" t="str">
            <v>收取利息、手续费及佣金的现金</v>
          </cell>
          <cell r="I531">
            <v>7023</v>
          </cell>
          <cell r="J531" t="str">
            <v>J</v>
          </cell>
        </row>
        <row r="532">
          <cell r="B532">
            <v>7025</v>
          </cell>
          <cell r="C532" t="str">
            <v>拆入资金净增加额</v>
          </cell>
          <cell r="D532">
            <v>1</v>
          </cell>
          <cell r="E532" t="str">
            <v>△</v>
          </cell>
          <cell r="G532" t="str">
            <v>拆入资金净增加额</v>
          </cell>
          <cell r="H532" t="str">
            <v>拆入资金净增加额</v>
          </cell>
          <cell r="I532">
            <v>7025</v>
          </cell>
          <cell r="J532" t="str">
            <v>J</v>
          </cell>
        </row>
        <row r="533">
          <cell r="B533">
            <v>7026</v>
          </cell>
          <cell r="C533" t="str">
            <v>回购业务资金净增加额</v>
          </cell>
          <cell r="D533">
            <v>1</v>
          </cell>
          <cell r="E533" t="str">
            <v>△</v>
          </cell>
          <cell r="G533" t="str">
            <v>回购业务资金净增加额</v>
          </cell>
          <cell r="H533" t="str">
            <v>回购业务资金净增加额</v>
          </cell>
          <cell r="I533">
            <v>7026</v>
          </cell>
          <cell r="J533" t="str">
            <v>J</v>
          </cell>
        </row>
        <row r="534">
          <cell r="B534">
            <v>7031</v>
          </cell>
          <cell r="C534" t="str">
            <v>收到的税费返还</v>
          </cell>
          <cell r="D534">
            <v>1</v>
          </cell>
          <cell r="G534" t="str">
            <v>收到的税费返还</v>
          </cell>
          <cell r="H534" t="str">
            <v>收到的税费返还</v>
          </cell>
          <cell r="I534">
            <v>7031</v>
          </cell>
          <cell r="J534" t="str">
            <v>J</v>
          </cell>
        </row>
        <row r="535">
          <cell r="B535">
            <v>7046</v>
          </cell>
          <cell r="C535" t="str">
            <v>收到其他与经营活动有关的现金</v>
          </cell>
          <cell r="D535">
            <v>1</v>
          </cell>
          <cell r="G535" t="str">
            <v>收到其他与经营活动有关的现金</v>
          </cell>
          <cell r="H535" t="str">
            <v>收到其他与经营活动有关的现金</v>
          </cell>
          <cell r="I535">
            <v>7046</v>
          </cell>
          <cell r="J535" t="str">
            <v>J</v>
          </cell>
        </row>
        <row r="536">
          <cell r="B536">
            <v>7048</v>
          </cell>
          <cell r="C536" t="str">
            <v>经营活动现金流入</v>
          </cell>
          <cell r="E536" t="str">
            <v>＝</v>
          </cell>
          <cell r="G536" t="str">
            <v>经营活动现金流入小计</v>
          </cell>
          <cell r="H536" t="str">
            <v>经营活动现金流入小计</v>
          </cell>
          <cell r="I536">
            <v>7048</v>
          </cell>
        </row>
        <row r="537">
          <cell r="B537">
            <v>7051</v>
          </cell>
          <cell r="C537" t="str">
            <v>购买商品接受劳务支付的现金</v>
          </cell>
          <cell r="D537">
            <v>-1</v>
          </cell>
          <cell r="G537" t="str">
            <v>购买商品、接受劳务支付的现金</v>
          </cell>
          <cell r="H537" t="str">
            <v>购买商品、接受劳务支付的现金</v>
          </cell>
          <cell r="I537">
            <v>7051</v>
          </cell>
          <cell r="J537" t="str">
            <v>J</v>
          </cell>
        </row>
        <row r="538">
          <cell r="B538">
            <v>7053</v>
          </cell>
          <cell r="C538" t="str">
            <v>客户贷款及垫款净增加额</v>
          </cell>
          <cell r="D538">
            <v>-1</v>
          </cell>
          <cell r="E538" t="str">
            <v>△</v>
          </cell>
          <cell r="G538" t="str">
            <v>客户贷款及垫款净增加额</v>
          </cell>
          <cell r="H538" t="str">
            <v>客户贷款及垫款净增加额</v>
          </cell>
          <cell r="I538">
            <v>7053</v>
          </cell>
          <cell r="J538" t="str">
            <v>J</v>
          </cell>
        </row>
        <row r="539">
          <cell r="B539">
            <v>7054</v>
          </cell>
          <cell r="C539" t="str">
            <v>存放中央银行和同业款项净增加额</v>
          </cell>
          <cell r="D539">
            <v>-1</v>
          </cell>
          <cell r="E539" t="str">
            <v>△</v>
          </cell>
          <cell r="G539" t="str">
            <v>存放中央银行和同业款项净增加额</v>
          </cell>
          <cell r="H539" t="str">
            <v>存放中央银行和同业款项净增加额</v>
          </cell>
          <cell r="I539">
            <v>7054</v>
          </cell>
          <cell r="J539" t="str">
            <v>J</v>
          </cell>
        </row>
        <row r="540">
          <cell r="B540">
            <v>7055</v>
          </cell>
          <cell r="C540" t="str">
            <v>支付原保险合同赔付款项的现金</v>
          </cell>
          <cell r="D540">
            <v>-1</v>
          </cell>
          <cell r="E540" t="str">
            <v>△</v>
          </cell>
          <cell r="G540" t="str">
            <v>支付原保险合同赔付款项的现金</v>
          </cell>
          <cell r="H540" t="str">
            <v>支付原保险合同赔付款项的现金</v>
          </cell>
          <cell r="I540">
            <v>7055</v>
          </cell>
          <cell r="J540" t="str">
            <v>J</v>
          </cell>
        </row>
        <row r="541">
          <cell r="B541">
            <v>7056</v>
          </cell>
          <cell r="C541" t="str">
            <v>支付利息手续费及佣金的现金</v>
          </cell>
          <cell r="D541">
            <v>-1</v>
          </cell>
          <cell r="E541" t="str">
            <v>△</v>
          </cell>
          <cell r="G541" t="str">
            <v>支付利息、手续费及佣金的现金</v>
          </cell>
          <cell r="H541" t="str">
            <v>支付利息、手续费及佣金的现金</v>
          </cell>
          <cell r="I541">
            <v>7056</v>
          </cell>
          <cell r="J541" t="str">
            <v>J</v>
          </cell>
        </row>
        <row r="542">
          <cell r="B542">
            <v>7057</v>
          </cell>
          <cell r="C542" t="str">
            <v>支付保单红利的现金</v>
          </cell>
          <cell r="D542">
            <v>-1</v>
          </cell>
          <cell r="E542" t="str">
            <v>△</v>
          </cell>
          <cell r="G542" t="str">
            <v>支付保单红利的现金</v>
          </cell>
          <cell r="H542" t="str">
            <v>支付保单红利的现金</v>
          </cell>
          <cell r="I542">
            <v>7057</v>
          </cell>
          <cell r="J542" t="str">
            <v>J</v>
          </cell>
        </row>
        <row r="543">
          <cell r="B543">
            <v>7061</v>
          </cell>
          <cell r="C543" t="str">
            <v>支付给职工以及为职工支付的现金</v>
          </cell>
          <cell r="D543">
            <v>-1</v>
          </cell>
          <cell r="G543" t="str">
            <v>支付给职工以及为职工支付的现金</v>
          </cell>
          <cell r="H543" t="str">
            <v>支付给职工以及为职工支付的现金</v>
          </cell>
          <cell r="I543">
            <v>7061</v>
          </cell>
          <cell r="J543" t="str">
            <v>J</v>
          </cell>
        </row>
        <row r="544">
          <cell r="B544">
            <v>7071</v>
          </cell>
          <cell r="C544" t="str">
            <v>支付的各项税费</v>
          </cell>
          <cell r="D544">
            <v>-1</v>
          </cell>
          <cell r="G544" t="str">
            <v>支付的各项税费</v>
          </cell>
          <cell r="H544" t="str">
            <v>支付的各项税费</v>
          </cell>
          <cell r="I544">
            <v>7071</v>
          </cell>
          <cell r="J544" t="str">
            <v>J</v>
          </cell>
        </row>
        <row r="545">
          <cell r="B545">
            <v>7096</v>
          </cell>
          <cell r="C545" t="str">
            <v>支付其他与经营活动有关的现金</v>
          </cell>
          <cell r="D545">
            <v>-1</v>
          </cell>
          <cell r="G545" t="str">
            <v>支付其他与经营活动有关的现金</v>
          </cell>
          <cell r="H545" t="str">
            <v>支付其他与经营活动有关的现金</v>
          </cell>
          <cell r="I545">
            <v>7096</v>
          </cell>
          <cell r="J545" t="str">
            <v>J</v>
          </cell>
        </row>
        <row r="546">
          <cell r="B546">
            <v>7098</v>
          </cell>
          <cell r="C546" t="str">
            <v>经营活动现金流出</v>
          </cell>
          <cell r="E546" t="str">
            <v>＝</v>
          </cell>
          <cell r="G546" t="str">
            <v>经营活动现金流出小计</v>
          </cell>
          <cell r="H546" t="str">
            <v>经营活动现金流出小计</v>
          </cell>
          <cell r="I546">
            <v>7098</v>
          </cell>
        </row>
        <row r="547">
          <cell r="B547">
            <v>7099</v>
          </cell>
          <cell r="C547" t="str">
            <v>经营活动产生的现金流量净额</v>
          </cell>
          <cell r="E547" t="str">
            <v>＝</v>
          </cell>
          <cell r="G547" t="str">
            <v>经营活动产生的现金流量净额</v>
          </cell>
          <cell r="H547" t="str">
            <v>经营活动产生的现金流量净额</v>
          </cell>
          <cell r="I547">
            <v>7099</v>
          </cell>
        </row>
        <row r="548">
          <cell r="B548">
            <v>7100</v>
          </cell>
          <cell r="C548" t="str">
            <v>投资活动现金流量项目</v>
          </cell>
          <cell r="E548" t="str">
            <v>：</v>
          </cell>
          <cell r="G548" t="str">
            <v>二、投资活动产生的现金流量：</v>
          </cell>
          <cell r="H548" t="str">
            <v>二、投资活动产生的现金流量：</v>
          </cell>
          <cell r="I548">
            <v>7100</v>
          </cell>
        </row>
        <row r="549">
          <cell r="B549">
            <v>7101</v>
          </cell>
          <cell r="C549" t="str">
            <v>收回投资收到的现金</v>
          </cell>
          <cell r="D549">
            <v>1</v>
          </cell>
          <cell r="G549" t="str">
            <v>收回投资收到的现金</v>
          </cell>
          <cell r="H549" t="str">
            <v>收回投资收到的现金</v>
          </cell>
          <cell r="I549">
            <v>7101</v>
          </cell>
          <cell r="J549" t="str">
            <v>J</v>
          </cell>
        </row>
        <row r="550">
          <cell r="B550">
            <v>7105</v>
          </cell>
          <cell r="C550" t="str">
            <v>取得投资收益收到的现金</v>
          </cell>
          <cell r="D550">
            <v>1</v>
          </cell>
          <cell r="G550" t="str">
            <v>取得投资收益收到的现金</v>
          </cell>
          <cell r="H550" t="str">
            <v>取得投资收益收到的现金</v>
          </cell>
          <cell r="I550">
            <v>7105</v>
          </cell>
          <cell r="J550" t="str">
            <v>J</v>
          </cell>
        </row>
        <row r="551">
          <cell r="B551">
            <v>7111</v>
          </cell>
          <cell r="C551" t="str">
            <v>处置固定资产无形资产长期资产收回的现金</v>
          </cell>
          <cell r="D551">
            <v>1</v>
          </cell>
          <cell r="G551" t="str">
            <v>处置固定资产、无形资产和其他长期资产收回的现金净额</v>
          </cell>
          <cell r="H551" t="str">
            <v>处置固定资产、无形资产和其他长期资产所收回的现金净额</v>
          </cell>
          <cell r="I551">
            <v>7111</v>
          </cell>
          <cell r="J551" t="str">
            <v>J</v>
          </cell>
        </row>
        <row r="552">
          <cell r="B552">
            <v>7121</v>
          </cell>
          <cell r="C552" t="str">
            <v>处置子公司及其他营业单位收到的现金净额</v>
          </cell>
          <cell r="D552">
            <v>1</v>
          </cell>
          <cell r="G552" t="str">
            <v>处置子公司及其他营业单位收到的现金净额</v>
          </cell>
          <cell r="H552" t="str">
            <v>处置子公司及其他营业单位收到的现金净额</v>
          </cell>
          <cell r="I552">
            <v>7121</v>
          </cell>
          <cell r="J552" t="str">
            <v>J</v>
          </cell>
        </row>
        <row r="553">
          <cell r="B553">
            <v>7146</v>
          </cell>
          <cell r="C553" t="str">
            <v>收到其他与投资活动有关的现金</v>
          </cell>
          <cell r="D553">
            <v>1</v>
          </cell>
          <cell r="G553" t="str">
            <v>收到其他与投资活动有关的现金</v>
          </cell>
          <cell r="H553" t="str">
            <v>收到其他与投资活动有关的现金</v>
          </cell>
          <cell r="I553">
            <v>7146</v>
          </cell>
          <cell r="J553" t="str">
            <v>J</v>
          </cell>
        </row>
        <row r="554">
          <cell r="B554">
            <v>7148</v>
          </cell>
          <cell r="C554" t="str">
            <v>投资活动现金流入</v>
          </cell>
          <cell r="E554" t="str">
            <v>＝</v>
          </cell>
          <cell r="G554" t="str">
            <v>投资活动现金流入小计</v>
          </cell>
          <cell r="H554" t="str">
            <v>投资活动现金流入小计</v>
          </cell>
          <cell r="I554">
            <v>7148</v>
          </cell>
        </row>
        <row r="555">
          <cell r="B555">
            <v>7151</v>
          </cell>
          <cell r="C555" t="str">
            <v>购置固定资产无形资产长期资产支付的现金</v>
          </cell>
          <cell r="D555">
            <v>-1</v>
          </cell>
          <cell r="G555" t="str">
            <v>购置固定资产、无形资产和其他长期资产支付的现金</v>
          </cell>
          <cell r="H555" t="str">
            <v>购置固定资产、无形资产和其他长期资产支付的现金</v>
          </cell>
          <cell r="I555">
            <v>7151</v>
          </cell>
          <cell r="J555" t="str">
            <v>J</v>
          </cell>
        </row>
        <row r="556">
          <cell r="B556">
            <v>7161</v>
          </cell>
          <cell r="C556" t="str">
            <v>投资支付的现金</v>
          </cell>
          <cell r="D556">
            <v>-1</v>
          </cell>
          <cell r="G556" t="str">
            <v>投资支付的现金</v>
          </cell>
          <cell r="H556" t="str">
            <v>投资支付的现金</v>
          </cell>
          <cell r="I556">
            <v>7161</v>
          </cell>
          <cell r="J556" t="str">
            <v>J</v>
          </cell>
        </row>
        <row r="557">
          <cell r="B557">
            <v>7165</v>
          </cell>
          <cell r="C557" t="str">
            <v>质押贷款净增加额</v>
          </cell>
          <cell r="D557">
            <v>-1</v>
          </cell>
          <cell r="E557" t="str">
            <v>△</v>
          </cell>
          <cell r="G557" t="str">
            <v>质押贷款净增加额</v>
          </cell>
          <cell r="H557" t="str">
            <v>质押贷款净增加额</v>
          </cell>
          <cell r="I557">
            <v>7165</v>
          </cell>
          <cell r="J557" t="str">
            <v>J</v>
          </cell>
        </row>
        <row r="558">
          <cell r="B558">
            <v>7171</v>
          </cell>
          <cell r="C558" t="str">
            <v>取得子公司及其他营业单位支付的现金净额</v>
          </cell>
          <cell r="D558">
            <v>-1</v>
          </cell>
          <cell r="G558" t="str">
            <v>取得子公司及其他营业单位支付的现金净额</v>
          </cell>
          <cell r="H558" t="str">
            <v>取得子公司及其他营业单位支付的现金净额</v>
          </cell>
          <cell r="I558">
            <v>7171</v>
          </cell>
          <cell r="J558" t="str">
            <v>J</v>
          </cell>
        </row>
        <row r="559">
          <cell r="B559">
            <v>7196</v>
          </cell>
          <cell r="C559" t="str">
            <v>支付其他与投资活动有关的现金</v>
          </cell>
          <cell r="D559">
            <v>-1</v>
          </cell>
          <cell r="G559" t="str">
            <v>支付其他与投资活动有关的现金</v>
          </cell>
          <cell r="H559" t="str">
            <v>支付其他与投资活动有关的现金</v>
          </cell>
          <cell r="I559">
            <v>7196</v>
          </cell>
          <cell r="J559" t="str">
            <v>J</v>
          </cell>
        </row>
        <row r="560">
          <cell r="B560">
            <v>7198</v>
          </cell>
          <cell r="C560" t="str">
            <v>投资活动现金流出</v>
          </cell>
          <cell r="E560" t="str">
            <v>＝</v>
          </cell>
          <cell r="G560" t="str">
            <v>投资活动现金流出小计</v>
          </cell>
          <cell r="H560" t="str">
            <v>投资活动现金流出小计</v>
          </cell>
          <cell r="I560">
            <v>7198</v>
          </cell>
        </row>
        <row r="561">
          <cell r="B561">
            <v>7199</v>
          </cell>
          <cell r="C561" t="str">
            <v>投资活动产生的现金流量净额</v>
          </cell>
          <cell r="E561" t="str">
            <v>＝</v>
          </cell>
          <cell r="G561" t="str">
            <v>投资活动产生的现金流量净额</v>
          </cell>
          <cell r="H561" t="str">
            <v>投资活动产生的现金流量净额</v>
          </cell>
          <cell r="I561">
            <v>7199</v>
          </cell>
        </row>
        <row r="562">
          <cell r="B562">
            <v>7200</v>
          </cell>
          <cell r="C562" t="str">
            <v>筹资活动现金流量项目</v>
          </cell>
          <cell r="E562" t="str">
            <v>：</v>
          </cell>
          <cell r="G562" t="str">
            <v>三、筹资活动产生的现金流量：</v>
          </cell>
          <cell r="H562" t="str">
            <v>三、筹资活动产生的现金流量：</v>
          </cell>
          <cell r="I562">
            <v>7200</v>
          </cell>
        </row>
        <row r="563">
          <cell r="B563">
            <v>7201</v>
          </cell>
          <cell r="C563" t="str">
            <v>吸收投资收到的现金</v>
          </cell>
          <cell r="D563">
            <v>1</v>
          </cell>
          <cell r="G563" t="str">
            <v>吸收投资收到的现金</v>
          </cell>
          <cell r="H563" t="str">
            <v>吸收投资收到的现金</v>
          </cell>
          <cell r="I563">
            <v>7201</v>
          </cell>
          <cell r="J563" t="str">
            <v>J</v>
          </cell>
        </row>
        <row r="564">
          <cell r="B564">
            <v>7201.01</v>
          </cell>
          <cell r="C564" t="str">
            <v>子公司吸收少数股东投资收到的现金</v>
          </cell>
          <cell r="D564">
            <v>1</v>
          </cell>
          <cell r="E564" t="str">
            <v>※</v>
          </cell>
          <cell r="G564" t="str">
            <v>其中：子公司吸收少数股东权益性投资收到的现金</v>
          </cell>
          <cell r="H564" t="str">
            <v>其中：子公司吸收少数股东投资收到的现金</v>
          </cell>
          <cell r="I564">
            <v>7201.01</v>
          </cell>
          <cell r="J564" t="str">
            <v>J</v>
          </cell>
        </row>
        <row r="565">
          <cell r="B565">
            <v>7211</v>
          </cell>
          <cell r="C565" t="str">
            <v>取得借款收到的现金</v>
          </cell>
          <cell r="D565">
            <v>1</v>
          </cell>
          <cell r="G565" t="str">
            <v>取得借款收到的现金</v>
          </cell>
          <cell r="H565" t="str">
            <v>取得借款所收到的现金</v>
          </cell>
          <cell r="I565">
            <v>7211</v>
          </cell>
          <cell r="J565" t="str">
            <v>J</v>
          </cell>
        </row>
        <row r="566">
          <cell r="B566">
            <v>7221</v>
          </cell>
          <cell r="C566" t="str">
            <v>发行债券收到的现金</v>
          </cell>
          <cell r="D566">
            <v>1</v>
          </cell>
          <cell r="G566" t="str">
            <v>发行债券收到的现金</v>
          </cell>
          <cell r="H566" t="str">
            <v>发行债券收到的现金</v>
          </cell>
          <cell r="I566">
            <v>7221</v>
          </cell>
          <cell r="J566" t="str">
            <v>J</v>
          </cell>
        </row>
        <row r="567">
          <cell r="B567">
            <v>7246</v>
          </cell>
          <cell r="C567" t="str">
            <v>收到其他与筹资活动有关的现金</v>
          </cell>
          <cell r="D567">
            <v>1</v>
          </cell>
          <cell r="G567" t="str">
            <v>收到其他与筹资活动有关的现金</v>
          </cell>
          <cell r="H567" t="str">
            <v>收到其他与筹资活动有关的现金</v>
          </cell>
          <cell r="I567">
            <v>7246</v>
          </cell>
          <cell r="J567" t="str">
            <v>J</v>
          </cell>
        </row>
        <row r="568">
          <cell r="B568">
            <v>7248</v>
          </cell>
          <cell r="C568" t="str">
            <v>筹资活动现金流入</v>
          </cell>
          <cell r="E568" t="str">
            <v>＝</v>
          </cell>
          <cell r="G568" t="str">
            <v>筹资活动现金流入小计</v>
          </cell>
          <cell r="H568" t="str">
            <v>筹资活动现金流入小计</v>
          </cell>
          <cell r="I568">
            <v>7248</v>
          </cell>
        </row>
        <row r="569">
          <cell r="B569">
            <v>7251</v>
          </cell>
          <cell r="C569" t="str">
            <v>偿还债务支付的现金</v>
          </cell>
          <cell r="D569">
            <v>-1</v>
          </cell>
          <cell r="G569" t="str">
            <v>偿还债务支付的现金</v>
          </cell>
          <cell r="H569" t="str">
            <v>偿还债务所支付的现金</v>
          </cell>
          <cell r="I569">
            <v>7251</v>
          </cell>
          <cell r="J569" t="str">
            <v>J</v>
          </cell>
        </row>
        <row r="570">
          <cell r="B570">
            <v>7261</v>
          </cell>
          <cell r="C570" t="str">
            <v>分配利润偿付利息支付的现金</v>
          </cell>
          <cell r="D570">
            <v>-1</v>
          </cell>
          <cell r="G570" t="str">
            <v>分配股利、利润或偿付利息支付的现金</v>
          </cell>
          <cell r="H570" t="str">
            <v>分配股利、利润或偿付利息所支付的现金</v>
          </cell>
          <cell r="I570">
            <v>7261</v>
          </cell>
          <cell r="J570" t="str">
            <v>J</v>
          </cell>
        </row>
        <row r="571">
          <cell r="B571">
            <v>7261.01</v>
          </cell>
          <cell r="C571" t="str">
            <v>子公司支付少数股东的现金股利</v>
          </cell>
          <cell r="D571">
            <v>-1</v>
          </cell>
          <cell r="E571" t="str">
            <v>※</v>
          </cell>
          <cell r="G571" t="str">
            <v>其中：子公司支付少数股东的现金股利</v>
          </cell>
          <cell r="H571" t="str">
            <v>其中：子公司支付给少数股东的股利、利润</v>
          </cell>
          <cell r="I571">
            <v>7261.01</v>
          </cell>
          <cell r="J571" t="str">
            <v>J</v>
          </cell>
        </row>
        <row r="572">
          <cell r="B572">
            <v>7296</v>
          </cell>
          <cell r="C572" t="str">
            <v>支付其他与筹资活动有关的现金</v>
          </cell>
          <cell r="D572">
            <v>-1</v>
          </cell>
          <cell r="G572" t="str">
            <v>支付其他与筹资活动有关的现金</v>
          </cell>
          <cell r="H572" t="str">
            <v>支付其他与筹资活动有关的现金</v>
          </cell>
          <cell r="I572">
            <v>7296</v>
          </cell>
          <cell r="J572" t="str">
            <v>J</v>
          </cell>
        </row>
        <row r="573">
          <cell r="B573">
            <v>7296.11</v>
          </cell>
          <cell r="C573" t="str">
            <v>子公司减资支付给少数股东的现金</v>
          </cell>
          <cell r="D573">
            <v>-1</v>
          </cell>
          <cell r="E573" t="str">
            <v>※</v>
          </cell>
          <cell r="G573" t="str">
            <v>其中：子公司减资支付给少数股东的现金</v>
          </cell>
          <cell r="H573" t="str">
            <v>其中：子公司减资支付给少数股东的现金</v>
          </cell>
          <cell r="I573">
            <v>7296.11</v>
          </cell>
          <cell r="J573" t="str">
            <v>J</v>
          </cell>
        </row>
        <row r="574">
          <cell r="B574">
            <v>7298</v>
          </cell>
          <cell r="C574" t="str">
            <v>筹资活动现金流出</v>
          </cell>
          <cell r="E574" t="str">
            <v>＝</v>
          </cell>
          <cell r="G574" t="str">
            <v>筹资活动现金流出小计</v>
          </cell>
          <cell r="H574" t="str">
            <v>筹资活动现金流出小计</v>
          </cell>
          <cell r="I574">
            <v>7298</v>
          </cell>
        </row>
        <row r="575">
          <cell r="B575">
            <v>7299</v>
          </cell>
          <cell r="C575" t="str">
            <v>筹资活动产生的现金流量净额</v>
          </cell>
          <cell r="E575" t="str">
            <v>＝</v>
          </cell>
          <cell r="G575" t="str">
            <v>筹资活动产生的现金流量净额</v>
          </cell>
          <cell r="H575" t="str">
            <v>筹资活动产生的现金流量净额</v>
          </cell>
          <cell r="I575">
            <v>7299</v>
          </cell>
        </row>
        <row r="576">
          <cell r="B576">
            <v>7309</v>
          </cell>
          <cell r="C576" t="str">
            <v>汇率变动对现金及现金等价物的影响</v>
          </cell>
          <cell r="D576">
            <v>1</v>
          </cell>
          <cell r="G576" t="str">
            <v>四、汇率变动对现金及现金等价物的影响</v>
          </cell>
          <cell r="H576" t="str">
            <v>四、汇率变动对现金及现金等价物的影响</v>
          </cell>
          <cell r="I576">
            <v>7309</v>
          </cell>
          <cell r="J576" t="str">
            <v>J</v>
          </cell>
        </row>
        <row r="577">
          <cell r="B577">
            <v>7348</v>
          </cell>
          <cell r="C577" t="str">
            <v>现金及现金等价物净增加额</v>
          </cell>
          <cell r="E577" t="str">
            <v>＝</v>
          </cell>
          <cell r="G577" t="str">
            <v>五、现金及现金等价物净增加额</v>
          </cell>
          <cell r="H577" t="str">
            <v>五、现金及现金等价物净增加额</v>
          </cell>
          <cell r="I577">
            <v>7348</v>
          </cell>
        </row>
        <row r="578">
          <cell r="B578">
            <v>7349</v>
          </cell>
          <cell r="C578" t="str">
            <v>期初现金及现金等价物余额</v>
          </cell>
          <cell r="D578">
            <v>1</v>
          </cell>
          <cell r="G578" t="str">
            <v>加：期初现金及现金等价物余额</v>
          </cell>
          <cell r="H578" t="str">
            <v>加：期初现金及现金等价物余额</v>
          </cell>
          <cell r="I578">
            <v>7349</v>
          </cell>
          <cell r="J578" t="str">
            <v>J</v>
          </cell>
        </row>
        <row r="579">
          <cell r="B579">
            <v>7399</v>
          </cell>
          <cell r="C579" t="str">
            <v>期末现金及现金等价物余额</v>
          </cell>
          <cell r="E579" t="str">
            <v>＝</v>
          </cell>
          <cell r="G579" t="str">
            <v>六、期末现金及现金等价物余额</v>
          </cell>
          <cell r="H579" t="str">
            <v>六、期末现金及现金等价物余额</v>
          </cell>
          <cell r="I579">
            <v>7399</v>
          </cell>
        </row>
        <row r="580">
          <cell r="B580">
            <v>7500</v>
          </cell>
          <cell r="C580" t="str">
            <v>现金流量表补充资料</v>
          </cell>
          <cell r="E580" t="str">
            <v>：</v>
          </cell>
          <cell r="G580" t="str">
            <v>现金流量表补充资料</v>
          </cell>
          <cell r="I580">
            <v>7500</v>
          </cell>
        </row>
        <row r="581">
          <cell r="B581">
            <v>7501</v>
          </cell>
          <cell r="C581" t="str">
            <v>将净利润调节为经营活动现金流量</v>
          </cell>
          <cell r="E581" t="str">
            <v>：</v>
          </cell>
          <cell r="G581" t="str">
            <v>1.将净利润调节为经营活动现金流量：</v>
          </cell>
          <cell r="I581">
            <v>7501</v>
          </cell>
        </row>
        <row r="582">
          <cell r="B582">
            <v>7502</v>
          </cell>
          <cell r="C582" t="str">
            <v>净利润金额</v>
          </cell>
          <cell r="D582">
            <v>1</v>
          </cell>
          <cell r="G582" t="str">
            <v>净利润</v>
          </cell>
          <cell r="I582">
            <v>7502</v>
          </cell>
        </row>
        <row r="583">
          <cell r="B583">
            <v>7503</v>
          </cell>
          <cell r="C583" t="str">
            <v>资产减值准备金额</v>
          </cell>
          <cell r="D583">
            <v>1</v>
          </cell>
          <cell r="G583" t="str">
            <v>加：资产减值准备</v>
          </cell>
          <cell r="I583">
            <v>7503</v>
          </cell>
        </row>
        <row r="584">
          <cell r="B584">
            <v>7505</v>
          </cell>
          <cell r="C584" t="str">
            <v>固定资产折旧、油气资产折耗、生产性生物资产折旧</v>
          </cell>
          <cell r="D584">
            <v>1</v>
          </cell>
          <cell r="G584" t="str">
            <v>固定资产折旧、油气资产折耗、生产性生物资产折旧</v>
          </cell>
          <cell r="I584">
            <v>7505</v>
          </cell>
        </row>
        <row r="585">
          <cell r="B585">
            <v>7506</v>
          </cell>
          <cell r="C585" t="str">
            <v>无形资产摊销</v>
          </cell>
          <cell r="D585">
            <v>1</v>
          </cell>
          <cell r="G585" t="str">
            <v>无形资产摊销</v>
          </cell>
          <cell r="I585">
            <v>7506</v>
          </cell>
        </row>
        <row r="586">
          <cell r="B586">
            <v>7507</v>
          </cell>
          <cell r="C586" t="str">
            <v>长期待摊费用摊销</v>
          </cell>
          <cell r="D586">
            <v>1</v>
          </cell>
          <cell r="G586" t="str">
            <v>长期待摊费用摊销</v>
          </cell>
          <cell r="I586">
            <v>7507</v>
          </cell>
        </row>
        <row r="587">
          <cell r="B587">
            <v>7508</v>
          </cell>
          <cell r="C587" t="str">
            <v>处置固定资产、无形资产和其他长期资产的损失</v>
          </cell>
          <cell r="D587">
            <v>1</v>
          </cell>
          <cell r="G587" t="str">
            <v>处置固定资产、无形资产和其他长期资产的损失（收益以“－”号填列）</v>
          </cell>
          <cell r="I587">
            <v>7508</v>
          </cell>
        </row>
        <row r="588">
          <cell r="B588">
            <v>7509</v>
          </cell>
          <cell r="C588" t="str">
            <v>固定资产报废损失</v>
          </cell>
          <cell r="D588">
            <v>1</v>
          </cell>
          <cell r="G588" t="str">
            <v>固定资产报废损失（收益以“－”号填列）</v>
          </cell>
          <cell r="I588">
            <v>7509</v>
          </cell>
        </row>
        <row r="589">
          <cell r="B589">
            <v>7510</v>
          </cell>
          <cell r="C589" t="str">
            <v>公允价值变动损失</v>
          </cell>
          <cell r="D589">
            <v>1</v>
          </cell>
          <cell r="G589" t="str">
            <v>公允价值变动损失（收益以“－”号填列）</v>
          </cell>
          <cell r="I589">
            <v>7510</v>
          </cell>
        </row>
        <row r="590">
          <cell r="B590">
            <v>7511</v>
          </cell>
          <cell r="C590" t="str">
            <v>财务费用金额</v>
          </cell>
          <cell r="D590">
            <v>1</v>
          </cell>
          <cell r="G590" t="str">
            <v>财务费用（收益以“－”号填列）</v>
          </cell>
          <cell r="I590">
            <v>7511</v>
          </cell>
        </row>
        <row r="591">
          <cell r="B591">
            <v>7512</v>
          </cell>
          <cell r="C591" t="str">
            <v>投资损失</v>
          </cell>
          <cell r="D591">
            <v>1</v>
          </cell>
          <cell r="G591" t="str">
            <v>投资损失（收益以“－”号填列）</v>
          </cell>
          <cell r="I591">
            <v>7512</v>
          </cell>
        </row>
        <row r="592">
          <cell r="B592">
            <v>7515</v>
          </cell>
          <cell r="C592" t="str">
            <v>递延所得税资产减少</v>
          </cell>
          <cell r="D592">
            <v>1</v>
          </cell>
          <cell r="G592" t="str">
            <v>递延所得税资产减少（增加以“－”号填列）</v>
          </cell>
          <cell r="I592">
            <v>7515</v>
          </cell>
        </row>
        <row r="593">
          <cell r="B593">
            <v>7516</v>
          </cell>
          <cell r="C593" t="str">
            <v>递延所得税负债增加</v>
          </cell>
          <cell r="D593">
            <v>1</v>
          </cell>
          <cell r="G593" t="str">
            <v>递延所得税负债增加（减少以“－”号填列）</v>
          </cell>
          <cell r="I593">
            <v>7516</v>
          </cell>
        </row>
        <row r="594">
          <cell r="B594">
            <v>7517</v>
          </cell>
          <cell r="C594" t="str">
            <v>存货的减少</v>
          </cell>
          <cell r="D594">
            <v>1</v>
          </cell>
          <cell r="G594" t="str">
            <v>存货的减少（增加以“－”号填列）</v>
          </cell>
          <cell r="I594">
            <v>7517</v>
          </cell>
        </row>
        <row r="595">
          <cell r="B595">
            <v>7518</v>
          </cell>
          <cell r="C595" t="str">
            <v>经营性应收项目的减少</v>
          </cell>
          <cell r="D595">
            <v>1</v>
          </cell>
          <cell r="G595" t="str">
            <v>经营性应收项目的减少（增加以“－”号填列）</v>
          </cell>
          <cell r="I595">
            <v>7518</v>
          </cell>
        </row>
        <row r="596">
          <cell r="B596">
            <v>7519</v>
          </cell>
          <cell r="C596" t="str">
            <v>经营性应付项目的增加</v>
          </cell>
          <cell r="D596">
            <v>1</v>
          </cell>
          <cell r="G596" t="str">
            <v>经营性应付项目的增加（减少以“－”号填列）</v>
          </cell>
          <cell r="I596">
            <v>7519</v>
          </cell>
        </row>
        <row r="597">
          <cell r="B597">
            <v>7523</v>
          </cell>
          <cell r="C597" t="str">
            <v>其他将净利润调节为经营活动现金流量项目</v>
          </cell>
          <cell r="D597">
            <v>1</v>
          </cell>
          <cell r="G597" t="str">
            <v>其他</v>
          </cell>
          <cell r="I597">
            <v>7523</v>
          </cell>
        </row>
        <row r="598">
          <cell r="B598">
            <v>7525</v>
          </cell>
          <cell r="C598" t="str">
            <v>经营活动产生的现金流量净额</v>
          </cell>
          <cell r="E598" t="str">
            <v>＝</v>
          </cell>
          <cell r="G598" t="str">
            <v>经营活动产生的现金流量净额</v>
          </cell>
          <cell r="I598">
            <v>7525</v>
          </cell>
        </row>
        <row r="599">
          <cell r="B599">
            <v>7526</v>
          </cell>
          <cell r="C599" t="str">
            <v>不涉及现金收支的重大投资和筹资活动</v>
          </cell>
          <cell r="E599" t="str">
            <v>：</v>
          </cell>
          <cell r="G599" t="str">
            <v>2.不涉及现金收支的重大投资和筹资活动：</v>
          </cell>
          <cell r="I599">
            <v>7526</v>
          </cell>
        </row>
        <row r="600">
          <cell r="B600">
            <v>7527</v>
          </cell>
          <cell r="C600" t="str">
            <v>债务转为资本</v>
          </cell>
          <cell r="G600" t="str">
            <v>债务转为资本</v>
          </cell>
          <cell r="I600">
            <v>7527</v>
          </cell>
        </row>
        <row r="601">
          <cell r="B601">
            <v>7528</v>
          </cell>
          <cell r="C601" t="str">
            <v>一年内到期的可转换公司债券</v>
          </cell>
          <cell r="G601" t="str">
            <v>一年内到期的可转换公司债券</v>
          </cell>
          <cell r="I601">
            <v>7528</v>
          </cell>
        </row>
        <row r="602">
          <cell r="B602">
            <v>7529</v>
          </cell>
          <cell r="C602" t="str">
            <v>融资租入固定资产</v>
          </cell>
          <cell r="G602" t="str">
            <v>融资租入固定资产</v>
          </cell>
          <cell r="I602">
            <v>7529</v>
          </cell>
        </row>
        <row r="603">
          <cell r="B603">
            <v>7533</v>
          </cell>
          <cell r="C603" t="str">
            <v>现金及现金等价物净变动情况</v>
          </cell>
          <cell r="E603" t="str">
            <v>：</v>
          </cell>
          <cell r="G603" t="str">
            <v>3.现金及现金等价物净变动情况：</v>
          </cell>
          <cell r="I603">
            <v>7533</v>
          </cell>
        </row>
        <row r="604">
          <cell r="B604">
            <v>7535</v>
          </cell>
          <cell r="C604" t="str">
            <v>现金的期末余额</v>
          </cell>
          <cell r="D604">
            <v>1</v>
          </cell>
          <cell r="G604" t="str">
            <v>现金的期末余额</v>
          </cell>
          <cell r="I604">
            <v>7535</v>
          </cell>
        </row>
        <row r="605">
          <cell r="B605">
            <v>7536</v>
          </cell>
          <cell r="C605" t="str">
            <v>减：现金的年初余额</v>
          </cell>
          <cell r="D605">
            <v>1</v>
          </cell>
          <cell r="G605" t="str">
            <v>减：现金的年初余额</v>
          </cell>
          <cell r="I605">
            <v>7536</v>
          </cell>
        </row>
        <row r="606">
          <cell r="B606">
            <v>7537</v>
          </cell>
          <cell r="C606" t="str">
            <v>加：现金等价物的期末余额</v>
          </cell>
          <cell r="D606">
            <v>1</v>
          </cell>
          <cell r="G606" t="str">
            <v>加：现金等价物的期末余额</v>
          </cell>
          <cell r="I606">
            <v>7537</v>
          </cell>
        </row>
        <row r="607">
          <cell r="B607">
            <v>7538</v>
          </cell>
          <cell r="C607" t="str">
            <v>减：现金等价物的年初余额</v>
          </cell>
          <cell r="D607">
            <v>1</v>
          </cell>
          <cell r="G607" t="str">
            <v>减：现金等价物的年初余额</v>
          </cell>
          <cell r="I607">
            <v>7538</v>
          </cell>
        </row>
        <row r="608">
          <cell r="B608">
            <v>7539</v>
          </cell>
          <cell r="C608" t="str">
            <v>现金及现金等价物净增加额</v>
          </cell>
          <cell r="D608">
            <v>1</v>
          </cell>
          <cell r="E608" t="str">
            <v>＝</v>
          </cell>
          <cell r="G608" t="str">
            <v>现金及现金等价物净增加额</v>
          </cell>
          <cell r="I608">
            <v>7539</v>
          </cell>
        </row>
        <row r="609">
          <cell r="B609">
            <v>19</v>
          </cell>
          <cell r="C609" t="str">
            <v>资产负债表补充资料：资产减值准备</v>
          </cell>
          <cell r="E609" t="str">
            <v>：</v>
          </cell>
          <cell r="I609">
            <v>19</v>
          </cell>
        </row>
        <row r="610">
          <cell r="B610">
            <v>1122.1231</v>
          </cell>
          <cell r="C610" t="str">
            <v>应收账款坏账准备</v>
          </cell>
          <cell r="D610">
            <v>-1</v>
          </cell>
          <cell r="G610" t="str">
            <v>应收账款坏账准备</v>
          </cell>
          <cell r="I610">
            <v>1122.1231</v>
          </cell>
          <cell r="J610" t="str">
            <v>J</v>
          </cell>
        </row>
        <row r="611">
          <cell r="B611">
            <v>1125.1231</v>
          </cell>
          <cell r="C611" t="str">
            <v>预付款项坏账准备</v>
          </cell>
          <cell r="D611">
            <v>-1</v>
          </cell>
          <cell r="G611" t="str">
            <v>预付款项坏账准备</v>
          </cell>
          <cell r="I611">
            <v>1125.1231</v>
          </cell>
          <cell r="J611" t="str">
            <v>J</v>
          </cell>
        </row>
        <row r="612">
          <cell r="B612">
            <v>1221.1231</v>
          </cell>
          <cell r="C612" t="str">
            <v>其他应收款坏账准备</v>
          </cell>
          <cell r="D612">
            <v>-1</v>
          </cell>
          <cell r="G612" t="str">
            <v>其他应收款坏账准备</v>
          </cell>
          <cell r="I612">
            <v>1221.1231</v>
          </cell>
          <cell r="J612" t="str">
            <v>J</v>
          </cell>
        </row>
        <row r="613">
          <cell r="B613">
            <v>1400.1470999999999</v>
          </cell>
          <cell r="C613" t="str">
            <v>存货跌价准备</v>
          </cell>
          <cell r="D613">
            <v>-1</v>
          </cell>
          <cell r="G613" t="str">
            <v>存货跌价准备</v>
          </cell>
          <cell r="I613">
            <v>1400.1470999999999</v>
          </cell>
          <cell r="J613" t="str">
            <v>J</v>
          </cell>
        </row>
        <row r="614">
          <cell r="B614">
            <v>1503.1504</v>
          </cell>
          <cell r="C614" t="str">
            <v>可供出售金融资产减值准备</v>
          </cell>
          <cell r="D614">
            <v>-1</v>
          </cell>
          <cell r="G614" t="str">
            <v>可供出售金融资产减值准备</v>
          </cell>
          <cell r="I614">
            <v>1503.1504</v>
          </cell>
          <cell r="J614" t="str">
            <v>J</v>
          </cell>
        </row>
        <row r="615">
          <cell r="B615">
            <v>1501.1502</v>
          </cell>
          <cell r="C615" t="str">
            <v>持有至到期投资减值准备</v>
          </cell>
          <cell r="D615">
            <v>-1</v>
          </cell>
          <cell r="G615" t="str">
            <v>持有至到期投资减值准备</v>
          </cell>
          <cell r="I615">
            <v>1501.1502</v>
          </cell>
          <cell r="J615" t="str">
            <v>J</v>
          </cell>
        </row>
        <row r="616">
          <cell r="B616">
            <v>1511.1512</v>
          </cell>
          <cell r="C616" t="str">
            <v>长期股权投资减值准备</v>
          </cell>
          <cell r="D616">
            <v>-1</v>
          </cell>
          <cell r="G616" t="str">
            <v>长期股权投资减值准备</v>
          </cell>
          <cell r="I616">
            <v>1511.1512</v>
          </cell>
          <cell r="J616" t="str">
            <v>J</v>
          </cell>
        </row>
        <row r="617">
          <cell r="B617">
            <v>1521.1522</v>
          </cell>
          <cell r="C617" t="str">
            <v>投资性房地产减值准备</v>
          </cell>
          <cell r="D617">
            <v>-1</v>
          </cell>
          <cell r="G617" t="str">
            <v>投资性房地产减值准备</v>
          </cell>
          <cell r="I617">
            <v>1521.1522</v>
          </cell>
          <cell r="J617" t="str">
            <v>J</v>
          </cell>
        </row>
        <row r="618">
          <cell r="B618">
            <v>1601.1603</v>
          </cell>
          <cell r="C618" t="str">
            <v>固定资产减值准备</v>
          </cell>
          <cell r="D618">
            <v>-1</v>
          </cell>
          <cell r="G618" t="str">
            <v>固定资产减值准备</v>
          </cell>
          <cell r="I618">
            <v>1601.1603</v>
          </cell>
          <cell r="J618" t="str">
            <v>J</v>
          </cell>
        </row>
        <row r="619">
          <cell r="B619">
            <v>1605.1608000000001</v>
          </cell>
          <cell r="C619" t="str">
            <v>工程物资减值准备</v>
          </cell>
          <cell r="D619">
            <v>-1</v>
          </cell>
          <cell r="G619" t="str">
            <v>工程物资减值准备</v>
          </cell>
          <cell r="I619">
            <v>1605.1608000000001</v>
          </cell>
          <cell r="J619" t="str">
            <v>J</v>
          </cell>
        </row>
        <row r="620">
          <cell r="B620">
            <v>1604.1606999999999</v>
          </cell>
          <cell r="C620" t="str">
            <v>在建工程减值准备</v>
          </cell>
          <cell r="D620">
            <v>-1</v>
          </cell>
          <cell r="G620" t="str">
            <v>在建工程减值准备</v>
          </cell>
          <cell r="I620">
            <v>1604.1606999999999</v>
          </cell>
          <cell r="J620" t="str">
            <v>J</v>
          </cell>
        </row>
        <row r="621">
          <cell r="B621">
            <v>1621.1623999999999</v>
          </cell>
          <cell r="C621" t="str">
            <v>生产性生物资产减值准备</v>
          </cell>
          <cell r="D621">
            <v>-1</v>
          </cell>
          <cell r="G621" t="str">
            <v>生产性生物资产减值准备</v>
          </cell>
          <cell r="I621">
            <v>1621.1623999999999</v>
          </cell>
          <cell r="J621" t="str">
            <v>J</v>
          </cell>
        </row>
        <row r="622">
          <cell r="B622">
            <v>1631.1632999999999</v>
          </cell>
          <cell r="C622" t="str">
            <v>油气资产减值准备</v>
          </cell>
          <cell r="D622">
            <v>-1</v>
          </cell>
          <cell r="G622" t="str">
            <v>油气资产减值准备</v>
          </cell>
          <cell r="I622">
            <v>1631.1632999999999</v>
          </cell>
          <cell r="J622" t="str">
            <v>J</v>
          </cell>
        </row>
        <row r="623">
          <cell r="B623">
            <v>1701.1703</v>
          </cell>
          <cell r="C623" t="str">
            <v>无形资产减值准备</v>
          </cell>
          <cell r="D623">
            <v>-1</v>
          </cell>
          <cell r="G623" t="str">
            <v>无形资产减值准备</v>
          </cell>
          <cell r="I623">
            <v>1701.1703</v>
          </cell>
          <cell r="J623" t="str">
            <v>J</v>
          </cell>
        </row>
        <row r="624">
          <cell r="B624">
            <v>1711.1712</v>
          </cell>
          <cell r="C624" t="str">
            <v>商誉减值准备</v>
          </cell>
          <cell r="D624">
            <v>-1</v>
          </cell>
          <cell r="G624" t="str">
            <v>商誉减值准备</v>
          </cell>
          <cell r="I624">
            <v>1711.1712</v>
          </cell>
          <cell r="J624" t="str">
            <v>J</v>
          </cell>
        </row>
        <row r="625">
          <cell r="B625">
            <v>1991.1992</v>
          </cell>
          <cell r="C625" t="str">
            <v>其他减值准备</v>
          </cell>
          <cell r="D625">
            <v>-1</v>
          </cell>
          <cell r="G625" t="str">
            <v>其他</v>
          </cell>
          <cell r="I625">
            <v>1991.1992</v>
          </cell>
        </row>
        <row r="626">
          <cell r="B626">
            <v>1015.1001</v>
          </cell>
          <cell r="C626" t="str">
            <v>库存现金</v>
          </cell>
          <cell r="D626">
            <v>1</v>
          </cell>
          <cell r="I626">
            <v>1015.1001</v>
          </cell>
          <cell r="J626" t="str">
            <v>J</v>
          </cell>
        </row>
        <row r="627">
          <cell r="B627">
            <v>1015.1002</v>
          </cell>
          <cell r="C627" t="str">
            <v>银行存款</v>
          </cell>
          <cell r="D627">
            <v>1</v>
          </cell>
          <cell r="I627">
            <v>1015.1002</v>
          </cell>
          <cell r="J627" t="str">
            <v>J</v>
          </cell>
        </row>
        <row r="628">
          <cell r="B628">
            <v>1015.1011999999999</v>
          </cell>
          <cell r="C628" t="str">
            <v>其他货币资金</v>
          </cell>
          <cell r="D628">
            <v>1</v>
          </cell>
          <cell r="I628">
            <v>1015.1011999999999</v>
          </cell>
          <cell r="J628" t="str">
            <v>J</v>
          </cell>
        </row>
        <row r="629">
          <cell r="B629">
            <v>1400.1401000000001</v>
          </cell>
          <cell r="C629" t="str">
            <v>材料采购</v>
          </cell>
          <cell r="D629">
            <v>1</v>
          </cell>
          <cell r="I629">
            <v>1400.1401000000001</v>
          </cell>
          <cell r="J629" t="str">
            <v>J</v>
          </cell>
        </row>
        <row r="630">
          <cell r="B630">
            <v>1400.1402</v>
          </cell>
          <cell r="C630" t="str">
            <v>在途物资</v>
          </cell>
          <cell r="D630">
            <v>1</v>
          </cell>
          <cell r="I630">
            <v>1400.1402</v>
          </cell>
          <cell r="J630" t="str">
            <v>J</v>
          </cell>
        </row>
        <row r="631">
          <cell r="B631">
            <v>1400.1403</v>
          </cell>
          <cell r="C631" t="str">
            <v>原材料</v>
          </cell>
          <cell r="D631">
            <v>1</v>
          </cell>
          <cell r="I631">
            <v>1400.1403</v>
          </cell>
          <cell r="J631" t="str">
            <v>J</v>
          </cell>
        </row>
        <row r="632">
          <cell r="B632">
            <v>1400.1404</v>
          </cell>
          <cell r="C632" t="str">
            <v>材料成本差异</v>
          </cell>
          <cell r="D632">
            <v>-1</v>
          </cell>
          <cell r="I632">
            <v>1400.1404</v>
          </cell>
          <cell r="J632" t="str">
            <v>J</v>
          </cell>
        </row>
        <row r="633">
          <cell r="B633">
            <v>1400.1405</v>
          </cell>
          <cell r="C633" t="str">
            <v>库存商品</v>
          </cell>
          <cell r="D633">
            <v>1</v>
          </cell>
          <cell r="I633">
            <v>1400.1405</v>
          </cell>
          <cell r="J633" t="str">
            <v>J</v>
          </cell>
        </row>
        <row r="634">
          <cell r="B634">
            <v>1400.1405999999999</v>
          </cell>
          <cell r="C634" t="str">
            <v>发出商品</v>
          </cell>
          <cell r="D634">
            <v>1</v>
          </cell>
          <cell r="I634">
            <v>1400.1405999999999</v>
          </cell>
          <cell r="J634" t="str">
            <v>J</v>
          </cell>
        </row>
        <row r="635">
          <cell r="B635">
            <v>1400.1406999999999</v>
          </cell>
          <cell r="C635" t="str">
            <v>商品进销差价</v>
          </cell>
          <cell r="D635">
            <v>-1</v>
          </cell>
          <cell r="I635">
            <v>1400.1406999999999</v>
          </cell>
          <cell r="J635" t="str">
            <v>J</v>
          </cell>
        </row>
        <row r="636">
          <cell r="B636">
            <v>1400.1407999999999</v>
          </cell>
          <cell r="C636" t="str">
            <v>委托加工物资</v>
          </cell>
          <cell r="D636">
            <v>1</v>
          </cell>
          <cell r="I636">
            <v>1400.1407999999999</v>
          </cell>
          <cell r="J636" t="str">
            <v>J</v>
          </cell>
        </row>
        <row r="637">
          <cell r="B637">
            <v>1400.1411000000001</v>
          </cell>
          <cell r="C637" t="str">
            <v>周转材料</v>
          </cell>
          <cell r="D637">
            <v>1</v>
          </cell>
          <cell r="I637">
            <v>1400.1411000000001</v>
          </cell>
          <cell r="J637" t="str">
            <v>J</v>
          </cell>
        </row>
        <row r="638">
          <cell r="B638">
            <v>1400.5001</v>
          </cell>
          <cell r="C638" t="str">
            <v>生产成本</v>
          </cell>
          <cell r="D638">
            <v>1</v>
          </cell>
          <cell r="I638">
            <v>1400.5001</v>
          </cell>
          <cell r="J638" t="str">
            <v>J</v>
          </cell>
        </row>
        <row r="639">
          <cell r="B639">
            <v>1400.5101</v>
          </cell>
          <cell r="C639" t="str">
            <v>制造费用</v>
          </cell>
          <cell r="D639">
            <v>1</v>
          </cell>
          <cell r="I639">
            <v>1400.5101</v>
          </cell>
          <cell r="J639" t="str">
            <v>J</v>
          </cell>
        </row>
        <row r="640">
          <cell r="B640">
            <v>1400.5400999999999</v>
          </cell>
          <cell r="C640" t="str">
            <v>工程施工</v>
          </cell>
          <cell r="D640">
            <v>1</v>
          </cell>
          <cell r="I640">
            <v>1400.5400999999999</v>
          </cell>
          <cell r="J640" t="str">
            <v>J</v>
          </cell>
        </row>
        <row r="641">
          <cell r="B641">
            <v>1400.1421</v>
          </cell>
          <cell r="C641" t="str">
            <v>消耗性生物资产</v>
          </cell>
          <cell r="D641">
            <v>1</v>
          </cell>
          <cell r="I641">
            <v>1400.1421</v>
          </cell>
          <cell r="J641" t="str">
            <v>J</v>
          </cell>
        </row>
        <row r="642">
          <cell r="B642">
            <v>1621.1622</v>
          </cell>
          <cell r="C642" t="str">
            <v>生产性生物资产累计折旧</v>
          </cell>
          <cell r="D642">
            <v>-1</v>
          </cell>
          <cell r="I642">
            <v>1621.1622</v>
          </cell>
          <cell r="J642" t="str">
            <v>J</v>
          </cell>
        </row>
        <row r="643">
          <cell r="B643">
            <v>1601.1602</v>
          </cell>
          <cell r="C643" t="str">
            <v>累计折旧</v>
          </cell>
          <cell r="D643">
            <v>-1</v>
          </cell>
          <cell r="I643">
            <v>1601.1602</v>
          </cell>
          <cell r="J643" t="str">
            <v>J</v>
          </cell>
        </row>
        <row r="644">
          <cell r="B644">
            <v>1701.1702</v>
          </cell>
          <cell r="C644" t="str">
            <v>累计摊销</v>
          </cell>
          <cell r="D644">
            <v>-1</v>
          </cell>
          <cell r="I644">
            <v>1701.1702</v>
          </cell>
          <cell r="J644" t="str">
            <v>J</v>
          </cell>
        </row>
        <row r="645">
          <cell r="B645">
            <v>1996.1623</v>
          </cell>
          <cell r="C645" t="str">
            <v>公益性生物资产</v>
          </cell>
          <cell r="D645">
            <v>1</v>
          </cell>
          <cell r="I645">
            <v>1996.1623</v>
          </cell>
          <cell r="J645" t="str">
            <v>J</v>
          </cell>
        </row>
        <row r="646">
          <cell r="B646">
            <v>1631.1632</v>
          </cell>
          <cell r="C646" t="str">
            <v>累计折耗</v>
          </cell>
          <cell r="D646">
            <v>-1</v>
          </cell>
          <cell r="I646">
            <v>1631.1632</v>
          </cell>
          <cell r="J646" t="str">
            <v>J</v>
          </cell>
        </row>
        <row r="647">
          <cell r="B647">
            <v>1535</v>
          </cell>
          <cell r="C647" t="str">
            <v>对合营企业投资和对联营企业投资</v>
          </cell>
          <cell r="I647">
            <v>1535</v>
          </cell>
        </row>
        <row r="648">
          <cell r="B648">
            <v>1705</v>
          </cell>
          <cell r="C648" t="str">
            <v>无形资产与开发支出</v>
          </cell>
          <cell r="I648">
            <v>1705</v>
          </cell>
        </row>
        <row r="649">
          <cell r="B649">
            <v>1829</v>
          </cell>
          <cell r="C649" t="str">
            <v>递延所得税资产与递延所得税负债</v>
          </cell>
          <cell r="I649">
            <v>1829</v>
          </cell>
        </row>
        <row r="650">
          <cell r="B650">
            <v>1991</v>
          </cell>
          <cell r="C650" t="str">
            <v>资产减值准备</v>
          </cell>
          <cell r="G650" t="str">
            <v>资产减值准备小计</v>
          </cell>
          <cell r="I650">
            <v>1991</v>
          </cell>
        </row>
        <row r="651">
          <cell r="B651">
            <v>1997</v>
          </cell>
          <cell r="C651" t="str">
            <v xml:space="preserve">所有权或使用权受到限制的资产 </v>
          </cell>
          <cell r="I651">
            <v>1997</v>
          </cell>
        </row>
        <row r="652">
          <cell r="B652">
            <v>1314</v>
          </cell>
          <cell r="C652" t="str">
            <v>持有待售资产和持有待售负债</v>
          </cell>
          <cell r="I652">
            <v>1314</v>
          </cell>
        </row>
        <row r="653">
          <cell r="B653">
            <v>1704</v>
          </cell>
          <cell r="C653" t="str">
            <v>外币货币性项目</v>
          </cell>
          <cell r="I653">
            <v>1704</v>
          </cell>
        </row>
        <row r="654">
          <cell r="B654">
            <v>9314</v>
          </cell>
          <cell r="C654" t="str">
            <v>所有者权益变动表项目注释</v>
          </cell>
          <cell r="I654">
            <v>9314</v>
          </cell>
        </row>
        <row r="655">
          <cell r="B655">
            <v>6064</v>
          </cell>
          <cell r="C655" t="str">
            <v>营业收入、营业成本</v>
          </cell>
          <cell r="I655">
            <v>6064</v>
          </cell>
        </row>
        <row r="656">
          <cell r="B656">
            <v>6095</v>
          </cell>
          <cell r="C656" t="str">
            <v>合同项目收入</v>
          </cell>
          <cell r="I656">
            <v>6095</v>
          </cell>
        </row>
        <row r="657">
          <cell r="B657">
            <v>6820</v>
          </cell>
          <cell r="C657" t="str">
            <v>基本每股收益和稀释每股收益</v>
          </cell>
          <cell r="E657" t="str">
            <v>：</v>
          </cell>
          <cell r="I657">
            <v>6820</v>
          </cell>
        </row>
        <row r="658">
          <cell r="B658">
            <v>7400</v>
          </cell>
          <cell r="C658" t="str">
            <v>现金流量表项目注释</v>
          </cell>
          <cell r="I658">
            <v>7400</v>
          </cell>
        </row>
        <row r="659">
          <cell r="B659">
            <v>7500</v>
          </cell>
          <cell r="C659" t="str">
            <v>现金流量表补充资料</v>
          </cell>
          <cell r="E659" t="str">
            <v>：</v>
          </cell>
          <cell r="I659">
            <v>7500</v>
          </cell>
        </row>
        <row r="660">
          <cell r="B660">
            <v>9010</v>
          </cell>
          <cell r="C660" t="str">
            <v>分部报告</v>
          </cell>
          <cell r="I660">
            <v>9010</v>
          </cell>
        </row>
        <row r="661">
          <cell r="B661">
            <v>9020</v>
          </cell>
          <cell r="C661" t="str">
            <v>资产证券化业务的会计处理</v>
          </cell>
          <cell r="I661">
            <v>9020</v>
          </cell>
        </row>
        <row r="662">
          <cell r="B662">
            <v>9100</v>
          </cell>
          <cell r="C662" t="str">
            <v>关联方关系及其交易</v>
          </cell>
          <cell r="I662">
            <v>9100</v>
          </cell>
        </row>
        <row r="663">
          <cell r="B663">
            <v>9101</v>
          </cell>
          <cell r="C663" t="str">
            <v>关联方关系</v>
          </cell>
          <cell r="I663">
            <v>9101</v>
          </cell>
        </row>
        <row r="664">
          <cell r="B664">
            <v>9120</v>
          </cell>
          <cell r="C664" t="str">
            <v>关联方交易</v>
          </cell>
          <cell r="I664">
            <v>9120</v>
          </cell>
        </row>
        <row r="665">
          <cell r="B665">
            <v>9130</v>
          </cell>
          <cell r="C665" t="str">
            <v>关联方往来款项余额</v>
          </cell>
          <cell r="I665">
            <v>9130</v>
          </cell>
        </row>
        <row r="666">
          <cell r="B666">
            <v>9210</v>
          </cell>
          <cell r="C666" t="str">
            <v>股份支付</v>
          </cell>
          <cell r="I666">
            <v>9210</v>
          </cell>
        </row>
        <row r="667">
          <cell r="B667">
            <v>9220</v>
          </cell>
          <cell r="C667" t="str">
            <v>或有事项</v>
          </cell>
          <cell r="I667">
            <v>9220</v>
          </cell>
        </row>
        <row r="668">
          <cell r="B668">
            <v>9250</v>
          </cell>
          <cell r="C668" t="str">
            <v>重大承诺事项</v>
          </cell>
          <cell r="I668">
            <v>9250</v>
          </cell>
        </row>
        <row r="669">
          <cell r="B669">
            <v>9260</v>
          </cell>
          <cell r="C669" t="str">
            <v>资产负债表日后事项</v>
          </cell>
          <cell r="I669">
            <v>9260</v>
          </cell>
        </row>
        <row r="670">
          <cell r="B670">
            <v>9300</v>
          </cell>
          <cell r="C670" t="str">
            <v>其他重要事项</v>
          </cell>
          <cell r="I670">
            <v>9300</v>
          </cell>
        </row>
        <row r="671">
          <cell r="B671">
            <v>9301</v>
          </cell>
          <cell r="C671" t="str">
            <v>非货币性资产交换</v>
          </cell>
          <cell r="I671">
            <v>9301</v>
          </cell>
        </row>
        <row r="672">
          <cell r="B672">
            <v>9302</v>
          </cell>
          <cell r="C672" t="str">
            <v>债务重组</v>
          </cell>
          <cell r="I672">
            <v>9302</v>
          </cell>
        </row>
        <row r="673">
          <cell r="B673">
            <v>9303</v>
          </cell>
          <cell r="C673" t="str">
            <v>企业合并</v>
          </cell>
          <cell r="I673">
            <v>9303</v>
          </cell>
        </row>
        <row r="674">
          <cell r="B674">
            <v>9305</v>
          </cell>
          <cell r="C674" t="str">
            <v>其他资产置换、转让及出售</v>
          </cell>
          <cell r="I674">
            <v>9305</v>
          </cell>
        </row>
        <row r="675">
          <cell r="B675">
            <v>9310</v>
          </cell>
          <cell r="C675" t="str">
            <v>租赁</v>
          </cell>
          <cell r="I675">
            <v>9310</v>
          </cell>
        </row>
        <row r="676">
          <cell r="B676">
            <v>9321</v>
          </cell>
          <cell r="C676" t="str">
            <v>期末发行在外的、可转换为股份的金融工具</v>
          </cell>
          <cell r="I676">
            <v>9321</v>
          </cell>
        </row>
        <row r="677">
          <cell r="B677">
            <v>9331</v>
          </cell>
          <cell r="C677" t="str">
            <v>公允价值</v>
          </cell>
          <cell r="I677">
            <v>9331</v>
          </cell>
        </row>
        <row r="678">
          <cell r="B678">
            <v>9336</v>
          </cell>
          <cell r="C678" t="str">
            <v>外币金融资产和外币金融负债</v>
          </cell>
          <cell r="I678">
            <v>9336</v>
          </cell>
        </row>
        <row r="679">
          <cell r="B679">
            <v>9351</v>
          </cell>
          <cell r="C679" t="str">
            <v>年金计划的主要内容及重大变化</v>
          </cell>
          <cell r="I679">
            <v>9351</v>
          </cell>
        </row>
        <row r="680">
          <cell r="B680">
            <v>9361</v>
          </cell>
          <cell r="C680" t="str">
            <v>借款费用</v>
          </cell>
          <cell r="I680">
            <v>9361</v>
          </cell>
        </row>
        <row r="681">
          <cell r="B681">
            <v>9363</v>
          </cell>
          <cell r="C681" t="str">
            <v>外币折算</v>
          </cell>
          <cell r="I681">
            <v>9363</v>
          </cell>
        </row>
        <row r="682">
          <cell r="B682">
            <v>9367</v>
          </cell>
          <cell r="C682" t="str">
            <v>终止经营</v>
          </cell>
          <cell r="I682">
            <v>9367</v>
          </cell>
        </row>
        <row r="683">
          <cell r="B683">
            <v>9390</v>
          </cell>
          <cell r="C683" t="str">
            <v>其他重要事项_其他</v>
          </cell>
          <cell r="I683">
            <v>9390</v>
          </cell>
        </row>
        <row r="684">
          <cell r="B684">
            <v>9509</v>
          </cell>
          <cell r="C684" t="str">
            <v>母公司反向购买下以公允价值入账的资产、负债情况</v>
          </cell>
          <cell r="I684">
            <v>9509</v>
          </cell>
        </row>
        <row r="685">
          <cell r="B685">
            <v>9601</v>
          </cell>
          <cell r="C685" t="str">
            <v>当期非经常性损益明细表</v>
          </cell>
          <cell r="I685">
            <v>9601</v>
          </cell>
        </row>
        <row r="686">
          <cell r="B686">
            <v>9611</v>
          </cell>
          <cell r="C686" t="str">
            <v>境内外会计准则下会计数据差异</v>
          </cell>
          <cell r="I686">
            <v>9611</v>
          </cell>
        </row>
        <row r="687">
          <cell r="B687">
            <v>9621</v>
          </cell>
          <cell r="C687" t="str">
            <v>净资产收益率和每股收益</v>
          </cell>
          <cell r="I687">
            <v>9621</v>
          </cell>
        </row>
        <row r="688">
          <cell r="B688">
            <v>8121</v>
          </cell>
          <cell r="C688" t="str">
            <v>实收资本_净利润增加权益</v>
          </cell>
          <cell r="D688">
            <v>-1</v>
          </cell>
          <cell r="E688" t="str">
            <v>N</v>
          </cell>
          <cell r="G688" t="str">
            <v>（一）净利润</v>
          </cell>
          <cell r="I688">
            <v>8121</v>
          </cell>
          <cell r="J688" t="str">
            <v>J</v>
          </cell>
        </row>
        <row r="689">
          <cell r="B689">
            <v>8130</v>
          </cell>
          <cell r="C689" t="str">
            <v>实收资本_其他综合收益增加权益</v>
          </cell>
          <cell r="D689">
            <v>-1</v>
          </cell>
          <cell r="E689" t="str">
            <v>N</v>
          </cell>
          <cell r="G689" t="str">
            <v>（二）其他综合收益</v>
          </cell>
          <cell r="I689">
            <v>8130</v>
          </cell>
          <cell r="J689" t="str">
            <v>J</v>
          </cell>
        </row>
        <row r="690">
          <cell r="B690">
            <v>8152</v>
          </cell>
          <cell r="C690" t="str">
            <v>实收资本_股份支付计入所有者权益的金额</v>
          </cell>
          <cell r="D690">
            <v>-1</v>
          </cell>
          <cell r="E690" t="str">
            <v>N</v>
          </cell>
          <cell r="G690" t="str">
            <v>股份支付计入所有者权益的金额</v>
          </cell>
          <cell r="I690">
            <v>8152</v>
          </cell>
          <cell r="J690" t="str">
            <v>J</v>
          </cell>
        </row>
        <row r="691">
          <cell r="B691">
            <v>8161</v>
          </cell>
          <cell r="C691" t="str">
            <v>实收资本_提取盈余公积影响权益</v>
          </cell>
          <cell r="D691">
            <v>-1</v>
          </cell>
          <cell r="E691" t="str">
            <v>N</v>
          </cell>
          <cell r="G691" t="str">
            <v>提取盈余公积</v>
          </cell>
          <cell r="I691">
            <v>8161</v>
          </cell>
          <cell r="J691" t="str">
            <v>J</v>
          </cell>
        </row>
        <row r="692">
          <cell r="B692">
            <v>8162</v>
          </cell>
          <cell r="C692" t="str">
            <v>实收资本_提取一般风险准备影响权益</v>
          </cell>
          <cell r="D692">
            <v>-1</v>
          </cell>
          <cell r="E692" t="str">
            <v>N</v>
          </cell>
          <cell r="G692" t="str">
            <v>提取一般风险准备</v>
          </cell>
          <cell r="I692">
            <v>8162</v>
          </cell>
          <cell r="J692" t="str">
            <v>J</v>
          </cell>
        </row>
        <row r="693">
          <cell r="B693">
            <v>8163</v>
          </cell>
          <cell r="C693" t="str">
            <v>实收资本_对所有者的分配影响权益</v>
          </cell>
          <cell r="D693">
            <v>-1</v>
          </cell>
          <cell r="E693" t="str">
            <v>N</v>
          </cell>
          <cell r="G693" t="str">
            <v>对所有者（或股东）的分配</v>
          </cell>
          <cell r="I693">
            <v>8163</v>
          </cell>
          <cell r="J693" t="str">
            <v>J</v>
          </cell>
        </row>
        <row r="694">
          <cell r="B694">
            <v>8166</v>
          </cell>
          <cell r="C694" t="str">
            <v>实收资本_其他利润分配影响权益</v>
          </cell>
          <cell r="D694">
            <v>-1</v>
          </cell>
          <cell r="E694" t="str">
            <v>N</v>
          </cell>
          <cell r="G694" t="str">
            <v>其他</v>
          </cell>
          <cell r="I694">
            <v>8166</v>
          </cell>
          <cell r="J694" t="str">
            <v>J</v>
          </cell>
        </row>
        <row r="695">
          <cell r="B695">
            <v>8173</v>
          </cell>
          <cell r="C695" t="str">
            <v>实收资本_盈余公积弥补亏损影响权益</v>
          </cell>
          <cell r="D695">
            <v>-1</v>
          </cell>
          <cell r="E695" t="str">
            <v>N</v>
          </cell>
          <cell r="G695" t="str">
            <v>盈余公积弥补亏损</v>
          </cell>
          <cell r="I695">
            <v>8173</v>
          </cell>
          <cell r="J695" t="str">
            <v>J</v>
          </cell>
        </row>
        <row r="696">
          <cell r="B696">
            <v>8181</v>
          </cell>
          <cell r="C696" t="str">
            <v>实收资本_专项储备本期提取</v>
          </cell>
          <cell r="D696">
            <v>-1</v>
          </cell>
          <cell r="E696" t="str">
            <v>N</v>
          </cell>
          <cell r="G696" t="str">
            <v>本期提取</v>
          </cell>
          <cell r="I696">
            <v>8181</v>
          </cell>
          <cell r="J696" t="str">
            <v>J</v>
          </cell>
        </row>
        <row r="697">
          <cell r="B697">
            <v>8182</v>
          </cell>
          <cell r="C697" t="str">
            <v>实收资本_专项储备本期使用</v>
          </cell>
          <cell r="D697">
            <v>-1</v>
          </cell>
          <cell r="E697" t="str">
            <v>N</v>
          </cell>
          <cell r="G697" t="str">
            <v>本期使用</v>
          </cell>
          <cell r="I697">
            <v>8182</v>
          </cell>
          <cell r="J697" t="str">
            <v>J</v>
          </cell>
        </row>
        <row r="698">
          <cell r="B698">
            <v>8221</v>
          </cell>
          <cell r="C698" t="str">
            <v>资本公积_净利润增加权益</v>
          </cell>
          <cell r="D698">
            <v>-1</v>
          </cell>
          <cell r="E698" t="str">
            <v>N</v>
          </cell>
          <cell r="G698" t="str">
            <v>（一）净利润</v>
          </cell>
          <cell r="I698">
            <v>8221</v>
          </cell>
          <cell r="J698" t="str">
            <v>J</v>
          </cell>
        </row>
        <row r="699">
          <cell r="B699">
            <v>8261</v>
          </cell>
          <cell r="C699" t="str">
            <v>资本公积_提取盈余公积影响权益</v>
          </cell>
          <cell r="D699">
            <v>-1</v>
          </cell>
          <cell r="E699" t="str">
            <v>N</v>
          </cell>
          <cell r="G699" t="str">
            <v>提取盈余公积</v>
          </cell>
          <cell r="I699">
            <v>8261</v>
          </cell>
          <cell r="J699" t="str">
            <v>J</v>
          </cell>
        </row>
        <row r="700">
          <cell r="B700">
            <v>8262</v>
          </cell>
          <cell r="C700" t="str">
            <v>资本公积_提取一般风险准备影响权益</v>
          </cell>
          <cell r="D700">
            <v>-1</v>
          </cell>
          <cell r="E700" t="str">
            <v>N</v>
          </cell>
          <cell r="G700" t="str">
            <v>提取一般风险准备</v>
          </cell>
          <cell r="I700">
            <v>8262</v>
          </cell>
          <cell r="J700" t="str">
            <v>J</v>
          </cell>
        </row>
        <row r="701">
          <cell r="B701">
            <v>8263</v>
          </cell>
          <cell r="C701" t="str">
            <v>资本公积_对所有者的分配影响权益</v>
          </cell>
          <cell r="D701">
            <v>-1</v>
          </cell>
          <cell r="E701" t="str">
            <v>N</v>
          </cell>
          <cell r="G701" t="str">
            <v>对所有者（或股东）的分配</v>
          </cell>
          <cell r="I701">
            <v>8263</v>
          </cell>
          <cell r="J701" t="str">
            <v>J</v>
          </cell>
        </row>
        <row r="702">
          <cell r="B702">
            <v>8272</v>
          </cell>
          <cell r="C702" t="str">
            <v>资本公积_盈余公积转增资本影响权益</v>
          </cell>
          <cell r="D702">
            <v>-1</v>
          </cell>
          <cell r="E702" t="str">
            <v>N</v>
          </cell>
          <cell r="G702" t="str">
            <v>盈余公积转增资本（或股本）</v>
          </cell>
          <cell r="I702">
            <v>8272</v>
          </cell>
          <cell r="J702" t="str">
            <v>J</v>
          </cell>
        </row>
        <row r="703">
          <cell r="B703">
            <v>8273</v>
          </cell>
          <cell r="C703" t="str">
            <v>资本公积_盈余公积弥补亏损影响权益</v>
          </cell>
          <cell r="D703">
            <v>-1</v>
          </cell>
          <cell r="E703" t="str">
            <v>N</v>
          </cell>
          <cell r="G703" t="str">
            <v>盈余公积弥补亏损</v>
          </cell>
          <cell r="I703">
            <v>8273</v>
          </cell>
          <cell r="J703" t="str">
            <v>J</v>
          </cell>
        </row>
        <row r="704">
          <cell r="B704">
            <v>8281</v>
          </cell>
          <cell r="C704" t="str">
            <v>资本公积_专项储备本期提取</v>
          </cell>
          <cell r="D704">
            <v>-1</v>
          </cell>
          <cell r="E704" t="str">
            <v>N</v>
          </cell>
          <cell r="G704" t="str">
            <v>本期提取</v>
          </cell>
          <cell r="I704">
            <v>8281</v>
          </cell>
          <cell r="J704" t="str">
            <v>J</v>
          </cell>
        </row>
        <row r="705">
          <cell r="B705">
            <v>8282</v>
          </cell>
          <cell r="C705" t="str">
            <v>资本公积_专项储备本期使用</v>
          </cell>
          <cell r="D705">
            <v>-1</v>
          </cell>
          <cell r="E705" t="str">
            <v>N</v>
          </cell>
          <cell r="G705" t="str">
            <v>本期使用</v>
          </cell>
          <cell r="I705">
            <v>8282</v>
          </cell>
          <cell r="J705" t="str">
            <v>J</v>
          </cell>
        </row>
        <row r="706">
          <cell r="B706">
            <v>8321</v>
          </cell>
          <cell r="C706" t="str">
            <v>库存股_净利润增加权益</v>
          </cell>
          <cell r="D706">
            <v>1</v>
          </cell>
          <cell r="E706" t="str">
            <v>N</v>
          </cell>
          <cell r="G706" t="str">
            <v>（一）净利润</v>
          </cell>
          <cell r="I706">
            <v>8321</v>
          </cell>
          <cell r="J706" t="str">
            <v>J</v>
          </cell>
        </row>
        <row r="707">
          <cell r="B707">
            <v>8330</v>
          </cell>
          <cell r="C707" t="str">
            <v>库存股_其他综合收益增加权益</v>
          </cell>
          <cell r="D707">
            <v>1</v>
          </cell>
          <cell r="E707" t="str">
            <v>N</v>
          </cell>
          <cell r="G707" t="str">
            <v>（二）其他综合收益</v>
          </cell>
          <cell r="I707">
            <v>8330</v>
          </cell>
          <cell r="J707" t="str">
            <v>J</v>
          </cell>
        </row>
        <row r="708">
          <cell r="B708">
            <v>8361</v>
          </cell>
          <cell r="C708" t="str">
            <v>库存股_提取盈余公积影响权益</v>
          </cell>
          <cell r="D708">
            <v>1</v>
          </cell>
          <cell r="E708" t="str">
            <v>N</v>
          </cell>
          <cell r="G708" t="str">
            <v>提取盈余公积</v>
          </cell>
          <cell r="I708">
            <v>8361</v>
          </cell>
          <cell r="J708" t="str">
            <v>J</v>
          </cell>
        </row>
        <row r="709">
          <cell r="B709">
            <v>8362</v>
          </cell>
          <cell r="C709" t="str">
            <v>库存股_提取一般风险准备影响权益</v>
          </cell>
          <cell r="D709">
            <v>1</v>
          </cell>
          <cell r="E709" t="str">
            <v>N</v>
          </cell>
          <cell r="G709" t="str">
            <v>提取一般风险准备</v>
          </cell>
          <cell r="I709">
            <v>8362</v>
          </cell>
          <cell r="J709" t="str">
            <v>J</v>
          </cell>
        </row>
        <row r="710">
          <cell r="B710">
            <v>8371</v>
          </cell>
          <cell r="C710" t="str">
            <v>库存股_资本公积转增资本影响权益</v>
          </cell>
          <cell r="D710">
            <v>1</v>
          </cell>
          <cell r="E710" t="str">
            <v>N</v>
          </cell>
          <cell r="G710" t="str">
            <v>资本公积转增资本（或股本）</v>
          </cell>
          <cell r="I710">
            <v>8371</v>
          </cell>
          <cell r="J710" t="str">
            <v>J</v>
          </cell>
        </row>
        <row r="711">
          <cell r="B711">
            <v>8372</v>
          </cell>
          <cell r="C711" t="str">
            <v>库存股_盈余公积转增资本影响权益</v>
          </cell>
          <cell r="D711">
            <v>1</v>
          </cell>
          <cell r="E711" t="str">
            <v>N</v>
          </cell>
          <cell r="G711" t="str">
            <v>盈余公积转增资本（或股本）</v>
          </cell>
          <cell r="I711">
            <v>8372</v>
          </cell>
          <cell r="J711" t="str">
            <v>J</v>
          </cell>
        </row>
        <row r="712">
          <cell r="B712">
            <v>8373</v>
          </cell>
          <cell r="C712" t="str">
            <v>库存股_盈余公积弥补亏损影响权益</v>
          </cell>
          <cell r="D712">
            <v>1</v>
          </cell>
          <cell r="E712" t="str">
            <v>N</v>
          </cell>
          <cell r="G712" t="str">
            <v>盈余公积弥补亏损</v>
          </cell>
          <cell r="I712">
            <v>8373</v>
          </cell>
          <cell r="J712" t="str">
            <v>J</v>
          </cell>
        </row>
        <row r="713">
          <cell r="B713">
            <v>8381</v>
          </cell>
          <cell r="C713" t="str">
            <v>库存股_专项储备本期提取</v>
          </cell>
          <cell r="D713">
            <v>1</v>
          </cell>
          <cell r="E713" t="str">
            <v>N</v>
          </cell>
          <cell r="G713" t="str">
            <v>本期提取</v>
          </cell>
          <cell r="I713">
            <v>8381</v>
          </cell>
          <cell r="J713" t="str">
            <v>J</v>
          </cell>
        </row>
        <row r="714">
          <cell r="B714">
            <v>8382</v>
          </cell>
          <cell r="C714" t="str">
            <v>库存股_专项储备本期使用</v>
          </cell>
          <cell r="D714">
            <v>1</v>
          </cell>
          <cell r="E714" t="str">
            <v>N</v>
          </cell>
          <cell r="G714" t="str">
            <v>本期使用</v>
          </cell>
          <cell r="I714">
            <v>8382</v>
          </cell>
          <cell r="J714" t="str">
            <v>J</v>
          </cell>
        </row>
        <row r="715">
          <cell r="B715">
            <v>8421</v>
          </cell>
          <cell r="C715" t="str">
            <v>专项储备_净利润增加权益</v>
          </cell>
          <cell r="D715">
            <v>-1</v>
          </cell>
          <cell r="E715" t="str">
            <v>N</v>
          </cell>
          <cell r="G715" t="str">
            <v>（一）净利润</v>
          </cell>
          <cell r="I715">
            <v>8421</v>
          </cell>
          <cell r="J715" t="str">
            <v>J</v>
          </cell>
        </row>
        <row r="716">
          <cell r="B716">
            <v>8430</v>
          </cell>
          <cell r="C716" t="str">
            <v>专项储备_其他综合收益增加权益</v>
          </cell>
          <cell r="D716">
            <v>-1</v>
          </cell>
          <cell r="E716" t="str">
            <v>N</v>
          </cell>
          <cell r="G716" t="str">
            <v>（二）其他综合收益</v>
          </cell>
          <cell r="I716">
            <v>8430</v>
          </cell>
          <cell r="J716" t="str">
            <v>J</v>
          </cell>
        </row>
        <row r="717">
          <cell r="B717">
            <v>8451</v>
          </cell>
          <cell r="C717" t="str">
            <v>专项储备_所有者投入资本增加权益</v>
          </cell>
          <cell r="D717">
            <v>-1</v>
          </cell>
          <cell r="E717" t="str">
            <v>N</v>
          </cell>
          <cell r="G717" t="str">
            <v>所有者投入资本</v>
          </cell>
          <cell r="I717">
            <v>8451</v>
          </cell>
          <cell r="J717" t="str">
            <v>J</v>
          </cell>
        </row>
        <row r="718">
          <cell r="B718">
            <v>8452</v>
          </cell>
          <cell r="C718" t="str">
            <v>专项储备_股份支付计入所有者权益的金额</v>
          </cell>
          <cell r="D718">
            <v>-1</v>
          </cell>
          <cell r="E718" t="str">
            <v>N</v>
          </cell>
          <cell r="G718" t="str">
            <v>股份支付计入所有者权益的金额</v>
          </cell>
          <cell r="I718">
            <v>8452</v>
          </cell>
          <cell r="J718" t="str">
            <v>J</v>
          </cell>
        </row>
        <row r="719">
          <cell r="B719">
            <v>8456</v>
          </cell>
          <cell r="C719" t="str">
            <v>专项储备_所有者其他投入和减少资本</v>
          </cell>
          <cell r="D719">
            <v>-1</v>
          </cell>
          <cell r="E719" t="str">
            <v>N</v>
          </cell>
          <cell r="G719" t="str">
            <v>其他</v>
          </cell>
          <cell r="I719">
            <v>8456</v>
          </cell>
          <cell r="J719" t="str">
            <v>J</v>
          </cell>
        </row>
        <row r="720">
          <cell r="B720">
            <v>8461</v>
          </cell>
          <cell r="C720" t="str">
            <v>专项储备_提取盈余公积影响权益</v>
          </cell>
          <cell r="D720">
            <v>-1</v>
          </cell>
          <cell r="E720" t="str">
            <v>N</v>
          </cell>
          <cell r="G720" t="str">
            <v>提取盈余公积</v>
          </cell>
          <cell r="I720">
            <v>8461</v>
          </cell>
          <cell r="J720" t="str">
            <v>J</v>
          </cell>
        </row>
        <row r="721">
          <cell r="B721">
            <v>8462</v>
          </cell>
          <cell r="C721" t="str">
            <v>专项储备_提取一般风险准备影响权益</v>
          </cell>
          <cell r="D721">
            <v>-1</v>
          </cell>
          <cell r="E721" t="str">
            <v>N</v>
          </cell>
          <cell r="G721" t="str">
            <v>提取一般风险准备</v>
          </cell>
          <cell r="I721">
            <v>8462</v>
          </cell>
          <cell r="J721" t="str">
            <v>J</v>
          </cell>
        </row>
        <row r="722">
          <cell r="B722">
            <v>8463</v>
          </cell>
          <cell r="C722" t="str">
            <v>专项储备_对所有者的分配影响权益</v>
          </cell>
          <cell r="D722">
            <v>-1</v>
          </cell>
          <cell r="E722" t="str">
            <v>N</v>
          </cell>
          <cell r="G722" t="str">
            <v>对所有者（或股东）的分配</v>
          </cell>
          <cell r="I722">
            <v>8463</v>
          </cell>
          <cell r="J722" t="str">
            <v>J</v>
          </cell>
        </row>
        <row r="723">
          <cell r="B723">
            <v>8466</v>
          </cell>
          <cell r="C723" t="str">
            <v>专项储备_其他利润分配影响权益</v>
          </cell>
          <cell r="D723">
            <v>-1</v>
          </cell>
          <cell r="E723" t="str">
            <v>N</v>
          </cell>
          <cell r="G723" t="str">
            <v>其他</v>
          </cell>
          <cell r="I723">
            <v>8466</v>
          </cell>
          <cell r="J723" t="str">
            <v>J</v>
          </cell>
        </row>
        <row r="724">
          <cell r="B724">
            <v>8471</v>
          </cell>
          <cell r="C724" t="str">
            <v>专项储备_资本公积转增资本影响权益</v>
          </cell>
          <cell r="D724">
            <v>-1</v>
          </cell>
          <cell r="E724" t="str">
            <v>N</v>
          </cell>
          <cell r="G724" t="str">
            <v>资本公积转增资本（或股本）</v>
          </cell>
          <cell r="I724">
            <v>8471</v>
          </cell>
          <cell r="J724" t="str">
            <v>J</v>
          </cell>
        </row>
        <row r="725">
          <cell r="B725">
            <v>8472</v>
          </cell>
          <cell r="C725" t="str">
            <v>专项储备_盈余公积转增资本影响权益</v>
          </cell>
          <cell r="D725">
            <v>-1</v>
          </cell>
          <cell r="E725" t="str">
            <v>N</v>
          </cell>
          <cell r="G725" t="str">
            <v>盈余公积转增资本（或股本）</v>
          </cell>
          <cell r="I725">
            <v>8472</v>
          </cell>
          <cell r="J725" t="str">
            <v>J</v>
          </cell>
        </row>
        <row r="726">
          <cell r="B726">
            <v>8473</v>
          </cell>
          <cell r="C726" t="str">
            <v>专项储备_盈余公积弥补亏损影响权益</v>
          </cell>
          <cell r="D726">
            <v>-1</v>
          </cell>
          <cell r="E726" t="str">
            <v>N</v>
          </cell>
          <cell r="G726" t="str">
            <v>盈余公积弥补亏损</v>
          </cell>
          <cell r="I726">
            <v>8473</v>
          </cell>
          <cell r="J726" t="str">
            <v>J</v>
          </cell>
        </row>
        <row r="727">
          <cell r="B727">
            <v>8521</v>
          </cell>
          <cell r="C727" t="str">
            <v>盈余公积_净利润增加权益</v>
          </cell>
          <cell r="D727">
            <v>-1</v>
          </cell>
          <cell r="E727" t="str">
            <v>N</v>
          </cell>
          <cell r="G727" t="str">
            <v>（一）净利润</v>
          </cell>
          <cell r="I727">
            <v>8521</v>
          </cell>
          <cell r="J727" t="str">
            <v>J</v>
          </cell>
        </row>
        <row r="728">
          <cell r="B728">
            <v>8530</v>
          </cell>
          <cell r="C728" t="str">
            <v>盈余公积_其他综合收益增加权益</v>
          </cell>
          <cell r="D728">
            <v>-1</v>
          </cell>
          <cell r="E728" t="str">
            <v>N</v>
          </cell>
          <cell r="G728" t="str">
            <v>（二）其他综合收益</v>
          </cell>
          <cell r="I728">
            <v>8530</v>
          </cell>
          <cell r="J728" t="str">
            <v>J</v>
          </cell>
        </row>
        <row r="729">
          <cell r="B729">
            <v>8551</v>
          </cell>
          <cell r="C729" t="str">
            <v>盈余公积_所有者投入资本增加权益</v>
          </cell>
          <cell r="D729">
            <v>-1</v>
          </cell>
          <cell r="E729" t="str">
            <v>N</v>
          </cell>
          <cell r="G729" t="str">
            <v>所有者投入资本</v>
          </cell>
          <cell r="I729">
            <v>8551</v>
          </cell>
          <cell r="J729" t="str">
            <v>J</v>
          </cell>
        </row>
        <row r="730">
          <cell r="B730">
            <v>8552</v>
          </cell>
          <cell r="C730" t="str">
            <v>盈余公积_股份支付计入所有者权益的金额</v>
          </cell>
          <cell r="D730">
            <v>-1</v>
          </cell>
          <cell r="E730" t="str">
            <v>N</v>
          </cell>
          <cell r="G730" t="str">
            <v>股份支付计入所有者权益的金额</v>
          </cell>
          <cell r="I730">
            <v>8552</v>
          </cell>
          <cell r="J730" t="str">
            <v>J</v>
          </cell>
        </row>
        <row r="731">
          <cell r="B731">
            <v>8562</v>
          </cell>
          <cell r="C731" t="str">
            <v>盈余公积_提取一般风险准备影响权益</v>
          </cell>
          <cell r="D731">
            <v>-1</v>
          </cell>
          <cell r="E731" t="str">
            <v>N</v>
          </cell>
          <cell r="G731" t="str">
            <v>提取一般风险准备</v>
          </cell>
          <cell r="I731">
            <v>8562</v>
          </cell>
          <cell r="J731" t="str">
            <v>J</v>
          </cell>
        </row>
        <row r="732">
          <cell r="B732">
            <v>8571</v>
          </cell>
          <cell r="C732" t="str">
            <v>盈余公积_资本公积转增资本影响权益</v>
          </cell>
          <cell r="D732">
            <v>-1</v>
          </cell>
          <cell r="E732" t="str">
            <v>N</v>
          </cell>
          <cell r="G732" t="str">
            <v>资本公积转增资本（或股本）</v>
          </cell>
          <cell r="I732">
            <v>8571</v>
          </cell>
          <cell r="J732" t="str">
            <v>J</v>
          </cell>
        </row>
        <row r="733">
          <cell r="B733">
            <v>8581</v>
          </cell>
          <cell r="C733" t="str">
            <v>盈余公积_专项储备本期提取</v>
          </cell>
          <cell r="D733">
            <v>-1</v>
          </cell>
          <cell r="E733" t="str">
            <v>N</v>
          </cell>
          <cell r="G733" t="str">
            <v>本期提取</v>
          </cell>
          <cell r="I733">
            <v>8581</v>
          </cell>
          <cell r="J733" t="str">
            <v>J</v>
          </cell>
        </row>
        <row r="734">
          <cell r="B734">
            <v>8582</v>
          </cell>
          <cell r="C734" t="str">
            <v>盈余公积_专项储备本期使用</v>
          </cell>
          <cell r="D734">
            <v>-1</v>
          </cell>
          <cell r="E734" t="str">
            <v>N</v>
          </cell>
          <cell r="G734" t="str">
            <v>本期使用</v>
          </cell>
          <cell r="I734">
            <v>8582</v>
          </cell>
          <cell r="J734" t="str">
            <v>J</v>
          </cell>
        </row>
        <row r="735">
          <cell r="B735">
            <v>8621</v>
          </cell>
          <cell r="C735" t="str">
            <v>一般风险准备_净利润增加权益</v>
          </cell>
          <cell r="D735">
            <v>-1</v>
          </cell>
          <cell r="E735" t="str">
            <v>N</v>
          </cell>
          <cell r="G735" t="str">
            <v>（一）净利润</v>
          </cell>
          <cell r="I735">
            <v>8621</v>
          </cell>
          <cell r="J735" t="str">
            <v>J</v>
          </cell>
        </row>
        <row r="736">
          <cell r="B736">
            <v>8630</v>
          </cell>
          <cell r="C736" t="str">
            <v>一般风险准备_其他综合收益增加权益</v>
          </cell>
          <cell r="D736">
            <v>-1</v>
          </cell>
          <cell r="E736" t="str">
            <v>N</v>
          </cell>
          <cell r="G736" t="str">
            <v>（二）其他综合收益</v>
          </cell>
          <cell r="I736">
            <v>8630</v>
          </cell>
          <cell r="J736" t="str">
            <v>J</v>
          </cell>
        </row>
        <row r="737">
          <cell r="B737">
            <v>8651</v>
          </cell>
          <cell r="C737" t="str">
            <v>一般风险准备_所有者投入资本增加权益</v>
          </cell>
          <cell r="D737">
            <v>-1</v>
          </cell>
          <cell r="E737" t="str">
            <v>N</v>
          </cell>
          <cell r="G737" t="str">
            <v>所有者投入资本</v>
          </cell>
          <cell r="I737">
            <v>8651</v>
          </cell>
          <cell r="J737" t="str">
            <v>J</v>
          </cell>
        </row>
        <row r="738">
          <cell r="B738">
            <v>8652</v>
          </cell>
          <cell r="C738" t="str">
            <v>一般风险准备_股份支付计入所有者权益的金额</v>
          </cell>
          <cell r="D738">
            <v>-1</v>
          </cell>
          <cell r="E738" t="str">
            <v>N</v>
          </cell>
          <cell r="G738" t="str">
            <v>股份支付计入所有者权益的金额</v>
          </cell>
          <cell r="I738">
            <v>8652</v>
          </cell>
          <cell r="J738" t="str">
            <v>J</v>
          </cell>
        </row>
        <row r="739">
          <cell r="B739">
            <v>8661</v>
          </cell>
          <cell r="C739" t="str">
            <v>一般风险准备_提取盈余公积影响权益</v>
          </cell>
          <cell r="D739">
            <v>-1</v>
          </cell>
          <cell r="E739" t="str">
            <v>N</v>
          </cell>
          <cell r="G739" t="str">
            <v>提取盈余公积</v>
          </cell>
          <cell r="I739">
            <v>8661</v>
          </cell>
          <cell r="J739" t="str">
            <v>J</v>
          </cell>
        </row>
        <row r="740">
          <cell r="B740">
            <v>8663</v>
          </cell>
          <cell r="C740" t="str">
            <v>一般风险准备_对所有者的分配影响权益</v>
          </cell>
          <cell r="D740">
            <v>-1</v>
          </cell>
          <cell r="E740" t="str">
            <v>N</v>
          </cell>
          <cell r="G740" t="str">
            <v>对所有者（或股东）的分配</v>
          </cell>
          <cell r="I740">
            <v>8663</v>
          </cell>
          <cell r="J740" t="str">
            <v>J</v>
          </cell>
        </row>
        <row r="741">
          <cell r="B741">
            <v>8671</v>
          </cell>
          <cell r="C741" t="str">
            <v>一般风险准备_资本公积转增资本影响权益</v>
          </cell>
          <cell r="D741">
            <v>-1</v>
          </cell>
          <cell r="E741" t="str">
            <v>N</v>
          </cell>
          <cell r="G741" t="str">
            <v>资本公积转增资本（或股本）</v>
          </cell>
          <cell r="I741">
            <v>8671</v>
          </cell>
          <cell r="J741" t="str">
            <v>J</v>
          </cell>
        </row>
        <row r="742">
          <cell r="B742">
            <v>8672</v>
          </cell>
          <cell r="C742" t="str">
            <v>一般风险准备_盈余公积转增资本影响权益</v>
          </cell>
          <cell r="D742">
            <v>-1</v>
          </cell>
          <cell r="E742" t="str">
            <v>N</v>
          </cell>
          <cell r="G742" t="str">
            <v>盈余公积转增资本（或股本）</v>
          </cell>
          <cell r="I742">
            <v>8672</v>
          </cell>
          <cell r="J742" t="str">
            <v>J</v>
          </cell>
        </row>
        <row r="743">
          <cell r="B743">
            <v>8673</v>
          </cell>
          <cell r="C743" t="str">
            <v>一般风险准备_盈余公积弥补亏损影响权益</v>
          </cell>
          <cell r="D743">
            <v>-1</v>
          </cell>
          <cell r="E743" t="str">
            <v>N</v>
          </cell>
          <cell r="G743" t="str">
            <v>盈余公积弥补亏损</v>
          </cell>
          <cell r="I743">
            <v>8673</v>
          </cell>
          <cell r="J743" t="str">
            <v>J</v>
          </cell>
        </row>
        <row r="744">
          <cell r="B744">
            <v>8681</v>
          </cell>
          <cell r="C744" t="str">
            <v>一般风险准备_专项储备本期提取</v>
          </cell>
          <cell r="D744">
            <v>-1</v>
          </cell>
          <cell r="E744" t="str">
            <v>N</v>
          </cell>
          <cell r="G744" t="str">
            <v>本期提取</v>
          </cell>
          <cell r="I744">
            <v>8681</v>
          </cell>
          <cell r="J744" t="str">
            <v>J</v>
          </cell>
        </row>
        <row r="745">
          <cell r="B745">
            <v>8682</v>
          </cell>
          <cell r="C745" t="str">
            <v>一般风险准备_专项储备本期使用</v>
          </cell>
          <cell r="D745">
            <v>-1</v>
          </cell>
          <cell r="E745" t="str">
            <v>N</v>
          </cell>
          <cell r="G745" t="str">
            <v>本期使用</v>
          </cell>
          <cell r="I745">
            <v>8682</v>
          </cell>
          <cell r="J745" t="str">
            <v>J</v>
          </cell>
        </row>
        <row r="746">
          <cell r="B746">
            <v>8730</v>
          </cell>
          <cell r="C746" t="str">
            <v>未分配利润_其他综合收益增加权益</v>
          </cell>
          <cell r="D746">
            <v>-1</v>
          </cell>
          <cell r="E746" t="str">
            <v>N</v>
          </cell>
          <cell r="G746" t="str">
            <v>（二）其他综合收益</v>
          </cell>
          <cell r="I746">
            <v>8730</v>
          </cell>
        </row>
        <row r="747">
          <cell r="B747">
            <v>8751</v>
          </cell>
          <cell r="C747" t="str">
            <v>未分配利润_所有者投入资本增加权益</v>
          </cell>
          <cell r="D747">
            <v>-1</v>
          </cell>
          <cell r="E747" t="str">
            <v>N</v>
          </cell>
          <cell r="G747" t="str">
            <v>所有者投入资本</v>
          </cell>
          <cell r="I747">
            <v>8751</v>
          </cell>
          <cell r="J747" t="str">
            <v>J</v>
          </cell>
        </row>
        <row r="748">
          <cell r="B748">
            <v>8752</v>
          </cell>
          <cell r="C748" t="str">
            <v>未分配利润_股份支付计入所有者权益的金额</v>
          </cell>
          <cell r="D748">
            <v>-1</v>
          </cell>
          <cell r="E748" t="str">
            <v>N</v>
          </cell>
          <cell r="G748" t="str">
            <v>股份支付计入所有者权益的金额</v>
          </cell>
          <cell r="I748">
            <v>8752</v>
          </cell>
          <cell r="J748" t="str">
            <v>J</v>
          </cell>
        </row>
        <row r="749">
          <cell r="B749">
            <v>8771</v>
          </cell>
          <cell r="C749" t="str">
            <v>未分配利润_资本公积转增资本影响权益</v>
          </cell>
          <cell r="D749">
            <v>-1</v>
          </cell>
          <cell r="E749" t="str">
            <v>N</v>
          </cell>
          <cell r="G749" t="str">
            <v>资本公积转增资本（或股本）</v>
          </cell>
          <cell r="I749">
            <v>8771</v>
          </cell>
          <cell r="J749" t="str">
            <v>J</v>
          </cell>
        </row>
        <row r="750">
          <cell r="B750">
            <v>8772</v>
          </cell>
          <cell r="C750" t="str">
            <v>未分配利润_盈余公积转增资本影响权益</v>
          </cell>
          <cell r="D750">
            <v>-1</v>
          </cell>
          <cell r="E750" t="str">
            <v>N</v>
          </cell>
          <cell r="G750" t="str">
            <v>盈余公积转增资本（或股本）</v>
          </cell>
          <cell r="I750">
            <v>8772</v>
          </cell>
          <cell r="J750" t="str">
            <v>J</v>
          </cell>
        </row>
        <row r="751">
          <cell r="B751">
            <v>8961</v>
          </cell>
          <cell r="C751" t="str">
            <v>少数股东权益_提取盈余公积影响权益</v>
          </cell>
          <cell r="D751">
            <v>-1</v>
          </cell>
          <cell r="E751" t="str">
            <v>※N</v>
          </cell>
          <cell r="G751" t="str">
            <v>提取盈余公积</v>
          </cell>
          <cell r="I751">
            <v>8961</v>
          </cell>
          <cell r="J751" t="str">
            <v>J</v>
          </cell>
        </row>
        <row r="752">
          <cell r="B752">
            <v>8962</v>
          </cell>
          <cell r="C752" t="str">
            <v>少数股东权益_提取一般风险准备影响权益</v>
          </cell>
          <cell r="D752">
            <v>-1</v>
          </cell>
          <cell r="E752" t="str">
            <v>※N</v>
          </cell>
          <cell r="G752" t="str">
            <v>提取一般风险准备</v>
          </cell>
          <cell r="I752">
            <v>8962</v>
          </cell>
          <cell r="J752" t="str">
            <v>J</v>
          </cell>
        </row>
        <row r="753">
          <cell r="B753">
            <v>8971</v>
          </cell>
          <cell r="C753" t="str">
            <v>少数股东权益_资本公积转增资本影响权益</v>
          </cell>
          <cell r="D753">
            <v>-1</v>
          </cell>
          <cell r="E753" t="str">
            <v>※N</v>
          </cell>
          <cell r="G753" t="str">
            <v>资本公积转增资本（或股本）</v>
          </cell>
          <cell r="I753">
            <v>8971</v>
          </cell>
          <cell r="J753" t="str">
            <v>J</v>
          </cell>
        </row>
        <row r="754">
          <cell r="B754">
            <v>8972</v>
          </cell>
          <cell r="C754" t="str">
            <v>少数股东权益_盈余公积转增资本影响权益</v>
          </cell>
          <cell r="D754">
            <v>-1</v>
          </cell>
          <cell r="E754" t="str">
            <v>※N</v>
          </cell>
          <cell r="G754" t="str">
            <v>盈余公积转增资本（或股本）</v>
          </cell>
          <cell r="I754">
            <v>8972</v>
          </cell>
          <cell r="J754" t="str">
            <v>J</v>
          </cell>
        </row>
        <row r="755">
          <cell r="B755">
            <v>8973</v>
          </cell>
          <cell r="C755" t="str">
            <v>少数股东权益_盈余公积弥补亏损影响权益</v>
          </cell>
          <cell r="D755">
            <v>-1</v>
          </cell>
          <cell r="E755" t="str">
            <v>※N</v>
          </cell>
          <cell r="G755" t="str">
            <v>盈余公积弥补亏损</v>
          </cell>
          <cell r="I755">
            <v>8973</v>
          </cell>
          <cell r="J755" t="str">
            <v>J</v>
          </cell>
        </row>
        <row r="756">
          <cell r="B756">
            <v>8140</v>
          </cell>
          <cell r="C756" t="str">
            <v>实收资本_综合收益总额增加权益</v>
          </cell>
          <cell r="D756">
            <v>-1</v>
          </cell>
          <cell r="G756" t="str">
            <v>（一）综合收益总额</v>
          </cell>
          <cell r="I756">
            <v>8140</v>
          </cell>
          <cell r="J756" t="str">
            <v>J</v>
          </cell>
        </row>
        <row r="757">
          <cell r="B757">
            <v>8160</v>
          </cell>
          <cell r="C757" t="str">
            <v>实收资本_利润分配影响权益</v>
          </cell>
          <cell r="E757" t="str">
            <v>＝</v>
          </cell>
          <cell r="G757" t="str">
            <v>（三）利润分配</v>
          </cell>
          <cell r="I757">
            <v>8160</v>
          </cell>
        </row>
        <row r="758">
          <cell r="B758">
            <v>8180</v>
          </cell>
          <cell r="C758" t="str">
            <v>实收资本_专项储备影响权益</v>
          </cell>
          <cell r="E758" t="str">
            <v>＝</v>
          </cell>
          <cell r="G758" t="str">
            <v>（五）专项储备</v>
          </cell>
          <cell r="I758">
            <v>8180</v>
          </cell>
        </row>
        <row r="759">
          <cell r="B759">
            <v>8280</v>
          </cell>
          <cell r="C759" t="str">
            <v>资本公积_专项储备影响权益</v>
          </cell>
          <cell r="E759" t="str">
            <v>＝</v>
          </cell>
          <cell r="G759" t="str">
            <v>（五）专项储备</v>
          </cell>
          <cell r="I759">
            <v>8280</v>
          </cell>
        </row>
        <row r="760">
          <cell r="B760">
            <v>8340</v>
          </cell>
          <cell r="C760" t="str">
            <v>库存股_综合收益总额增加权益</v>
          </cell>
          <cell r="D760">
            <v>1</v>
          </cell>
          <cell r="G760" t="str">
            <v>（一）综合收益总额</v>
          </cell>
          <cell r="I760">
            <v>8340</v>
          </cell>
          <cell r="J760" t="str">
            <v>J</v>
          </cell>
        </row>
        <row r="761">
          <cell r="B761">
            <v>8380</v>
          </cell>
          <cell r="C761" t="str">
            <v>库存股_专项储备影响权益</v>
          </cell>
          <cell r="E761" t="str">
            <v>＝</v>
          </cell>
          <cell r="G761" t="str">
            <v>（五）专项储备</v>
          </cell>
          <cell r="I761">
            <v>8380</v>
          </cell>
        </row>
        <row r="762">
          <cell r="B762">
            <v>8440</v>
          </cell>
          <cell r="C762" t="str">
            <v>专项储备_综合收益总额增加权益</v>
          </cell>
          <cell r="D762">
            <v>-1</v>
          </cell>
          <cell r="G762" t="str">
            <v>（一）综合收益总额</v>
          </cell>
          <cell r="I762">
            <v>8440</v>
          </cell>
          <cell r="J762" t="str">
            <v>J</v>
          </cell>
        </row>
        <row r="763">
          <cell r="B763">
            <v>8450</v>
          </cell>
          <cell r="C763" t="str">
            <v>专项储备_所有者投入和减少资本影响权益</v>
          </cell>
          <cell r="E763" t="str">
            <v>＝</v>
          </cell>
          <cell r="G763" t="str">
            <v>（二）所有者投入和减少资本</v>
          </cell>
          <cell r="I763">
            <v>8450</v>
          </cell>
        </row>
        <row r="764">
          <cell r="B764">
            <v>8460</v>
          </cell>
          <cell r="C764" t="str">
            <v>专项储备_利润分配影响权益</v>
          </cell>
          <cell r="E764" t="str">
            <v>＝</v>
          </cell>
          <cell r="G764" t="str">
            <v>（三）利润分配</v>
          </cell>
          <cell r="I764">
            <v>8460</v>
          </cell>
        </row>
        <row r="765">
          <cell r="B765">
            <v>8540</v>
          </cell>
          <cell r="C765" t="str">
            <v>盈余公积_综合收益总额增加权益</v>
          </cell>
          <cell r="D765">
            <v>-1</v>
          </cell>
          <cell r="G765" t="str">
            <v>（一）综合收益总额</v>
          </cell>
          <cell r="I765">
            <v>8540</v>
          </cell>
          <cell r="J765" t="str">
            <v>J</v>
          </cell>
        </row>
        <row r="766">
          <cell r="B766">
            <v>8580</v>
          </cell>
          <cell r="C766" t="str">
            <v>盈余公积_专项储备影响权益</v>
          </cell>
          <cell r="E766" t="str">
            <v>＝</v>
          </cell>
          <cell r="G766" t="str">
            <v>（五）专项储备</v>
          </cell>
          <cell r="I766">
            <v>8580</v>
          </cell>
        </row>
        <row r="767">
          <cell r="B767">
            <v>8640</v>
          </cell>
          <cell r="C767" t="str">
            <v>一般风险准备_综合收益总额增加权益</v>
          </cell>
          <cell r="D767">
            <v>-1</v>
          </cell>
          <cell r="G767" t="str">
            <v>（一）综合收益总额</v>
          </cell>
          <cell r="I767">
            <v>8640</v>
          </cell>
          <cell r="J767" t="str">
            <v>J</v>
          </cell>
        </row>
        <row r="768">
          <cell r="B768">
            <v>8680</v>
          </cell>
          <cell r="C768" t="str">
            <v>一般风险准备_专项储备影响权益</v>
          </cell>
          <cell r="E768" t="str">
            <v>＝</v>
          </cell>
          <cell r="G768" t="str">
            <v>（五）专项储备</v>
          </cell>
          <cell r="I768">
            <v>8680</v>
          </cell>
        </row>
        <row r="769">
          <cell r="B769" t="str">
            <v>8a00</v>
          </cell>
          <cell r="C769" t="str">
            <v>其他权益工具增减变动</v>
          </cell>
          <cell r="E769" t="str">
            <v>：OEI</v>
          </cell>
          <cell r="G769" t="str">
            <v>其他权益工具增减变动</v>
          </cell>
          <cell r="I769" t="str">
            <v>8a00</v>
          </cell>
        </row>
        <row r="770">
          <cell r="B770" t="str">
            <v>8a01</v>
          </cell>
          <cell r="C770" t="str">
            <v>其他权益工具_上年年末余额</v>
          </cell>
          <cell r="D770">
            <v>-1</v>
          </cell>
          <cell r="E770" t="str">
            <v>OEI</v>
          </cell>
          <cell r="G770" t="str">
            <v>一、上年年末余额</v>
          </cell>
          <cell r="I770" t="str">
            <v>8a01</v>
          </cell>
        </row>
        <row r="771">
          <cell r="B771" t="str">
            <v>8a02</v>
          </cell>
          <cell r="C771" t="str">
            <v>其他权益工具_会计政策变更调整上年年末余额</v>
          </cell>
          <cell r="D771">
            <v>-1</v>
          </cell>
          <cell r="E771" t="str">
            <v>OEI</v>
          </cell>
          <cell r="G771" t="str">
            <v>加：会计政策变更</v>
          </cell>
          <cell r="I771" t="str">
            <v>8a02</v>
          </cell>
        </row>
        <row r="772">
          <cell r="B772" t="str">
            <v>8a03</v>
          </cell>
          <cell r="C772" t="str">
            <v>其他权益工具_前期差错更正调整上年年末余额</v>
          </cell>
          <cell r="D772">
            <v>-1</v>
          </cell>
          <cell r="E772" t="str">
            <v>OEI</v>
          </cell>
          <cell r="G772" t="str">
            <v>前期差错更正</v>
          </cell>
          <cell r="I772" t="str">
            <v>8a03</v>
          </cell>
        </row>
        <row r="773">
          <cell r="B773" t="str">
            <v>8a04</v>
          </cell>
          <cell r="C773" t="str">
            <v>其他权益工具_同一控制下企业合并调整上年年末余额</v>
          </cell>
          <cell r="D773">
            <v>-1</v>
          </cell>
          <cell r="E773" t="str">
            <v>※OEI</v>
          </cell>
          <cell r="G773" t="str">
            <v>同一控制下企业合并</v>
          </cell>
          <cell r="I773" t="str">
            <v>8a04</v>
          </cell>
        </row>
        <row r="774">
          <cell r="B774" t="str">
            <v>8a09</v>
          </cell>
          <cell r="C774" t="str">
            <v>其他权益工具_其他原因调整上年年末余额</v>
          </cell>
          <cell r="D774">
            <v>-1</v>
          </cell>
          <cell r="E774" t="str">
            <v>OEI</v>
          </cell>
          <cell r="G774" t="str">
            <v>其他</v>
          </cell>
          <cell r="I774" t="str">
            <v>8a09</v>
          </cell>
        </row>
        <row r="775">
          <cell r="B775" t="str">
            <v>8a10</v>
          </cell>
          <cell r="C775" t="str">
            <v>其他权益工具_本年年初余额</v>
          </cell>
          <cell r="E775" t="str">
            <v>OEI＝</v>
          </cell>
          <cell r="G775" t="str">
            <v>二、本年年初余额</v>
          </cell>
          <cell r="I775" t="str">
            <v>8a10</v>
          </cell>
        </row>
        <row r="776">
          <cell r="B776" t="str">
            <v>8a90</v>
          </cell>
          <cell r="C776" t="str">
            <v>其他权益工具_本期增减变动金额</v>
          </cell>
          <cell r="E776" t="str">
            <v>OEI＝</v>
          </cell>
          <cell r="G776" t="str">
            <v>三、本期增减变动金额（减少以“-”号填列）</v>
          </cell>
          <cell r="I776" t="str">
            <v>8a90</v>
          </cell>
        </row>
        <row r="777">
          <cell r="B777" t="str">
            <v>8a40</v>
          </cell>
          <cell r="C777" t="str">
            <v>其他权益工具_综合收益总额增加权益</v>
          </cell>
          <cell r="E777" t="str">
            <v>OEI</v>
          </cell>
          <cell r="G777" t="str">
            <v>（一）综合收益总额</v>
          </cell>
          <cell r="I777" t="str">
            <v>8a40</v>
          </cell>
        </row>
        <row r="778">
          <cell r="B778" t="str">
            <v>8a50</v>
          </cell>
          <cell r="C778" t="str">
            <v>其他权益工具_所有者投入和减少资本影响权益</v>
          </cell>
          <cell r="E778" t="str">
            <v>OEI＝</v>
          </cell>
          <cell r="G778" t="str">
            <v>（二）所有者投入和减少资本</v>
          </cell>
          <cell r="I778" t="str">
            <v>8a50</v>
          </cell>
        </row>
        <row r="779">
          <cell r="B779" t="str">
            <v>8a51</v>
          </cell>
          <cell r="C779" t="str">
            <v>其他权益工具_所有者投入资本</v>
          </cell>
          <cell r="D779">
            <v>-1</v>
          </cell>
          <cell r="E779" t="str">
            <v>OEI</v>
          </cell>
          <cell r="G779" t="str">
            <v>所有者投入资本</v>
          </cell>
          <cell r="I779" t="str">
            <v>8a51</v>
          </cell>
        </row>
        <row r="780">
          <cell r="B780" t="str">
            <v>8a52</v>
          </cell>
          <cell r="C780" t="str">
            <v>其他权益工具_股份支付</v>
          </cell>
          <cell r="D780">
            <v>-1</v>
          </cell>
          <cell r="E780" t="str">
            <v>OEI</v>
          </cell>
          <cell r="G780" t="str">
            <v>股份支付计入所有者权益的金额</v>
          </cell>
          <cell r="I780" t="str">
            <v>8a52</v>
          </cell>
        </row>
        <row r="781">
          <cell r="B781" t="str">
            <v>8a53</v>
          </cell>
          <cell r="C781" t="str">
            <v>其他权益工具_其他权益工具持有者投入资本</v>
          </cell>
          <cell r="D781">
            <v>-1</v>
          </cell>
          <cell r="E781" t="str">
            <v>OEI</v>
          </cell>
          <cell r="G781" t="str">
            <v>其他权益工具持有者投入资本</v>
          </cell>
          <cell r="I781" t="str">
            <v>8a53</v>
          </cell>
        </row>
        <row r="782">
          <cell r="B782" t="str">
            <v>8a56</v>
          </cell>
          <cell r="C782" t="str">
            <v>其他权益工具_所有者其他投入和减少资本</v>
          </cell>
          <cell r="D782">
            <v>-1</v>
          </cell>
          <cell r="E782" t="str">
            <v>OEI</v>
          </cell>
          <cell r="G782" t="str">
            <v>其他</v>
          </cell>
          <cell r="I782" t="str">
            <v>8a56</v>
          </cell>
        </row>
        <row r="783">
          <cell r="B783" t="str">
            <v>8a60</v>
          </cell>
          <cell r="C783" t="str">
            <v>其他权益工具_利润分配影响权益</v>
          </cell>
          <cell r="E783" t="str">
            <v>OEI＝</v>
          </cell>
          <cell r="G783" t="str">
            <v>（三）利润分配</v>
          </cell>
          <cell r="I783" t="str">
            <v>8a60</v>
          </cell>
        </row>
        <row r="784">
          <cell r="B784" t="str">
            <v>8a61</v>
          </cell>
          <cell r="C784" t="str">
            <v>其他权益工具_提取盈余公积</v>
          </cell>
          <cell r="D784">
            <v>-1</v>
          </cell>
          <cell r="E784" t="str">
            <v>OEI</v>
          </cell>
          <cell r="G784" t="str">
            <v>提取盈余公积</v>
          </cell>
          <cell r="I784" t="str">
            <v>8a61</v>
          </cell>
        </row>
        <row r="785">
          <cell r="B785" t="str">
            <v>8a62</v>
          </cell>
          <cell r="C785" t="str">
            <v>其他权益工具_提取一般风险准备</v>
          </cell>
          <cell r="D785">
            <v>-1</v>
          </cell>
          <cell r="E785" t="str">
            <v>OEI</v>
          </cell>
          <cell r="G785" t="str">
            <v>提取一般风险准备</v>
          </cell>
          <cell r="I785" t="str">
            <v>8a62</v>
          </cell>
        </row>
        <row r="786">
          <cell r="B786" t="str">
            <v>8a63</v>
          </cell>
          <cell r="C786" t="str">
            <v>其他权益工具_对所有者的分配</v>
          </cell>
          <cell r="D786">
            <v>-1</v>
          </cell>
          <cell r="E786" t="str">
            <v>OEI</v>
          </cell>
          <cell r="G786" t="str">
            <v>对所有者（或股东）的分配</v>
          </cell>
          <cell r="I786" t="str">
            <v>8a63</v>
          </cell>
        </row>
        <row r="787">
          <cell r="B787" t="str">
            <v>8a66</v>
          </cell>
          <cell r="C787" t="str">
            <v>其他权益工具_其他利润分配</v>
          </cell>
          <cell r="D787">
            <v>-1</v>
          </cell>
          <cell r="E787" t="str">
            <v>OEI</v>
          </cell>
          <cell r="G787" t="str">
            <v>其他</v>
          </cell>
          <cell r="I787" t="str">
            <v>8a66</v>
          </cell>
        </row>
        <row r="788">
          <cell r="B788" t="str">
            <v>8a70</v>
          </cell>
          <cell r="C788" t="str">
            <v>其他权益工具_所有者权益内部结转</v>
          </cell>
          <cell r="E788" t="str">
            <v>OEI＝</v>
          </cell>
          <cell r="G788" t="str">
            <v>（四）所有者权益内部结转</v>
          </cell>
          <cell r="I788" t="str">
            <v>8a70</v>
          </cell>
        </row>
        <row r="789">
          <cell r="B789" t="str">
            <v>8a71</v>
          </cell>
          <cell r="C789" t="str">
            <v>其他权益工具_资本公积转增资本</v>
          </cell>
          <cell r="D789">
            <v>-1</v>
          </cell>
          <cell r="E789" t="str">
            <v>OEI</v>
          </cell>
          <cell r="G789" t="str">
            <v>资本公积转增资本（或股本）</v>
          </cell>
          <cell r="I789" t="str">
            <v>8a71</v>
          </cell>
        </row>
        <row r="790">
          <cell r="B790" t="str">
            <v>8a72</v>
          </cell>
          <cell r="C790" t="str">
            <v>其他权益工具_盈余公积转增资本</v>
          </cell>
          <cell r="D790">
            <v>-1</v>
          </cell>
          <cell r="E790" t="str">
            <v>OEI</v>
          </cell>
          <cell r="G790" t="str">
            <v>盈余公积转增资本（或股本）</v>
          </cell>
          <cell r="I790" t="str">
            <v>8a72</v>
          </cell>
        </row>
        <row r="791">
          <cell r="B791" t="str">
            <v>8a73</v>
          </cell>
          <cell r="C791" t="str">
            <v>其他权益工具_盈余公积弥补亏损</v>
          </cell>
          <cell r="D791">
            <v>-1</v>
          </cell>
          <cell r="E791" t="str">
            <v>OEI</v>
          </cell>
          <cell r="G791" t="str">
            <v>盈余公积弥补亏损</v>
          </cell>
          <cell r="I791" t="str">
            <v>8a73</v>
          </cell>
        </row>
        <row r="792">
          <cell r="B792" t="str">
            <v>8a75</v>
          </cell>
          <cell r="C792" t="str">
            <v>其他权益工具_设定受益计划变动额结转留存收益</v>
          </cell>
          <cell r="D792">
            <v>-1</v>
          </cell>
          <cell r="E792" t="str">
            <v>OEI</v>
          </cell>
          <cell r="G792" t="str">
            <v>设定受益计划变动额结转留存收益</v>
          </cell>
          <cell r="I792" t="str">
            <v>8a75</v>
          </cell>
        </row>
        <row r="793">
          <cell r="B793" t="str">
            <v>8a76</v>
          </cell>
          <cell r="C793" t="str">
            <v>其他权益工具_所有者权益其他内部结转</v>
          </cell>
          <cell r="D793">
            <v>-1</v>
          </cell>
          <cell r="E793" t="str">
            <v>OEI</v>
          </cell>
          <cell r="G793" t="str">
            <v>其他</v>
          </cell>
          <cell r="I793" t="str">
            <v>8a76</v>
          </cell>
        </row>
        <row r="794">
          <cell r="B794" t="str">
            <v>8a80</v>
          </cell>
          <cell r="C794" t="str">
            <v>其他权益工具_专项储备影响权益</v>
          </cell>
          <cell r="E794" t="str">
            <v>OEI＝</v>
          </cell>
          <cell r="G794" t="str">
            <v>（五）专项储备</v>
          </cell>
          <cell r="I794" t="str">
            <v>8a80</v>
          </cell>
        </row>
        <row r="795">
          <cell r="B795" t="str">
            <v>8a81</v>
          </cell>
          <cell r="C795" t="str">
            <v>其他权益工具_专项储备本期提取</v>
          </cell>
          <cell r="D795">
            <v>-1</v>
          </cell>
          <cell r="E795" t="str">
            <v>OEI</v>
          </cell>
          <cell r="G795" t="str">
            <v>本期提取</v>
          </cell>
          <cell r="I795" t="str">
            <v>8a81</v>
          </cell>
        </row>
        <row r="796">
          <cell r="B796" t="str">
            <v>8a82</v>
          </cell>
          <cell r="C796" t="str">
            <v>其他权益工具_专项储备本期使用</v>
          </cell>
          <cell r="D796">
            <v>-1</v>
          </cell>
          <cell r="E796" t="str">
            <v>OEI</v>
          </cell>
          <cell r="G796" t="str">
            <v>本期使用</v>
          </cell>
          <cell r="I796" t="str">
            <v>8a82</v>
          </cell>
        </row>
        <row r="797">
          <cell r="B797" t="str">
            <v>8a96</v>
          </cell>
          <cell r="C797" t="str">
            <v>其他权益工具_本期其他增减变动</v>
          </cell>
          <cell r="D797">
            <v>-1</v>
          </cell>
          <cell r="E797" t="str">
            <v>OEI</v>
          </cell>
          <cell r="G797" t="str">
            <v>（七）其他</v>
          </cell>
          <cell r="I797" t="str">
            <v>8a96</v>
          </cell>
        </row>
        <row r="798">
          <cell r="B798" t="str">
            <v>8a99</v>
          </cell>
          <cell r="C798" t="str">
            <v>其他权益工具_本期期末余额</v>
          </cell>
          <cell r="E798" t="str">
            <v>OEI＝</v>
          </cell>
          <cell r="G798" t="str">
            <v>四、本期期末余额</v>
          </cell>
          <cell r="I798" t="str">
            <v>8a99</v>
          </cell>
        </row>
        <row r="799">
          <cell r="B799">
            <v>7400</v>
          </cell>
          <cell r="C799" t="str">
            <v>现金流量调整</v>
          </cell>
          <cell r="D799">
            <v>1</v>
          </cell>
          <cell r="G799" t="str">
            <v>现金流量调整</v>
          </cell>
          <cell r="I799">
            <v>7400</v>
          </cell>
        </row>
        <row r="800">
          <cell r="B800">
            <v>9325</v>
          </cell>
          <cell r="C800" t="str">
            <v>金融工具及风险管理</v>
          </cell>
          <cell r="I800">
            <v>9325</v>
          </cell>
        </row>
        <row r="801">
          <cell r="B801">
            <v>9690</v>
          </cell>
          <cell r="C801" t="str">
            <v>补充资料</v>
          </cell>
          <cell r="I801">
            <v>9690</v>
          </cell>
        </row>
        <row r="802">
          <cell r="B802">
            <v>1521.1523</v>
          </cell>
          <cell r="C802" t="str">
            <v>投资性房地产累计折旧</v>
          </cell>
          <cell r="D802">
            <v>-1</v>
          </cell>
          <cell r="I802">
            <v>1521.1523</v>
          </cell>
          <cell r="J802" t="str">
            <v>J</v>
          </cell>
        </row>
        <row r="803">
          <cell r="B803">
            <v>6829.5110000000004</v>
          </cell>
          <cell r="C803" t="str">
            <v>少数股东其他综合收益_重新计量设定受益计划变动额</v>
          </cell>
          <cell r="D803">
            <v>1</v>
          </cell>
          <cell r="E803" t="str">
            <v>※</v>
          </cell>
          <cell r="I803">
            <v>6829.5110000000004</v>
          </cell>
          <cell r="J803" t="str">
            <v>J</v>
          </cell>
        </row>
        <row r="804">
          <cell r="B804">
            <v>6829.5119999999997</v>
          </cell>
          <cell r="C804" t="str">
            <v>少数股东其他综合收益_权益法下不能转损益的其他综合收益</v>
          </cell>
          <cell r="D804">
            <v>1</v>
          </cell>
          <cell r="E804" t="str">
            <v>※</v>
          </cell>
          <cell r="I804">
            <v>6829.5119999999997</v>
          </cell>
          <cell r="J804" t="str">
            <v>J</v>
          </cell>
        </row>
        <row r="805">
          <cell r="B805">
            <v>6829.5190000000002</v>
          </cell>
          <cell r="C805" t="str">
            <v>少数股东其他综合收益_其他以后不能重分类进损益的其他综合收益</v>
          </cell>
          <cell r="D805">
            <v>1</v>
          </cell>
          <cell r="E805" t="str">
            <v>※</v>
          </cell>
          <cell r="I805">
            <v>6829.5190000000002</v>
          </cell>
          <cell r="J805" t="str">
            <v>J</v>
          </cell>
        </row>
        <row r="806">
          <cell r="B806">
            <v>6829.5309999999999</v>
          </cell>
          <cell r="C806" t="str">
            <v>少数股东其他综合收益_权益法下可转损益的其他综合收益</v>
          </cell>
          <cell r="D806">
            <v>1</v>
          </cell>
          <cell r="E806" t="str">
            <v>※</v>
          </cell>
          <cell r="I806">
            <v>6829.5309999999999</v>
          </cell>
          <cell r="J806" t="str">
            <v>J</v>
          </cell>
        </row>
        <row r="807">
          <cell r="B807">
            <v>6829.5320000000002</v>
          </cell>
          <cell r="C807" t="str">
            <v>少数股东其他综合收益_可供出售金融资产公允价值变动损益</v>
          </cell>
          <cell r="D807">
            <v>1</v>
          </cell>
          <cell r="E807" t="str">
            <v>※</v>
          </cell>
          <cell r="I807">
            <v>6829.5320000000002</v>
          </cell>
          <cell r="J807" t="str">
            <v>J</v>
          </cell>
        </row>
        <row r="808">
          <cell r="B808">
            <v>6829.5330000000004</v>
          </cell>
          <cell r="C808" t="str">
            <v>少数股东其他综合收益_持有至到期投资重分类为可供出售金融资产损益</v>
          </cell>
          <cell r="D808">
            <v>1</v>
          </cell>
          <cell r="E808" t="str">
            <v>※</v>
          </cell>
          <cell r="I808">
            <v>6829.5330000000004</v>
          </cell>
          <cell r="J808" t="str">
            <v>J</v>
          </cell>
        </row>
        <row r="809">
          <cell r="B809">
            <v>6829.5339999999997</v>
          </cell>
          <cell r="C809" t="str">
            <v>少数股东其他综合收益_现金流量套期损益的有效部分</v>
          </cell>
          <cell r="D809">
            <v>1</v>
          </cell>
          <cell r="E809" t="str">
            <v>※</v>
          </cell>
          <cell r="I809">
            <v>6829.5339999999997</v>
          </cell>
          <cell r="J809" t="str">
            <v>J</v>
          </cell>
        </row>
        <row r="810">
          <cell r="B810">
            <v>6829.5349999999999</v>
          </cell>
          <cell r="C810" t="str">
            <v>少数股东其他综合收益_外币财务报表折算差额</v>
          </cell>
          <cell r="D810">
            <v>1</v>
          </cell>
          <cell r="E810" t="str">
            <v>※</v>
          </cell>
          <cell r="I810">
            <v>6829.5349999999999</v>
          </cell>
          <cell r="J810" t="str">
            <v>J</v>
          </cell>
        </row>
        <row r="811">
          <cell r="B811">
            <v>6829.5360000000001</v>
          </cell>
          <cell r="C811" t="str">
            <v>少数股东其他综合收益_自用房地产或作为存货的房地产转换为以公允价值计量的投资性房地产在转换日公允价值大于账面价值部分</v>
          </cell>
          <cell r="D811">
            <v>1</v>
          </cell>
          <cell r="E811" t="str">
            <v>※</v>
          </cell>
          <cell r="I811">
            <v>6829.5360000000001</v>
          </cell>
          <cell r="J811" t="str">
            <v>J</v>
          </cell>
        </row>
        <row r="812">
          <cell r="B812">
            <v>6829.5370000000003</v>
          </cell>
          <cell r="C812" t="str">
            <v>少数股东其他综合收益_多次交易分步处置子公司股权构成一揽子交易的丧失控制权之前各次交易处置价款与对应净资产账面价值份额的差额</v>
          </cell>
          <cell r="D812">
            <v>1</v>
          </cell>
          <cell r="E812" t="str">
            <v>※</v>
          </cell>
          <cell r="I812">
            <v>6829.5370000000003</v>
          </cell>
          <cell r="J812" t="str">
            <v>J</v>
          </cell>
        </row>
        <row r="813">
          <cell r="B813">
            <v>6829.5389999999998</v>
          </cell>
          <cell r="C813" t="str">
            <v>少数股东其他综合收益_其他以后将重分类进损益的其他综合收益</v>
          </cell>
          <cell r="D813">
            <v>1</v>
          </cell>
          <cell r="E813" t="str">
            <v>※</v>
          </cell>
          <cell r="I813">
            <v>6829.5389999999998</v>
          </cell>
          <cell r="J813" t="str">
            <v>J</v>
          </cell>
        </row>
        <row r="814">
          <cell r="B814">
            <v>6181</v>
          </cell>
          <cell r="C814" t="str">
            <v>其他收益</v>
          </cell>
          <cell r="D814">
            <v>-1</v>
          </cell>
          <cell r="F814">
            <v>6480</v>
          </cell>
          <cell r="G814" t="str">
            <v>加：其他收益</v>
          </cell>
          <cell r="H814" t="str">
            <v>加：其他收益</v>
          </cell>
          <cell r="I814">
            <v>6181</v>
          </cell>
          <cell r="J814" t="str">
            <v>J</v>
          </cell>
        </row>
        <row r="815">
          <cell r="B815">
            <v>6810</v>
          </cell>
          <cell r="C815" t="str">
            <v>归属所有者的净利润_X</v>
          </cell>
          <cell r="G815" t="str">
            <v>（一）归属所有者的净利润</v>
          </cell>
          <cell r="H815" t="str">
            <v>（一）归属所有者的净利润</v>
          </cell>
          <cell r="I815">
            <v>6810</v>
          </cell>
        </row>
        <row r="816">
          <cell r="B816">
            <v>6815</v>
          </cell>
          <cell r="C816" t="str">
            <v>来自持续经营和终止经营的净利润_X</v>
          </cell>
          <cell r="G816" t="str">
            <v>（二）来自持续经营和终止经营的净利润</v>
          </cell>
          <cell r="H816" t="str">
            <v>（二）来自持续经营和终止经营的净利润</v>
          </cell>
          <cell r="I816">
            <v>6815</v>
          </cell>
        </row>
        <row r="817">
          <cell r="B817">
            <v>6816</v>
          </cell>
          <cell r="C817" t="str">
            <v>持续经营净利润</v>
          </cell>
          <cell r="D817">
            <v>1</v>
          </cell>
          <cell r="G817" t="str">
            <v>（一）持续经营净利润（净亏损以“-”号填列）</v>
          </cell>
          <cell r="H817" t="str">
            <v>其中：持续经营净利润（净亏损以“-”号填列）</v>
          </cell>
          <cell r="I817">
            <v>6816</v>
          </cell>
        </row>
        <row r="818">
          <cell r="B818">
            <v>6817</v>
          </cell>
          <cell r="C818" t="str">
            <v>终止经营净利润</v>
          </cell>
          <cell r="D818">
            <v>1</v>
          </cell>
          <cell r="G818" t="str">
            <v>（二）终止经营净利润（净亏损以“-”号填列）</v>
          </cell>
          <cell r="H818" t="str">
            <v>终止经营净利润（净亏损以“-”号填列）</v>
          </cell>
          <cell r="I818">
            <v>6817</v>
          </cell>
        </row>
        <row r="819">
          <cell r="B819">
            <v>9371</v>
          </cell>
          <cell r="C819" t="str">
            <v>政府补助</v>
          </cell>
          <cell r="I819">
            <v>9371</v>
          </cell>
        </row>
        <row r="820">
          <cell r="B820">
            <v>6171</v>
          </cell>
          <cell r="C820" t="str">
            <v>资产处置收益</v>
          </cell>
          <cell r="D820">
            <v>-1</v>
          </cell>
          <cell r="F820">
            <v>6440</v>
          </cell>
          <cell r="G820" t="str">
            <v>资产处置收益(损失以“-”号填列）</v>
          </cell>
          <cell r="H820" t="str">
            <v>资产处置收益(损失以“-”号填列）</v>
          </cell>
          <cell r="I820">
            <v>6171</v>
          </cell>
          <cell r="J820" t="str">
            <v>J</v>
          </cell>
        </row>
        <row r="821">
          <cell r="B821">
            <v>6830</v>
          </cell>
          <cell r="C821" t="str">
            <v>净利润按所有权归属分类</v>
          </cell>
          <cell r="E821" t="str">
            <v>※</v>
          </cell>
          <cell r="H821" t="str">
            <v>（二）按所有权归属分类：</v>
          </cell>
          <cell r="I821">
            <v>6830</v>
          </cell>
        </row>
        <row r="822">
          <cell r="B822">
            <v>6835</v>
          </cell>
          <cell r="C822" t="str">
            <v>净利润按经营持续性分类</v>
          </cell>
          <cell r="E822" t="str">
            <v>※</v>
          </cell>
          <cell r="H822" t="str">
            <v>（一）按经营持续性分类：</v>
          </cell>
          <cell r="I822">
            <v>6835</v>
          </cell>
        </row>
        <row r="823">
          <cell r="B823">
            <v>1123</v>
          </cell>
          <cell r="C823" t="str">
            <v>应收票据及应收账款</v>
          </cell>
          <cell r="D823">
            <v>1</v>
          </cell>
          <cell r="G823" t="str">
            <v>应收票据及应收账款</v>
          </cell>
          <cell r="H823" t="str">
            <v>应收票据及应收账款</v>
          </cell>
          <cell r="I823">
            <v>1123</v>
          </cell>
          <cell r="J823" t="str">
            <v>J</v>
          </cell>
        </row>
        <row r="824">
          <cell r="B824">
            <v>2203</v>
          </cell>
          <cell r="C824" t="str">
            <v>应付票据及应付账款</v>
          </cell>
          <cell r="D824">
            <v>-1</v>
          </cell>
          <cell r="G824" t="str">
            <v>应付票据及应付账款</v>
          </cell>
          <cell r="H824" t="str">
            <v>应付票据及应付账款</v>
          </cell>
          <cell r="I824">
            <v>2203</v>
          </cell>
          <cell r="J824" t="str">
            <v>J</v>
          </cell>
        </row>
        <row r="825">
          <cell r="B825" t="str">
            <v>6603_01</v>
          </cell>
          <cell r="C825" t="str">
            <v>财务费用_利息费用</v>
          </cell>
          <cell r="D825">
            <v>1</v>
          </cell>
          <cell r="G825" t="str">
            <v>其中：利息费用</v>
          </cell>
          <cell r="H825" t="str">
            <v>其中：利息费用</v>
          </cell>
          <cell r="I825" t="str">
            <v>6603_01</v>
          </cell>
          <cell r="J825" t="str">
            <v>J</v>
          </cell>
        </row>
        <row r="826">
          <cell r="B826" t="str">
            <v>6603_06</v>
          </cell>
          <cell r="C826" t="str">
            <v>财务费用_利息收入</v>
          </cell>
          <cell r="D826">
            <v>-1</v>
          </cell>
          <cell r="G826" t="str">
            <v xml:space="preserve">      利息收入</v>
          </cell>
          <cell r="H826" t="str">
            <v xml:space="preserve">      利息收入</v>
          </cell>
          <cell r="I826" t="str">
            <v>6603_06</v>
          </cell>
          <cell r="J826" t="str">
            <v>J</v>
          </cell>
        </row>
        <row r="827">
          <cell r="B827">
            <v>6606</v>
          </cell>
          <cell r="C827" t="str">
            <v>研发费用</v>
          </cell>
          <cell r="D827">
            <v>1</v>
          </cell>
          <cell r="F827">
            <v>6370</v>
          </cell>
          <cell r="G827" t="str">
            <v>研发费用</v>
          </cell>
          <cell r="H827" t="str">
            <v>研发费用</v>
          </cell>
          <cell r="I827">
            <v>6606</v>
          </cell>
          <cell r="J827" t="str">
            <v>J</v>
          </cell>
        </row>
        <row r="828">
          <cell r="B828">
            <v>1220</v>
          </cell>
          <cell r="C828" t="str">
            <v>其他应收款（报表项目）</v>
          </cell>
          <cell r="D828">
            <v>1</v>
          </cell>
          <cell r="G828" t="str">
            <v>其他应收款</v>
          </cell>
          <cell r="H828" t="str">
            <v>其他应收款</v>
          </cell>
          <cell r="I828">
            <v>1220</v>
          </cell>
        </row>
        <row r="829">
          <cell r="B829">
            <v>1611</v>
          </cell>
          <cell r="C829" t="str">
            <v>固定资产（报表项目）</v>
          </cell>
          <cell r="D829">
            <v>1</v>
          </cell>
          <cell r="G829" t="str">
            <v>固定资产</v>
          </cell>
          <cell r="H829" t="str">
            <v>固定资产</v>
          </cell>
          <cell r="I829">
            <v>1611</v>
          </cell>
        </row>
        <row r="830">
          <cell r="B830">
            <v>1616</v>
          </cell>
          <cell r="C830" t="str">
            <v>在建工程（报表项目）</v>
          </cell>
          <cell r="D830">
            <v>1</v>
          </cell>
          <cell r="G830" t="str">
            <v>在建工程</v>
          </cell>
          <cell r="H830" t="str">
            <v>在建工程</v>
          </cell>
          <cell r="I830">
            <v>1616</v>
          </cell>
        </row>
        <row r="831">
          <cell r="B831">
            <v>2246</v>
          </cell>
          <cell r="C831" t="str">
            <v>其他应付款（报表项目）</v>
          </cell>
          <cell r="D831">
            <v>-1</v>
          </cell>
          <cell r="G831" t="str">
            <v>其他应付款</v>
          </cell>
          <cell r="H831" t="str">
            <v>其他应付款</v>
          </cell>
          <cell r="I831">
            <v>2246</v>
          </cell>
        </row>
        <row r="832">
          <cell r="B832">
            <v>2706</v>
          </cell>
          <cell r="C832" t="str">
            <v>长期应付款（报表项目）</v>
          </cell>
          <cell r="D832">
            <v>-1</v>
          </cell>
          <cell r="G832" t="str">
            <v>长期应付款</v>
          </cell>
          <cell r="H832" t="str">
            <v>长期应付款</v>
          </cell>
          <cell r="I832">
            <v>2706</v>
          </cell>
        </row>
      </sheetData>
      <sheetData sheetId="1">
        <row r="5">
          <cell r="F5">
            <v>43281</v>
          </cell>
        </row>
        <row r="6">
          <cell r="F6">
            <v>43100</v>
          </cell>
        </row>
        <row r="7">
          <cell r="F7" t="str">
            <v>2018年1－6月</v>
          </cell>
        </row>
        <row r="8">
          <cell r="F8" t="str">
            <v>2017年度</v>
          </cell>
        </row>
      </sheetData>
      <sheetData sheetId="2"/>
      <sheetData sheetId="3">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G9">
            <v>0</v>
          </cell>
          <cell r="H9">
            <v>2000</v>
          </cell>
          <cell r="I9" t="str">
            <v>流动负债：</v>
          </cell>
          <cell r="L9">
            <v>0</v>
          </cell>
        </row>
        <row r="10">
          <cell r="C10">
            <v>1015</v>
          </cell>
          <cell r="D10" t="str">
            <v>货币资金</v>
          </cell>
          <cell r="E10" t="str">
            <v>谢</v>
          </cell>
          <cell r="F10">
            <v>65563844.149999999</v>
          </cell>
          <cell r="G10">
            <v>191177877.88</v>
          </cell>
          <cell r="H10">
            <v>2001</v>
          </cell>
          <cell r="I10" t="str">
            <v>短期借款</v>
          </cell>
          <cell r="J10" t="str">
            <v>谢</v>
          </cell>
          <cell r="K10">
            <v>91658421.109999999</v>
          </cell>
          <cell r="L10">
            <v>71738421.109999999</v>
          </cell>
        </row>
        <row r="11">
          <cell r="C11">
            <v>1021</v>
          </cell>
          <cell r="D11" t="str">
            <v>结算备付金</v>
          </cell>
          <cell r="G11">
            <v>0</v>
          </cell>
          <cell r="H11">
            <v>2004</v>
          </cell>
          <cell r="I11" t="str">
            <v>向中央银行借款</v>
          </cell>
          <cell r="L11">
            <v>0</v>
          </cell>
        </row>
        <row r="12">
          <cell r="C12">
            <v>1302</v>
          </cell>
          <cell r="D12" t="str">
            <v>拆出资金</v>
          </cell>
          <cell r="G12">
            <v>0</v>
          </cell>
          <cell r="H12">
            <v>2010</v>
          </cell>
          <cell r="I12" t="str">
            <v>吸收存款及同业存放</v>
          </cell>
          <cell r="L12">
            <v>0</v>
          </cell>
        </row>
        <row r="13">
          <cell r="D13">
            <v>0</v>
          </cell>
          <cell r="G13">
            <v>0</v>
          </cell>
          <cell r="H13">
            <v>2003</v>
          </cell>
          <cell r="I13" t="str">
            <v>拆入资金</v>
          </cell>
          <cell r="L13">
            <v>0</v>
          </cell>
        </row>
        <row r="14">
          <cell r="C14">
            <v>1101</v>
          </cell>
          <cell r="D14" t="str">
            <v>以公允价值计量且其变动计入当期损益的金融资产</v>
          </cell>
          <cell r="G14">
            <v>0</v>
          </cell>
          <cell r="H14">
            <v>2101</v>
          </cell>
          <cell r="I14" t="str">
            <v>以公允价值计量且其变动计入当期损益的金融负债</v>
          </cell>
          <cell r="L14">
            <v>0</v>
          </cell>
        </row>
        <row r="15">
          <cell r="C15">
            <v>1115</v>
          </cell>
          <cell r="D15" t="str">
            <v>衍生金融资产</v>
          </cell>
          <cell r="G15">
            <v>0</v>
          </cell>
          <cell r="H15">
            <v>2115</v>
          </cell>
          <cell r="I15" t="str">
            <v>衍生金融负债</v>
          </cell>
          <cell r="L15">
            <v>0</v>
          </cell>
        </row>
        <row r="16">
          <cell r="C16">
            <v>1123</v>
          </cell>
          <cell r="D16" t="str">
            <v>应收票据及应收账款</v>
          </cell>
          <cell r="F16">
            <v>376132839.94999999</v>
          </cell>
          <cell r="G16">
            <v>268944981.23000002</v>
          </cell>
          <cell r="H16">
            <v>2203</v>
          </cell>
          <cell r="I16" t="str">
            <v>应付票据及应付账款</v>
          </cell>
          <cell r="K16">
            <v>146010326.41</v>
          </cell>
          <cell r="L16">
            <v>135508675.34</v>
          </cell>
        </row>
        <row r="17">
          <cell r="C17">
            <v>1121</v>
          </cell>
          <cell r="D17" t="str">
            <v>其中：应收票据</v>
          </cell>
          <cell r="E17" t="str">
            <v>谢</v>
          </cell>
          <cell r="F17">
            <v>5091373.3600000003</v>
          </cell>
          <cell r="G17">
            <v>1856316</v>
          </cell>
          <cell r="H17">
            <v>2201</v>
          </cell>
          <cell r="I17" t="str">
            <v>其中：应付票据</v>
          </cell>
          <cell r="J17" t="str">
            <v>谢</v>
          </cell>
          <cell r="K17">
            <v>85000</v>
          </cell>
          <cell r="L17">
            <v>31100503.649999999</v>
          </cell>
        </row>
        <row r="18">
          <cell r="C18">
            <v>1122</v>
          </cell>
          <cell r="D18" t="str">
            <v>其中：应收账款</v>
          </cell>
          <cell r="E18" t="str">
            <v>周</v>
          </cell>
          <cell r="F18">
            <v>371041466.58999997</v>
          </cell>
          <cell r="G18">
            <v>267088665.22999999</v>
          </cell>
          <cell r="H18">
            <v>2202</v>
          </cell>
          <cell r="I18" t="str">
            <v>其中：应付账款</v>
          </cell>
          <cell r="J18" t="str">
            <v>刘</v>
          </cell>
          <cell r="K18">
            <v>145925326.41</v>
          </cell>
          <cell r="L18">
            <v>104408171.69</v>
          </cell>
        </row>
        <row r="19">
          <cell r="C19">
            <v>1125</v>
          </cell>
          <cell r="D19" t="str">
            <v>预付款项</v>
          </cell>
          <cell r="E19" t="str">
            <v>刘</v>
          </cell>
          <cell r="F19">
            <v>120866718.23999999</v>
          </cell>
          <cell r="G19">
            <v>48283528.670000002</v>
          </cell>
          <cell r="H19">
            <v>2205</v>
          </cell>
          <cell r="I19" t="str">
            <v>预收款项</v>
          </cell>
          <cell r="J19" t="str">
            <v>周</v>
          </cell>
          <cell r="K19">
            <v>5525400.3200000003</v>
          </cell>
          <cell r="L19">
            <v>76412661.299999997</v>
          </cell>
        </row>
        <row r="20">
          <cell r="C20">
            <v>1127</v>
          </cell>
          <cell r="D20" t="str">
            <v>应收保费</v>
          </cell>
          <cell r="G20">
            <v>0</v>
          </cell>
          <cell r="H20">
            <v>2111</v>
          </cell>
          <cell r="I20" t="str">
            <v>卖出回购金融资产款</v>
          </cell>
          <cell r="L20">
            <v>0</v>
          </cell>
        </row>
        <row r="21">
          <cell r="C21">
            <v>1211</v>
          </cell>
          <cell r="D21" t="str">
            <v>应收分保账款</v>
          </cell>
          <cell r="G21">
            <v>0</v>
          </cell>
          <cell r="H21">
            <v>2240</v>
          </cell>
          <cell r="I21" t="str">
            <v>应付手续费及佣金</v>
          </cell>
          <cell r="L21">
            <v>0</v>
          </cell>
        </row>
        <row r="22">
          <cell r="C22">
            <v>1212</v>
          </cell>
          <cell r="D22" t="str">
            <v>应收分保准备金</v>
          </cell>
          <cell r="G22">
            <v>0</v>
          </cell>
          <cell r="I22">
            <v>0</v>
          </cell>
          <cell r="L22">
            <v>0</v>
          </cell>
        </row>
        <row r="23">
          <cell r="C23">
            <v>1220</v>
          </cell>
          <cell r="D23" t="str">
            <v>其他应收款（报表项目）</v>
          </cell>
          <cell r="F23">
            <v>80138276.890000001</v>
          </cell>
          <cell r="G23">
            <v>58404603.030000001</v>
          </cell>
          <cell r="H23">
            <v>2211</v>
          </cell>
          <cell r="I23" t="str">
            <v>应付职工薪酬</v>
          </cell>
          <cell r="J23" t="str">
            <v>陈</v>
          </cell>
          <cell r="K23">
            <v>3786648.75</v>
          </cell>
          <cell r="L23">
            <v>5812418.4900000002</v>
          </cell>
        </row>
        <row r="24">
          <cell r="C24">
            <v>1132</v>
          </cell>
          <cell r="D24" t="str">
            <v>其中：应收利息</v>
          </cell>
          <cell r="G24">
            <v>0</v>
          </cell>
          <cell r="H24">
            <v>2221</v>
          </cell>
          <cell r="I24" t="str">
            <v>应交税费</v>
          </cell>
          <cell r="J24" t="str">
            <v>陈</v>
          </cell>
          <cell r="K24">
            <v>10916151.369999999</v>
          </cell>
          <cell r="L24">
            <v>1058526.48</v>
          </cell>
        </row>
        <row r="25">
          <cell r="C25">
            <v>1131</v>
          </cell>
          <cell r="D25" t="str">
            <v>其中：应收股利</v>
          </cell>
          <cell r="G25">
            <v>0</v>
          </cell>
          <cell r="H25">
            <v>2246</v>
          </cell>
          <cell r="I25" t="str">
            <v>其他应付款（报表项目）</v>
          </cell>
          <cell r="K25">
            <v>2283060.54</v>
          </cell>
          <cell r="L25">
            <v>19856404.300000001</v>
          </cell>
        </row>
        <row r="26">
          <cell r="C26">
            <v>1221</v>
          </cell>
          <cell r="D26" t="str">
            <v>其中：其他应收款</v>
          </cell>
          <cell r="E26" t="str">
            <v>陈</v>
          </cell>
          <cell r="F26">
            <v>80138276.890000001</v>
          </cell>
          <cell r="G26">
            <v>58404603.030000001</v>
          </cell>
          <cell r="H26">
            <v>2231</v>
          </cell>
          <cell r="I26" t="str">
            <v>其中：应付利息</v>
          </cell>
          <cell r="J26" t="str">
            <v>谢</v>
          </cell>
          <cell r="K26">
            <v>1425000</v>
          </cell>
          <cell r="L26">
            <v>564620.09</v>
          </cell>
        </row>
        <row r="27">
          <cell r="C27">
            <v>1111</v>
          </cell>
          <cell r="D27" t="str">
            <v>买入返售金融资产</v>
          </cell>
          <cell r="G27">
            <v>0</v>
          </cell>
          <cell r="I27">
            <v>0</v>
          </cell>
          <cell r="L27">
            <v>0</v>
          </cell>
        </row>
        <row r="28">
          <cell r="C28">
            <v>1400</v>
          </cell>
          <cell r="D28" t="str">
            <v>存货</v>
          </cell>
          <cell r="E28" t="str">
            <v>刘</v>
          </cell>
          <cell r="F28">
            <v>165585947.87</v>
          </cell>
          <cell r="G28">
            <v>206066137.69</v>
          </cell>
          <cell r="H28">
            <v>2232</v>
          </cell>
          <cell r="I28" t="str">
            <v>其中：应付股利</v>
          </cell>
          <cell r="L28">
            <v>0</v>
          </cell>
        </row>
        <row r="29">
          <cell r="D29">
            <v>0</v>
          </cell>
          <cell r="G29">
            <v>0</v>
          </cell>
          <cell r="H29">
            <v>2241</v>
          </cell>
          <cell r="I29" t="str">
            <v>其中：其他应付款</v>
          </cell>
          <cell r="J29" t="str">
            <v>陈</v>
          </cell>
          <cell r="K29">
            <v>858060.54</v>
          </cell>
          <cell r="L29">
            <v>19291784.210000001</v>
          </cell>
        </row>
        <row r="30">
          <cell r="D30">
            <v>0</v>
          </cell>
          <cell r="G30">
            <v>0</v>
          </cell>
          <cell r="H30">
            <v>2261</v>
          </cell>
          <cell r="I30" t="str">
            <v>应付分保账款</v>
          </cell>
          <cell r="L30">
            <v>0</v>
          </cell>
        </row>
        <row r="31">
          <cell r="D31">
            <v>0</v>
          </cell>
          <cell r="G31">
            <v>0</v>
          </cell>
          <cell r="H31">
            <v>2310</v>
          </cell>
          <cell r="I31" t="str">
            <v>保险合同准备金</v>
          </cell>
          <cell r="L31">
            <v>0</v>
          </cell>
        </row>
        <row r="32">
          <cell r="D32">
            <v>0</v>
          </cell>
          <cell r="G32">
            <v>0</v>
          </cell>
          <cell r="H32">
            <v>2311</v>
          </cell>
          <cell r="I32" t="str">
            <v>代理买卖证券款</v>
          </cell>
          <cell r="L32">
            <v>0</v>
          </cell>
        </row>
        <row r="33">
          <cell r="D33">
            <v>0</v>
          </cell>
          <cell r="G33">
            <v>0</v>
          </cell>
          <cell r="H33">
            <v>2312</v>
          </cell>
          <cell r="I33" t="str">
            <v>代理承销证券款</v>
          </cell>
          <cell r="L33">
            <v>0</v>
          </cell>
        </row>
        <row r="34">
          <cell r="C34">
            <v>1315</v>
          </cell>
          <cell r="D34" t="str">
            <v>持有待售资产</v>
          </cell>
          <cell r="G34">
            <v>0</v>
          </cell>
          <cell r="H34">
            <v>2315</v>
          </cell>
          <cell r="I34" t="str">
            <v>持有待售负债</v>
          </cell>
          <cell r="L34">
            <v>0</v>
          </cell>
        </row>
        <row r="35">
          <cell r="C35">
            <v>1495</v>
          </cell>
          <cell r="D35" t="str">
            <v>一年内到期的非流动资产</v>
          </cell>
          <cell r="G35">
            <v>0</v>
          </cell>
          <cell r="H35">
            <v>2395</v>
          </cell>
          <cell r="I35" t="str">
            <v>一年内到期的非流动负债</v>
          </cell>
          <cell r="L35">
            <v>20000000</v>
          </cell>
        </row>
        <row r="36">
          <cell r="C36">
            <v>1496</v>
          </cell>
          <cell r="D36" t="str">
            <v>其他流动资产</v>
          </cell>
          <cell r="E36" t="str">
            <v>孙</v>
          </cell>
          <cell r="G36">
            <v>15415212.289999999</v>
          </cell>
          <cell r="H36">
            <v>2396</v>
          </cell>
          <cell r="I36" t="str">
            <v>其他流动负债</v>
          </cell>
          <cell r="L36">
            <v>0</v>
          </cell>
        </row>
        <row r="37">
          <cell r="C37">
            <v>1498</v>
          </cell>
          <cell r="D37" t="str">
            <v>流动资产合计</v>
          </cell>
          <cell r="F37">
            <v>808287627.10000002</v>
          </cell>
          <cell r="G37">
            <v>788292340.78999996</v>
          </cell>
          <cell r="H37">
            <v>2498</v>
          </cell>
          <cell r="I37" t="str">
            <v>流动负债合计</v>
          </cell>
          <cell r="K37">
            <v>260180008.5</v>
          </cell>
          <cell r="L37">
            <v>330387107.01999998</v>
          </cell>
        </row>
        <row r="38">
          <cell r="C38">
            <v>1500</v>
          </cell>
          <cell r="D38" t="str">
            <v>非流动资产：</v>
          </cell>
          <cell r="G38">
            <v>0</v>
          </cell>
          <cell r="H38">
            <v>2500</v>
          </cell>
          <cell r="I38" t="str">
            <v>非流动负债：</v>
          </cell>
          <cell r="L38">
            <v>0</v>
          </cell>
        </row>
        <row r="39">
          <cell r="C39">
            <v>1600</v>
          </cell>
          <cell r="D39" t="str">
            <v>发放贷款及垫款</v>
          </cell>
          <cell r="G39">
            <v>0</v>
          </cell>
          <cell r="I39">
            <v>0</v>
          </cell>
          <cell r="L39">
            <v>0</v>
          </cell>
        </row>
        <row r="40">
          <cell r="C40">
            <v>1503</v>
          </cell>
          <cell r="D40" t="str">
            <v>可供出售金融资产</v>
          </cell>
          <cell r="G40">
            <v>0</v>
          </cell>
          <cell r="H40">
            <v>2501</v>
          </cell>
          <cell r="I40" t="str">
            <v>长期借款</v>
          </cell>
          <cell r="L40">
            <v>0</v>
          </cell>
        </row>
        <row r="41">
          <cell r="C41">
            <v>1501</v>
          </cell>
          <cell r="D41" t="str">
            <v>持有至到期投资</v>
          </cell>
          <cell r="G41">
            <v>0</v>
          </cell>
          <cell r="I41">
            <v>0</v>
          </cell>
          <cell r="L41">
            <v>0</v>
          </cell>
        </row>
        <row r="42">
          <cell r="C42">
            <v>1531</v>
          </cell>
          <cell r="D42" t="str">
            <v>长期应收款</v>
          </cell>
          <cell r="G42">
            <v>0</v>
          </cell>
          <cell r="H42">
            <v>2502</v>
          </cell>
          <cell r="I42" t="str">
            <v>应付债券</v>
          </cell>
          <cell r="J42" t="str">
            <v>谢</v>
          </cell>
          <cell r="K42">
            <v>49420045.649999999</v>
          </cell>
          <cell r="L42">
            <v>29257436.73</v>
          </cell>
        </row>
        <row r="43">
          <cell r="C43">
            <v>1515</v>
          </cell>
          <cell r="D43" t="str">
            <v>设定受益计划净资产</v>
          </cell>
          <cell r="G43">
            <v>0</v>
          </cell>
          <cell r="H43">
            <v>2502.11</v>
          </cell>
          <cell r="I43" t="str">
            <v>其中：优先股</v>
          </cell>
          <cell r="L43">
            <v>0</v>
          </cell>
        </row>
        <row r="44">
          <cell r="D44">
            <v>0</v>
          </cell>
          <cell r="G44">
            <v>0</v>
          </cell>
          <cell r="H44">
            <v>2502.31</v>
          </cell>
          <cell r="I44" t="str">
            <v xml:space="preserve">      永续债</v>
          </cell>
          <cell r="L44">
            <v>0</v>
          </cell>
        </row>
        <row r="45">
          <cell r="C45">
            <v>1511</v>
          </cell>
          <cell r="D45" t="str">
            <v>长期股权投资</v>
          </cell>
          <cell r="E45" t="str">
            <v>孙</v>
          </cell>
          <cell r="F45">
            <v>61000000</v>
          </cell>
          <cell r="G45">
            <v>61000000</v>
          </cell>
          <cell r="H45">
            <v>2706</v>
          </cell>
          <cell r="I45" t="str">
            <v>长期应付款（报表项目）</v>
          </cell>
          <cell r="K45">
            <v>0</v>
          </cell>
          <cell r="L45">
            <v>0</v>
          </cell>
        </row>
        <row r="46">
          <cell r="C46">
            <v>1521</v>
          </cell>
          <cell r="D46" t="str">
            <v>投资性房地产</v>
          </cell>
          <cell r="G46">
            <v>0</v>
          </cell>
          <cell r="H46">
            <v>2701</v>
          </cell>
          <cell r="I46" t="str">
            <v>其中：长期应付款</v>
          </cell>
          <cell r="L46">
            <v>0</v>
          </cell>
        </row>
        <row r="47">
          <cell r="C47">
            <v>1611</v>
          </cell>
          <cell r="D47" t="str">
            <v>固定资产（报表项目）</v>
          </cell>
          <cell r="F47">
            <v>10069745.300000001</v>
          </cell>
          <cell r="G47">
            <v>11112899.470000001</v>
          </cell>
          <cell r="H47">
            <v>2711</v>
          </cell>
          <cell r="I47" t="str">
            <v>其中：专项应付款</v>
          </cell>
          <cell r="L47">
            <v>0</v>
          </cell>
        </row>
        <row r="48">
          <cell r="C48">
            <v>1601</v>
          </cell>
          <cell r="D48" t="str">
            <v>其中：固定资产</v>
          </cell>
          <cell r="E48" t="str">
            <v>孙</v>
          </cell>
          <cell r="F48">
            <v>10069745.300000001</v>
          </cell>
          <cell r="G48">
            <v>11112899.470000001</v>
          </cell>
          <cell r="H48">
            <v>2715</v>
          </cell>
          <cell r="I48" t="str">
            <v>长期应付职工薪酬</v>
          </cell>
          <cell r="L48">
            <v>0</v>
          </cell>
        </row>
        <row r="49">
          <cell r="C49">
            <v>1606</v>
          </cell>
          <cell r="D49" t="str">
            <v>其中：固定资产清理</v>
          </cell>
          <cell r="G49">
            <v>0</v>
          </cell>
          <cell r="H49">
            <v>2801</v>
          </cell>
          <cell r="I49" t="str">
            <v>预计负债</v>
          </cell>
          <cell r="J49" t="str">
            <v>刘</v>
          </cell>
          <cell r="K49">
            <v>4332969.62</v>
          </cell>
          <cell r="L49">
            <v>4832036.87</v>
          </cell>
        </row>
        <row r="50">
          <cell r="C50">
            <v>1616</v>
          </cell>
          <cell r="D50" t="str">
            <v>在建工程（报表项目）</v>
          </cell>
          <cell r="F50">
            <v>5328.2</v>
          </cell>
          <cell r="G50">
            <v>0</v>
          </cell>
          <cell r="H50">
            <v>2401</v>
          </cell>
          <cell r="I50" t="str">
            <v>递延收益</v>
          </cell>
          <cell r="L50">
            <v>0</v>
          </cell>
        </row>
        <row r="51">
          <cell r="C51">
            <v>1604</v>
          </cell>
          <cell r="D51" t="str">
            <v>其中：在建工程</v>
          </cell>
          <cell r="E51" t="str">
            <v>孙</v>
          </cell>
          <cell r="F51">
            <v>5328.2</v>
          </cell>
          <cell r="G51">
            <v>0</v>
          </cell>
          <cell r="H51">
            <v>2901</v>
          </cell>
          <cell r="I51" t="str">
            <v>递延所得税负债</v>
          </cell>
          <cell r="L51">
            <v>0</v>
          </cell>
        </row>
        <row r="52">
          <cell r="C52">
            <v>1605</v>
          </cell>
          <cell r="D52" t="str">
            <v>其中：工程物资</v>
          </cell>
          <cell r="G52">
            <v>0</v>
          </cell>
          <cell r="H52">
            <v>2996</v>
          </cell>
          <cell r="I52" t="str">
            <v>其他非流动负债</v>
          </cell>
          <cell r="L52">
            <v>0</v>
          </cell>
        </row>
        <row r="53">
          <cell r="C53">
            <v>1621</v>
          </cell>
          <cell r="D53" t="str">
            <v>生产性生物资产</v>
          </cell>
          <cell r="G53">
            <v>0</v>
          </cell>
          <cell r="H53">
            <v>2998</v>
          </cell>
          <cell r="I53" t="str">
            <v>非流动负债合计</v>
          </cell>
          <cell r="K53">
            <v>53753015.270000003</v>
          </cell>
          <cell r="L53">
            <v>34089473.600000001</v>
          </cell>
        </row>
        <row r="54">
          <cell r="C54">
            <v>1631</v>
          </cell>
          <cell r="D54" t="str">
            <v>油气资产</v>
          </cell>
          <cell r="G54">
            <v>0</v>
          </cell>
          <cell r="H54">
            <v>2999</v>
          </cell>
          <cell r="I54" t="str">
            <v>负债合计</v>
          </cell>
          <cell r="K54">
            <v>313933023.76999998</v>
          </cell>
          <cell r="L54">
            <v>364476580.62</v>
          </cell>
        </row>
        <row r="55">
          <cell r="C55">
            <v>1701</v>
          </cell>
          <cell r="D55" t="str">
            <v>无形资产</v>
          </cell>
          <cell r="E55" t="str">
            <v>孙</v>
          </cell>
          <cell r="F55">
            <v>29705209.870000001</v>
          </cell>
          <cell r="G55">
            <v>9479025.4399999995</v>
          </cell>
          <cell r="H55">
            <v>4000</v>
          </cell>
          <cell r="I55" t="str">
            <v>所有者权益(或股东权益)：</v>
          </cell>
          <cell r="L55">
            <v>0</v>
          </cell>
        </row>
        <row r="56">
          <cell r="C56">
            <v>1700</v>
          </cell>
          <cell r="D56" t="str">
            <v>开发支出</v>
          </cell>
          <cell r="E56" t="str">
            <v>孙</v>
          </cell>
          <cell r="F56">
            <v>846903.76</v>
          </cell>
          <cell r="G56">
            <v>0</v>
          </cell>
          <cell r="H56">
            <v>4001</v>
          </cell>
          <cell r="I56" t="str">
            <v>实收资本（或股本）</v>
          </cell>
          <cell r="J56" t="str">
            <v>孙</v>
          </cell>
          <cell r="K56">
            <v>389015152</v>
          </cell>
          <cell r="L56">
            <v>389015152</v>
          </cell>
        </row>
        <row r="57">
          <cell r="C57">
            <v>1711</v>
          </cell>
          <cell r="D57" t="str">
            <v>商誉</v>
          </cell>
          <cell r="G57">
            <v>0</v>
          </cell>
          <cell r="H57">
            <v>4015</v>
          </cell>
          <cell r="I57" t="str">
            <v>其他权益工具</v>
          </cell>
          <cell r="L57">
            <v>0</v>
          </cell>
        </row>
        <row r="58">
          <cell r="D58">
            <v>0</v>
          </cell>
          <cell r="G58">
            <v>0</v>
          </cell>
          <cell r="H58">
            <v>4015.11</v>
          </cell>
          <cell r="I58" t="str">
            <v>其中：优先股</v>
          </cell>
          <cell r="L58">
            <v>0</v>
          </cell>
        </row>
        <row r="59">
          <cell r="D59">
            <v>0</v>
          </cell>
          <cell r="G59">
            <v>0</v>
          </cell>
          <cell r="H59">
            <v>4015.31</v>
          </cell>
          <cell r="I59" t="str">
            <v xml:space="preserve">      永续债</v>
          </cell>
          <cell r="L59">
            <v>0</v>
          </cell>
        </row>
        <row r="60">
          <cell r="D60">
            <v>0</v>
          </cell>
          <cell r="G60">
            <v>0</v>
          </cell>
          <cell r="H60">
            <v>4002</v>
          </cell>
          <cell r="I60" t="str">
            <v>资本公积</v>
          </cell>
          <cell r="J60" t="str">
            <v>孙</v>
          </cell>
          <cell r="K60">
            <v>60861923.009999998</v>
          </cell>
          <cell r="L60">
            <v>60861923.009999998</v>
          </cell>
        </row>
        <row r="61">
          <cell r="C61">
            <v>1801</v>
          </cell>
          <cell r="D61" t="str">
            <v>长期待摊费用</v>
          </cell>
          <cell r="E61" t="str">
            <v>孙</v>
          </cell>
          <cell r="F61">
            <v>1266571.52</v>
          </cell>
          <cell r="G61">
            <v>915113.28</v>
          </cell>
          <cell r="H61">
            <v>4201</v>
          </cell>
          <cell r="I61" t="str">
            <v>减：库存股</v>
          </cell>
          <cell r="L61">
            <v>0</v>
          </cell>
        </row>
        <row r="62">
          <cell r="C62">
            <v>1811</v>
          </cell>
          <cell r="D62" t="str">
            <v>递延所得税资产</v>
          </cell>
          <cell r="E62" t="str">
            <v>陈</v>
          </cell>
          <cell r="F62">
            <v>10102226.199999999</v>
          </cell>
          <cell r="G62">
            <v>13459765.699999999</v>
          </cell>
          <cell r="H62">
            <v>4215</v>
          </cell>
          <cell r="I62" t="str">
            <v>其他综合收益</v>
          </cell>
          <cell r="L62">
            <v>0</v>
          </cell>
        </row>
        <row r="63">
          <cell r="C63">
            <v>1996</v>
          </cell>
          <cell r="D63" t="str">
            <v>其他非流动资产</v>
          </cell>
          <cell r="E63" t="str">
            <v>孙</v>
          </cell>
          <cell r="G63">
            <v>16562426.710000001</v>
          </cell>
          <cell r="H63">
            <v>4301</v>
          </cell>
          <cell r="I63" t="str">
            <v>专项储备</v>
          </cell>
          <cell r="J63" t="str">
            <v>孙</v>
          </cell>
          <cell r="K63">
            <v>7802112.5599999996</v>
          </cell>
          <cell r="L63">
            <v>7110471.5599999996</v>
          </cell>
        </row>
        <row r="64">
          <cell r="D64">
            <v>0</v>
          </cell>
          <cell r="G64">
            <v>0</v>
          </cell>
          <cell r="H64">
            <v>4101</v>
          </cell>
          <cell r="I64" t="str">
            <v>盈余公积</v>
          </cell>
          <cell r="J64" t="str">
            <v>孙</v>
          </cell>
          <cell r="K64">
            <v>16796197.280000001</v>
          </cell>
          <cell r="L64">
            <v>16344164.109999999</v>
          </cell>
        </row>
        <row r="65">
          <cell r="D65">
            <v>0</v>
          </cell>
          <cell r="G65">
            <v>0</v>
          </cell>
          <cell r="H65">
            <v>4102</v>
          </cell>
          <cell r="I65" t="str">
            <v>一般风险准备</v>
          </cell>
          <cell r="L65">
            <v>0</v>
          </cell>
        </row>
        <row r="66">
          <cell r="G66">
            <v>0</v>
          </cell>
          <cell r="H66">
            <v>4200</v>
          </cell>
          <cell r="I66" t="str">
            <v>未分配利润</v>
          </cell>
          <cell r="J66" t="str">
            <v>孙</v>
          </cell>
          <cell r="K66">
            <v>132875203.33</v>
          </cell>
          <cell r="L66">
            <v>63013280.090000004</v>
          </cell>
        </row>
        <row r="67">
          <cell r="G67">
            <v>0</v>
          </cell>
          <cell r="H67">
            <v>4298</v>
          </cell>
          <cell r="I67" t="str">
            <v>归属于母公司所有者权益合计</v>
          </cell>
          <cell r="K67">
            <v>607350588.17999995</v>
          </cell>
          <cell r="L67">
            <v>536344990.76999998</v>
          </cell>
        </row>
        <row r="68">
          <cell r="G68">
            <v>0</v>
          </cell>
          <cell r="H68">
            <v>4398</v>
          </cell>
          <cell r="I68" t="str">
            <v>少数股东权益</v>
          </cell>
          <cell r="L68">
            <v>0</v>
          </cell>
        </row>
        <row r="69">
          <cell r="C69">
            <v>1998</v>
          </cell>
          <cell r="D69" t="str">
            <v>非流动资产合计</v>
          </cell>
          <cell r="F69">
            <v>112995984.84999999</v>
          </cell>
          <cell r="G69">
            <v>112529230.59999999</v>
          </cell>
          <cell r="H69">
            <v>4999</v>
          </cell>
          <cell r="I69" t="str">
            <v>所有者权益（或股东权益）合计</v>
          </cell>
          <cell r="K69">
            <v>607350588.17999995</v>
          </cell>
          <cell r="L69">
            <v>536344990.76999998</v>
          </cell>
        </row>
        <row r="70">
          <cell r="C70">
            <v>1999</v>
          </cell>
          <cell r="D70" t="str">
            <v>资产总计</v>
          </cell>
          <cell r="F70">
            <v>921283611.95000005</v>
          </cell>
          <cell r="G70">
            <v>900821571.38999999</v>
          </cell>
          <cell r="H70">
            <v>5000</v>
          </cell>
          <cell r="I70" t="str">
            <v>负债和所有者权益（或股东权益）总计</v>
          </cell>
          <cell r="K70">
            <v>921283611.95000005</v>
          </cell>
          <cell r="L70">
            <v>900821571.38999999</v>
          </cell>
        </row>
        <row r="73">
          <cell r="C73" t="str">
            <v>ItemId3</v>
          </cell>
          <cell r="D73" t="str">
            <v>补充资料：资产减值准备</v>
          </cell>
          <cell r="F73" t="str">
            <v>期末余额</v>
          </cell>
          <cell r="G73" t="str">
            <v>年初余额</v>
          </cell>
        </row>
        <row r="74">
          <cell r="C74">
            <v>1122.1231</v>
          </cell>
          <cell r="D74" t="str">
            <v>应收账款坏账准备</v>
          </cell>
        </row>
        <row r="75">
          <cell r="C75">
            <v>1125.1231</v>
          </cell>
          <cell r="D75" t="str">
            <v>预付款项坏账准备</v>
          </cell>
        </row>
        <row r="76">
          <cell r="C76">
            <v>1221.1231</v>
          </cell>
          <cell r="D76" t="str">
            <v>其他应收款坏账准备</v>
          </cell>
        </row>
        <row r="77">
          <cell r="C77">
            <v>1400.1470999999999</v>
          </cell>
          <cell r="D77" t="str">
            <v>存货跌价准备</v>
          </cell>
        </row>
        <row r="78">
          <cell r="C78">
            <v>1503.1504</v>
          </cell>
          <cell r="D78" t="str">
            <v>可供出售金融资产减值准备</v>
          </cell>
        </row>
        <row r="79">
          <cell r="C79">
            <v>1501.1502</v>
          </cell>
          <cell r="D79" t="str">
            <v>持有至到期投资减值准备</v>
          </cell>
        </row>
        <row r="80">
          <cell r="C80">
            <v>1511.1512</v>
          </cell>
          <cell r="D80" t="str">
            <v>长期股权投资减值准备</v>
          </cell>
        </row>
        <row r="81">
          <cell r="C81">
            <v>1521.1522</v>
          </cell>
          <cell r="D81" t="str">
            <v>投资性房地产减值准备</v>
          </cell>
        </row>
        <row r="82">
          <cell r="C82">
            <v>1601.1603</v>
          </cell>
          <cell r="D82" t="str">
            <v>固定资产减值准备</v>
          </cell>
        </row>
        <row r="83">
          <cell r="C83">
            <v>1605.1608000000001</v>
          </cell>
          <cell r="D83" t="str">
            <v>工程物资减值准备</v>
          </cell>
        </row>
        <row r="84">
          <cell r="C84">
            <v>1604.1606999999999</v>
          </cell>
          <cell r="D84" t="str">
            <v>在建工程减值准备</v>
          </cell>
        </row>
        <row r="85">
          <cell r="C85">
            <v>1621.1623999999999</v>
          </cell>
          <cell r="D85" t="str">
            <v>生产性生物资产减值准备</v>
          </cell>
        </row>
        <row r="86">
          <cell r="C86">
            <v>1631.1632999999999</v>
          </cell>
          <cell r="D86" t="str">
            <v>油气资产减值准备</v>
          </cell>
        </row>
        <row r="87">
          <cell r="C87">
            <v>1701.1703</v>
          </cell>
          <cell r="D87" t="str">
            <v>无形资产减值准备</v>
          </cell>
        </row>
        <row r="88">
          <cell r="C88">
            <v>1711.1712</v>
          </cell>
          <cell r="D88" t="str">
            <v>商誉减值准备</v>
          </cell>
        </row>
        <row r="89">
          <cell r="C89">
            <v>1991.1992</v>
          </cell>
          <cell r="D89" t="str">
            <v>其他</v>
          </cell>
        </row>
        <row r="90">
          <cell r="C90">
            <v>1991</v>
          </cell>
          <cell r="D90" t="str">
            <v>资产减值准备小计</v>
          </cell>
          <cell r="F90">
            <v>0</v>
          </cell>
          <cell r="G90">
            <v>0</v>
          </cell>
        </row>
      </sheetData>
      <sheetData sheetId="4">
        <row r="8">
          <cell r="B8" t="str">
            <v>项目编号</v>
          </cell>
          <cell r="C8" t="str">
            <v>项       目</v>
          </cell>
          <cell r="D8" t="str">
            <v>附注</v>
          </cell>
          <cell r="E8" t="str">
            <v>本期金额</v>
          </cell>
          <cell r="F8" t="str">
            <v>上期金额</v>
          </cell>
        </row>
        <row r="9">
          <cell r="B9">
            <v>6098</v>
          </cell>
          <cell r="C9" t="str">
            <v>一、营业总收入</v>
          </cell>
          <cell r="E9">
            <v>248687243.24000001</v>
          </cell>
          <cell r="F9">
            <v>386244261.74000001</v>
          </cell>
        </row>
        <row r="10">
          <cell r="B10">
            <v>6001</v>
          </cell>
          <cell r="C10" t="str">
            <v>一、营业收入</v>
          </cell>
          <cell r="D10" t="str">
            <v>周</v>
          </cell>
          <cell r="E10">
            <v>248687243.24000001</v>
          </cell>
          <cell r="F10">
            <v>386244261.74000001</v>
          </cell>
        </row>
        <row r="11">
          <cell r="B11">
            <v>6011</v>
          </cell>
          <cell r="C11" t="str">
            <v>利息收入</v>
          </cell>
          <cell r="F11">
            <v>0</v>
          </cell>
        </row>
        <row r="12">
          <cell r="B12">
            <v>6030</v>
          </cell>
          <cell r="C12" t="str">
            <v>已赚保费</v>
          </cell>
          <cell r="F12">
            <v>0</v>
          </cell>
        </row>
        <row r="13">
          <cell r="B13">
            <v>6021</v>
          </cell>
          <cell r="C13" t="str">
            <v>手续费及佣金收入</v>
          </cell>
          <cell r="F13">
            <v>0</v>
          </cell>
        </row>
        <row r="14">
          <cell r="B14">
            <v>6598</v>
          </cell>
          <cell r="C14" t="str">
            <v>二、营业总成本</v>
          </cell>
          <cell r="E14">
            <v>231725623.22999999</v>
          </cell>
          <cell r="F14">
            <v>356669659.92000002</v>
          </cell>
        </row>
        <row r="15">
          <cell r="B15">
            <v>6401</v>
          </cell>
          <cell r="C15" t="str">
            <v>减：营业成本</v>
          </cell>
          <cell r="D15" t="str">
            <v>刘</v>
          </cell>
          <cell r="E15">
            <v>172710893.75</v>
          </cell>
          <cell r="F15">
            <v>235826397.56</v>
          </cell>
        </row>
        <row r="16">
          <cell r="B16">
            <v>6411</v>
          </cell>
          <cell r="C16" t="str">
            <v>利息支出</v>
          </cell>
          <cell r="F16">
            <v>0</v>
          </cell>
        </row>
        <row r="17">
          <cell r="B17">
            <v>6421</v>
          </cell>
          <cell r="C17" t="str">
            <v>手续费及佣金支出</v>
          </cell>
          <cell r="F17">
            <v>0</v>
          </cell>
        </row>
        <row r="18">
          <cell r="B18">
            <v>6531</v>
          </cell>
          <cell r="C18" t="str">
            <v>退保金</v>
          </cell>
          <cell r="F18">
            <v>0</v>
          </cell>
        </row>
        <row r="19">
          <cell r="B19">
            <v>6510</v>
          </cell>
          <cell r="C19" t="str">
            <v>赔付支出净额</v>
          </cell>
          <cell r="F19">
            <v>0</v>
          </cell>
        </row>
        <row r="20">
          <cell r="B20">
            <v>6505</v>
          </cell>
          <cell r="C20" t="str">
            <v>提取保险合同准备金净额</v>
          </cell>
          <cell r="F20">
            <v>0</v>
          </cell>
        </row>
        <row r="21">
          <cell r="B21">
            <v>6521</v>
          </cell>
          <cell r="C21" t="str">
            <v>保单红利支出</v>
          </cell>
          <cell r="F21">
            <v>0</v>
          </cell>
        </row>
        <row r="22">
          <cell r="B22">
            <v>6542</v>
          </cell>
          <cell r="C22" t="str">
            <v>分保费用</v>
          </cell>
          <cell r="F22">
            <v>0</v>
          </cell>
        </row>
        <row r="23">
          <cell r="B23">
            <v>6600</v>
          </cell>
          <cell r="C23" t="str">
            <v>税金及附加</v>
          </cell>
          <cell r="D23" t="str">
            <v>陈</v>
          </cell>
          <cell r="E23">
            <v>901832.11</v>
          </cell>
          <cell r="F23">
            <v>1411129.53</v>
          </cell>
        </row>
        <row r="24">
          <cell r="B24">
            <v>6601</v>
          </cell>
          <cell r="C24" t="str">
            <v>销售费用</v>
          </cell>
          <cell r="D24" t="str">
            <v>孙</v>
          </cell>
          <cell r="E24">
            <v>23305540.800000001</v>
          </cell>
          <cell r="F24">
            <v>54014782.759999998</v>
          </cell>
        </row>
        <row r="25">
          <cell r="B25">
            <v>6602</v>
          </cell>
          <cell r="C25" t="str">
            <v>管理费用</v>
          </cell>
          <cell r="D25" t="str">
            <v>孙</v>
          </cell>
          <cell r="E25">
            <v>26654964.879999999</v>
          </cell>
          <cell r="F25">
            <v>49386506.020000003</v>
          </cell>
        </row>
        <row r="26">
          <cell r="B26">
            <v>6606</v>
          </cell>
          <cell r="C26" t="str">
            <v>研发费用</v>
          </cell>
          <cell r="F26">
            <v>0</v>
          </cell>
        </row>
        <row r="27">
          <cell r="B27">
            <v>6603</v>
          </cell>
          <cell r="C27" t="str">
            <v>财务费用</v>
          </cell>
          <cell r="D27" t="str">
            <v>谢</v>
          </cell>
          <cell r="E27">
            <v>2216448.36</v>
          </cell>
          <cell r="F27">
            <v>4516354.78</v>
          </cell>
        </row>
        <row r="28">
          <cell r="B28" t="str">
            <v>6603_01</v>
          </cell>
          <cell r="C28" t="str">
            <v>其中：利息费用</v>
          </cell>
          <cell r="F28">
            <v>0</v>
          </cell>
        </row>
        <row r="29">
          <cell r="B29" t="str">
            <v>6603_06</v>
          </cell>
          <cell r="C29" t="str">
            <v xml:space="preserve">      利息收入</v>
          </cell>
          <cell r="F29">
            <v>0</v>
          </cell>
        </row>
        <row r="30">
          <cell r="B30">
            <v>6671</v>
          </cell>
          <cell r="C30" t="str">
            <v>资产减值损失</v>
          </cell>
          <cell r="D30" t="str">
            <v>周</v>
          </cell>
          <cell r="E30">
            <v>5935943.3300000001</v>
          </cell>
          <cell r="F30">
            <v>11514489.27</v>
          </cell>
        </row>
        <row r="31">
          <cell r="B31">
            <v>6181</v>
          </cell>
          <cell r="C31" t="str">
            <v>加：其他收益</v>
          </cell>
          <cell r="F31">
            <v>1212985.5900000001</v>
          </cell>
        </row>
        <row r="32">
          <cell r="B32">
            <v>6111</v>
          </cell>
          <cell r="C32" t="str">
            <v>投资收益（损失以“-”号填列）</v>
          </cell>
          <cell r="D32" t="str">
            <v>孙</v>
          </cell>
          <cell r="E32">
            <v>487100.02</v>
          </cell>
          <cell r="F32">
            <v>902178.35</v>
          </cell>
        </row>
        <row r="33">
          <cell r="B33">
            <v>6111.01</v>
          </cell>
          <cell r="C33" t="str">
            <v>其中：对联营企业和合营企业的投资收益</v>
          </cell>
          <cell r="F33">
            <v>0</v>
          </cell>
        </row>
        <row r="34">
          <cell r="B34">
            <v>6161</v>
          </cell>
          <cell r="C34" t="str">
            <v>汇兑收益（损失以“-”号填列）</v>
          </cell>
          <cell r="F34">
            <v>0</v>
          </cell>
        </row>
        <row r="35">
          <cell r="B35">
            <v>6101</v>
          </cell>
          <cell r="C35" t="str">
            <v>公允价值变动收益（损失以“-”号填列）</v>
          </cell>
          <cell r="F35">
            <v>0</v>
          </cell>
        </row>
        <row r="36">
          <cell r="B36">
            <v>6171</v>
          </cell>
          <cell r="C36" t="str">
            <v>资产处置收益(损失以“-”号填列）</v>
          </cell>
          <cell r="F36">
            <v>0</v>
          </cell>
        </row>
        <row r="37">
          <cell r="B37">
            <v>6689</v>
          </cell>
          <cell r="C37" t="str">
            <v>二、营业利润（亏损以“-”号填列）</v>
          </cell>
          <cell r="E37">
            <v>17448720.030000001</v>
          </cell>
          <cell r="F37">
            <v>31689765.760000002</v>
          </cell>
        </row>
        <row r="38">
          <cell r="B38">
            <v>6710</v>
          </cell>
          <cell r="C38" t="str">
            <v>加：营业外收入</v>
          </cell>
          <cell r="D38" t="str">
            <v>孙</v>
          </cell>
          <cell r="E38">
            <v>1264796.5900000001</v>
          </cell>
          <cell r="F38">
            <v>34333</v>
          </cell>
        </row>
        <row r="39">
          <cell r="B39">
            <v>6711</v>
          </cell>
          <cell r="C39" t="str">
            <v>减：营业外支出</v>
          </cell>
          <cell r="D39" t="str">
            <v>孙</v>
          </cell>
          <cell r="E39">
            <v>807203.65</v>
          </cell>
          <cell r="F39">
            <v>79133.009999999995</v>
          </cell>
        </row>
        <row r="40">
          <cell r="B40">
            <v>6788</v>
          </cell>
          <cell r="C40" t="str">
            <v>三、利润总额（亏损总额以“-”号填列）</v>
          </cell>
          <cell r="E40">
            <v>17906312.969999999</v>
          </cell>
          <cell r="F40">
            <v>31644965.75</v>
          </cell>
        </row>
        <row r="41">
          <cell r="B41">
            <v>6791</v>
          </cell>
          <cell r="C41" t="str">
            <v>减：所得税费用</v>
          </cell>
          <cell r="D41" t="str">
            <v>陈</v>
          </cell>
          <cell r="F41">
            <v>5947913.2699999996</v>
          </cell>
        </row>
        <row r="42">
          <cell r="B42">
            <v>6799</v>
          </cell>
          <cell r="C42" t="str">
            <v>四、净利润（净亏损以“-”号填列）</v>
          </cell>
          <cell r="E42">
            <v>17906312.969999999</v>
          </cell>
          <cell r="F42">
            <v>25697052.48</v>
          </cell>
        </row>
        <row r="43">
          <cell r="B43">
            <v>6835</v>
          </cell>
          <cell r="C43" t="str">
            <v>（一）按经营持续性分类：</v>
          </cell>
          <cell r="D43">
            <v>0</v>
          </cell>
          <cell r="E43">
            <v>0</v>
          </cell>
          <cell r="F43">
            <v>0</v>
          </cell>
        </row>
        <row r="44">
          <cell r="B44">
            <v>6816</v>
          </cell>
          <cell r="C44" t="str">
            <v>其中：持续经营净利润（净亏损以“-”号填列）</v>
          </cell>
          <cell r="D44">
            <v>0</v>
          </cell>
          <cell r="E44">
            <v>0</v>
          </cell>
          <cell r="F44">
            <v>0</v>
          </cell>
        </row>
        <row r="45">
          <cell r="B45">
            <v>6817</v>
          </cell>
          <cell r="C45" t="str">
            <v>终止经营净利润（净亏损以“-”号填列）</v>
          </cell>
          <cell r="D45">
            <v>0</v>
          </cell>
          <cell r="E45">
            <v>0</v>
          </cell>
          <cell r="F45">
            <v>0</v>
          </cell>
        </row>
        <row r="46">
          <cell r="B46">
            <v>6830</v>
          </cell>
          <cell r="C46" t="str">
            <v>（二）按所有权归属分类：</v>
          </cell>
          <cell r="D46">
            <v>0</v>
          </cell>
          <cell r="E46">
            <v>0</v>
          </cell>
          <cell r="F46">
            <v>0</v>
          </cell>
        </row>
        <row r="47">
          <cell r="B47">
            <v>6812</v>
          </cell>
          <cell r="C47" t="str">
            <v>其中：少数股东损益（净亏损以“-”号填列）</v>
          </cell>
          <cell r="F47">
            <v>0</v>
          </cell>
        </row>
        <row r="48">
          <cell r="B48">
            <v>6811</v>
          </cell>
          <cell r="C48" t="str">
            <v>归属于母公司股东的净利润（净亏损以“-”号填列）</v>
          </cell>
          <cell r="E48">
            <v>17906312.969999999</v>
          </cell>
          <cell r="F48">
            <v>25697052.48</v>
          </cell>
        </row>
        <row r="49">
          <cell r="B49">
            <v>6829</v>
          </cell>
          <cell r="C49" t="str">
            <v>五、其他综合收益的税后净额</v>
          </cell>
          <cell r="E49">
            <v>0</v>
          </cell>
          <cell r="F49">
            <v>0</v>
          </cell>
        </row>
        <row r="50">
          <cell r="B50">
            <v>6829.2</v>
          </cell>
          <cell r="C50" t="str">
            <v>归属于母公司股东的其他综合收益的税后净额</v>
          </cell>
          <cell r="E50">
            <v>0</v>
          </cell>
          <cell r="F50">
            <v>0</v>
          </cell>
        </row>
        <row r="51">
          <cell r="B51">
            <v>6829.21</v>
          </cell>
          <cell r="C51" t="str">
            <v>（一）不能重分类进损益的其他综合收益</v>
          </cell>
          <cell r="E51">
            <v>0</v>
          </cell>
          <cell r="F51">
            <v>0</v>
          </cell>
        </row>
        <row r="52">
          <cell r="B52">
            <v>6829.2110000000002</v>
          </cell>
          <cell r="C52" t="str">
            <v>1、重新计量设定受益计划变动额</v>
          </cell>
          <cell r="F52">
            <v>0</v>
          </cell>
        </row>
        <row r="53">
          <cell r="B53">
            <v>6829.2120000000004</v>
          </cell>
          <cell r="C53" t="str">
            <v>2、权益法下不能转损益的其他综合收益</v>
          </cell>
          <cell r="F53">
            <v>0</v>
          </cell>
        </row>
        <row r="54">
          <cell r="B54">
            <v>6829.2190000000001</v>
          </cell>
          <cell r="C54" t="str">
            <v>3、其他</v>
          </cell>
          <cell r="F54">
            <v>0</v>
          </cell>
        </row>
        <row r="55">
          <cell r="B55">
            <v>6829.23</v>
          </cell>
          <cell r="C55" t="str">
            <v>（二）将重分类进损益的其他综合收益</v>
          </cell>
          <cell r="E55">
            <v>0</v>
          </cell>
          <cell r="F55">
            <v>0</v>
          </cell>
        </row>
        <row r="56">
          <cell r="B56">
            <v>6829.2309999999998</v>
          </cell>
          <cell r="C56" t="str">
            <v>1、权益法下可转损益的其他综合收益</v>
          </cell>
          <cell r="F56">
            <v>0</v>
          </cell>
        </row>
        <row r="57">
          <cell r="B57">
            <v>6829.232</v>
          </cell>
          <cell r="C57" t="str">
            <v>2、可供出售金融资产公允价值变动损益</v>
          </cell>
          <cell r="F57">
            <v>0</v>
          </cell>
        </row>
        <row r="58">
          <cell r="B58">
            <v>6829.2330000000002</v>
          </cell>
          <cell r="C58" t="str">
            <v>3、持有至到期投资重分类为可供出售金融资产损益</v>
          </cell>
          <cell r="F58">
            <v>0</v>
          </cell>
        </row>
        <row r="59">
          <cell r="B59">
            <v>6829.2340000000004</v>
          </cell>
          <cell r="C59" t="str">
            <v>4、现金流量套期损益的有效部分</v>
          </cell>
          <cell r="F59">
            <v>0</v>
          </cell>
        </row>
        <row r="60">
          <cell r="B60">
            <v>6829.2349999999997</v>
          </cell>
          <cell r="C60" t="str">
            <v>5、外币财务报表折算差额</v>
          </cell>
          <cell r="F60">
            <v>0</v>
          </cell>
        </row>
        <row r="61">
          <cell r="B61">
            <v>6829.2359999999999</v>
          </cell>
          <cell r="C61" t="str">
            <v>6、自用房地产或作为存货的房地产转换为以公允价值计量的投资性房地产在转换日公允价值大于账面价值部分</v>
          </cell>
          <cell r="F61">
            <v>0</v>
          </cell>
        </row>
        <row r="62">
          <cell r="B62">
            <v>6829.2370000000001</v>
          </cell>
          <cell r="C62" t="str">
            <v>7、多次交易分步处置子公司股权构成一揽子交易的，丧失控制权之前各次交易处置价款与对应净资产账面价值份额的差额</v>
          </cell>
          <cell r="F62">
            <v>0</v>
          </cell>
        </row>
        <row r="63">
          <cell r="B63">
            <v>6829.2389999999996</v>
          </cell>
          <cell r="C63" t="str">
            <v>8、其他</v>
          </cell>
          <cell r="F63">
            <v>0</v>
          </cell>
        </row>
        <row r="64">
          <cell r="B64">
            <v>6829.5</v>
          </cell>
          <cell r="C64" t="str">
            <v>归属于少数股东的其他综合收益的税后净额</v>
          </cell>
          <cell r="F64">
            <v>0</v>
          </cell>
        </row>
        <row r="65">
          <cell r="B65">
            <v>6839</v>
          </cell>
          <cell r="C65" t="str">
            <v>六、综合收益总额</v>
          </cell>
          <cell r="E65">
            <v>17906312.969999999</v>
          </cell>
          <cell r="F65">
            <v>25697052.48</v>
          </cell>
        </row>
        <row r="66">
          <cell r="B66">
            <v>6841</v>
          </cell>
          <cell r="C66" t="str">
            <v>归属于母公司股东的综合收益总额</v>
          </cell>
          <cell r="E66">
            <v>17906312.969999999</v>
          </cell>
          <cell r="F66">
            <v>25697052.48</v>
          </cell>
        </row>
        <row r="67">
          <cell r="B67">
            <v>6842</v>
          </cell>
          <cell r="C67" t="str">
            <v>归属于少数股东的综合收益总额</v>
          </cell>
          <cell r="E67">
            <v>0</v>
          </cell>
          <cell r="F67">
            <v>0</v>
          </cell>
        </row>
        <row r="68">
          <cell r="B68">
            <v>6820</v>
          </cell>
          <cell r="C68" t="str">
            <v>七、每股收益：</v>
          </cell>
          <cell r="F68">
            <v>0</v>
          </cell>
        </row>
        <row r="69">
          <cell r="B69">
            <v>6821</v>
          </cell>
          <cell r="C69" t="str">
            <v>（一）基本每股收益</v>
          </cell>
          <cell r="F69">
            <v>0</v>
          </cell>
        </row>
        <row r="70">
          <cell r="B70">
            <v>6822</v>
          </cell>
          <cell r="C70" t="str">
            <v>（二）稀释每股收益</v>
          </cell>
          <cell r="F70">
            <v>0</v>
          </cell>
        </row>
      </sheetData>
      <sheetData sheetId="5">
        <row r="2">
          <cell r="D2" t="str">
            <v>81</v>
          </cell>
          <cell r="E2" t="str">
            <v>8b</v>
          </cell>
          <cell r="F2" t="str">
            <v>8c</v>
          </cell>
          <cell r="G2" t="str">
            <v>8d</v>
          </cell>
          <cell r="H2" t="str">
            <v>82</v>
          </cell>
          <cell r="I2" t="str">
            <v>83</v>
          </cell>
          <cell r="J2" t="str">
            <v>8g</v>
          </cell>
          <cell r="K2" t="str">
            <v>84</v>
          </cell>
          <cell r="L2" t="str">
            <v>85</v>
          </cell>
          <cell r="M2" t="str">
            <v>86</v>
          </cell>
          <cell r="N2" t="str">
            <v>87</v>
          </cell>
          <cell r="O2" t="str">
            <v>88</v>
          </cell>
          <cell r="P2" t="str">
            <v>89</v>
          </cell>
          <cell r="Q2" t="str">
            <v>80</v>
          </cell>
          <cell r="R2">
            <v>81</v>
          </cell>
          <cell r="S2" t="str">
            <v>8b</v>
          </cell>
          <cell r="T2" t="str">
            <v>8c</v>
          </cell>
          <cell r="U2" t="str">
            <v>8d</v>
          </cell>
          <cell r="V2">
            <v>82</v>
          </cell>
          <cell r="W2">
            <v>83</v>
          </cell>
          <cell r="X2" t="str">
            <v>8g</v>
          </cell>
          <cell r="Y2">
            <v>84</v>
          </cell>
          <cell r="Z2">
            <v>85</v>
          </cell>
          <cell r="AA2">
            <v>86</v>
          </cell>
          <cell r="AB2">
            <v>87</v>
          </cell>
          <cell r="AC2">
            <v>88</v>
          </cell>
          <cell r="AD2">
            <v>89</v>
          </cell>
          <cell r="AE2">
            <v>80</v>
          </cell>
        </row>
        <row r="3">
          <cell r="B3" t="str">
            <v>00</v>
          </cell>
          <cell r="C3" t="str">
            <v>所有者权益变动表</v>
          </cell>
        </row>
        <row r="4">
          <cell r="C4" t="str">
            <v>2018年1－6月</v>
          </cell>
          <cell r="AE4" t="str">
            <v>会企04表</v>
          </cell>
        </row>
        <row r="5">
          <cell r="C5" t="str">
            <v>编制单位：海湾环境科技（北京）股份有限公司</v>
          </cell>
          <cell r="AA5" t="str">
            <v>单位：元   币种：人民币</v>
          </cell>
        </row>
        <row r="6">
          <cell r="D6" t="str">
            <v>本期金额</v>
          </cell>
          <cell r="R6" t="str">
            <v>上年同期金额</v>
          </cell>
        </row>
        <row r="7">
          <cell r="D7" t="str">
            <v>归属于母公司所有者权益</v>
          </cell>
          <cell r="R7" t="str">
            <v>归属于母公司所有者权益</v>
          </cell>
        </row>
        <row r="8">
          <cell r="B8" t="str">
            <v>ItemId1</v>
          </cell>
          <cell r="C8" t="str">
            <v>项       目</v>
          </cell>
          <cell r="D8" t="str">
            <v>实收资本</v>
          </cell>
          <cell r="E8" t="str">
            <v>其他权益工具（优先股）</v>
          </cell>
          <cell r="F8" t="str">
            <v>其他权益工具（永续债）</v>
          </cell>
          <cell r="G8" t="str">
            <v>其他权益工具（其他）</v>
          </cell>
          <cell r="H8" t="str">
            <v>资本公积</v>
          </cell>
          <cell r="I8" t="str">
            <v>减：库存股</v>
          </cell>
          <cell r="J8" t="str">
            <v>其他综合收益</v>
          </cell>
          <cell r="K8" t="str">
            <v>专项储备</v>
          </cell>
          <cell r="L8" t="str">
            <v>盈余公积</v>
          </cell>
          <cell r="M8" t="str">
            <v xml:space="preserve">一般风险准备 </v>
          </cell>
          <cell r="N8" t="str">
            <v>未分配利润</v>
          </cell>
          <cell r="O8" t="str">
            <v>其他</v>
          </cell>
          <cell r="P8" t="str">
            <v>少数股东权益</v>
          </cell>
          <cell r="Q8" t="str">
            <v>所有者权益合计</v>
          </cell>
          <cell r="R8" t="str">
            <v>实收资本</v>
          </cell>
          <cell r="S8" t="str">
            <v>其他权益工具（优先股）</v>
          </cell>
          <cell r="T8" t="str">
            <v>其他权益工具（永续债）</v>
          </cell>
          <cell r="U8" t="str">
            <v>其他权益工具（其他）</v>
          </cell>
          <cell r="V8" t="str">
            <v>资本公积</v>
          </cell>
          <cell r="W8" t="str">
            <v>减：库存股</v>
          </cell>
          <cell r="X8" t="str">
            <v>其他综合收益</v>
          </cell>
          <cell r="Y8" t="str">
            <v>专项储备</v>
          </cell>
          <cell r="Z8" t="str">
            <v>盈余公积</v>
          </cell>
          <cell r="AA8" t="str">
            <v xml:space="preserve">一般风险准备 </v>
          </cell>
          <cell r="AB8" t="str">
            <v>未分配利润</v>
          </cell>
          <cell r="AC8" t="str">
            <v>其他</v>
          </cell>
          <cell r="AD8" t="str">
            <v>少数股东权益</v>
          </cell>
          <cell r="AE8" t="str">
            <v>所有者权益合计</v>
          </cell>
        </row>
        <row r="9">
          <cell r="B9" t="str">
            <v>01</v>
          </cell>
          <cell r="C9" t="str">
            <v>一、上年年末余额</v>
          </cell>
          <cell r="D9">
            <v>389015152</v>
          </cell>
          <cell r="H9">
            <v>61861923.009999998</v>
          </cell>
          <cell r="K9">
            <v>7301705.1699999999</v>
          </cell>
          <cell r="L9">
            <v>17597029.559999999</v>
          </cell>
          <cell r="N9">
            <v>137553756.93000001</v>
          </cell>
          <cell r="Q9">
            <v>613329566.66999996</v>
          </cell>
          <cell r="R9">
            <v>360000000</v>
          </cell>
          <cell r="S9">
            <v>0</v>
          </cell>
          <cell r="T9">
            <v>0</v>
          </cell>
          <cell r="U9">
            <v>0</v>
          </cell>
          <cell r="V9">
            <v>14277074.01</v>
          </cell>
          <cell r="W9">
            <v>0</v>
          </cell>
          <cell r="X9">
            <v>0</v>
          </cell>
          <cell r="Y9">
            <v>5551075.4500000002</v>
          </cell>
          <cell r="Z9">
            <v>13774458.859999999</v>
          </cell>
          <cell r="AA9">
            <v>0</v>
          </cell>
          <cell r="AB9">
            <v>39885932.859999999</v>
          </cell>
          <cell r="AC9">
            <v>0</v>
          </cell>
          <cell r="AD9">
            <v>0</v>
          </cell>
          <cell r="AE9">
            <v>433488541.18000001</v>
          </cell>
        </row>
        <row r="10">
          <cell r="B10" t="str">
            <v>02</v>
          </cell>
          <cell r="C10" t="str">
            <v>加：会计政策变更</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row>
        <row r="11">
          <cell r="B11" t="str">
            <v>03</v>
          </cell>
          <cell r="C11" t="str">
            <v>前期差错更正</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row>
        <row r="12">
          <cell r="B12" t="str">
            <v>04</v>
          </cell>
          <cell r="C12" t="str">
            <v>同一控制下企业合并</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row>
        <row r="13">
          <cell r="B13" t="str">
            <v>09</v>
          </cell>
          <cell r="C13" t="str">
            <v>其他</v>
          </cell>
          <cell r="H13">
            <v>-1000000</v>
          </cell>
          <cell r="K13">
            <v>-191233.61</v>
          </cell>
          <cell r="L13">
            <v>-800832.28</v>
          </cell>
          <cell r="N13">
            <v>-22584866.57</v>
          </cell>
          <cell r="Q13">
            <v>-24576932.460000001</v>
          </cell>
          <cell r="R13">
            <v>0</v>
          </cell>
          <cell r="S13">
            <v>0</v>
          </cell>
          <cell r="T13">
            <v>0</v>
          </cell>
          <cell r="U13">
            <v>0</v>
          </cell>
          <cell r="V13">
            <v>0</v>
          </cell>
          <cell r="W13">
            <v>0</v>
          </cell>
          <cell r="X13">
            <v>0</v>
          </cell>
          <cell r="Y13">
            <v>0</v>
          </cell>
          <cell r="Z13">
            <v>0</v>
          </cell>
          <cell r="AA13">
            <v>0</v>
          </cell>
          <cell r="AB13">
            <v>0</v>
          </cell>
          <cell r="AC13">
            <v>0</v>
          </cell>
          <cell r="AD13">
            <v>0</v>
          </cell>
          <cell r="AE13">
            <v>0</v>
          </cell>
        </row>
        <row r="14">
          <cell r="B14" t="str">
            <v>10</v>
          </cell>
          <cell r="C14" t="str">
            <v>二、本年年初余额</v>
          </cell>
          <cell r="D14">
            <v>389015152</v>
          </cell>
          <cell r="E14">
            <v>0</v>
          </cell>
          <cell r="F14">
            <v>0</v>
          </cell>
          <cell r="G14">
            <v>0</v>
          </cell>
          <cell r="H14">
            <v>60861923.009999998</v>
          </cell>
          <cell r="I14">
            <v>0</v>
          </cell>
          <cell r="J14">
            <v>0</v>
          </cell>
          <cell r="K14">
            <v>7110471.5599999996</v>
          </cell>
          <cell r="L14">
            <v>16796197.280000001</v>
          </cell>
          <cell r="M14">
            <v>0</v>
          </cell>
          <cell r="N14">
            <v>114968890.36</v>
          </cell>
          <cell r="O14">
            <v>0</v>
          </cell>
          <cell r="P14">
            <v>0</v>
          </cell>
          <cell r="Q14">
            <v>588752634.21000004</v>
          </cell>
          <cell r="R14">
            <v>360000000</v>
          </cell>
          <cell r="S14">
            <v>0</v>
          </cell>
          <cell r="T14">
            <v>0</v>
          </cell>
          <cell r="U14">
            <v>0</v>
          </cell>
          <cell r="V14">
            <v>14277074.01</v>
          </cell>
          <cell r="W14">
            <v>0</v>
          </cell>
          <cell r="X14">
            <v>0</v>
          </cell>
          <cell r="Y14">
            <v>5551075.4500000002</v>
          </cell>
          <cell r="Z14">
            <v>13774458.859999999</v>
          </cell>
          <cell r="AA14">
            <v>0</v>
          </cell>
          <cell r="AB14">
            <v>39885932.859999999</v>
          </cell>
          <cell r="AC14">
            <v>0</v>
          </cell>
          <cell r="AD14">
            <v>0</v>
          </cell>
          <cell r="AE14">
            <v>433488541.18000001</v>
          </cell>
        </row>
        <row r="15">
          <cell r="B15" t="str">
            <v>90</v>
          </cell>
          <cell r="C15" t="str">
            <v>三、本年增减变动金额（减少以“－”号填列）</v>
          </cell>
          <cell r="D15">
            <v>0</v>
          </cell>
          <cell r="E15">
            <v>0</v>
          </cell>
          <cell r="F15">
            <v>0</v>
          </cell>
          <cell r="G15">
            <v>0</v>
          </cell>
          <cell r="H15">
            <v>0</v>
          </cell>
          <cell r="I15">
            <v>0</v>
          </cell>
          <cell r="J15">
            <v>0</v>
          </cell>
          <cell r="K15">
            <v>691641</v>
          </cell>
          <cell r="L15">
            <v>0</v>
          </cell>
          <cell r="M15">
            <v>0</v>
          </cell>
          <cell r="N15">
            <v>17906312.969999999</v>
          </cell>
          <cell r="O15">
            <v>0</v>
          </cell>
          <cell r="P15">
            <v>0</v>
          </cell>
          <cell r="Q15">
            <v>18597953.969999999</v>
          </cell>
          <cell r="R15">
            <v>29015152</v>
          </cell>
          <cell r="S15">
            <v>0</v>
          </cell>
          <cell r="T15">
            <v>0</v>
          </cell>
          <cell r="U15">
            <v>0</v>
          </cell>
          <cell r="V15">
            <v>46584849</v>
          </cell>
          <cell r="W15">
            <v>0</v>
          </cell>
          <cell r="X15">
            <v>0</v>
          </cell>
          <cell r="Y15">
            <v>1559396.11</v>
          </cell>
          <cell r="Z15">
            <v>2569705.25</v>
          </cell>
          <cell r="AA15">
            <v>0</v>
          </cell>
          <cell r="AB15">
            <v>23127347.23</v>
          </cell>
          <cell r="AC15">
            <v>0</v>
          </cell>
          <cell r="AD15">
            <v>0</v>
          </cell>
          <cell r="AE15">
            <v>102856449.59</v>
          </cell>
        </row>
        <row r="16">
          <cell r="B16" t="str">
            <v>21</v>
          </cell>
          <cell r="C16" t="str">
            <v>（一）净利润</v>
          </cell>
          <cell r="N16">
            <v>17906312.969999999</v>
          </cell>
          <cell r="Q16">
            <v>17906312.969999999</v>
          </cell>
          <cell r="R16">
            <v>0</v>
          </cell>
          <cell r="S16">
            <v>0</v>
          </cell>
          <cell r="T16">
            <v>0</v>
          </cell>
          <cell r="U16">
            <v>0</v>
          </cell>
          <cell r="V16">
            <v>0</v>
          </cell>
          <cell r="W16">
            <v>0</v>
          </cell>
          <cell r="X16">
            <v>0</v>
          </cell>
          <cell r="Y16">
            <v>0</v>
          </cell>
          <cell r="Z16">
            <v>0</v>
          </cell>
          <cell r="AA16">
            <v>0</v>
          </cell>
          <cell r="AB16">
            <v>25697052.48</v>
          </cell>
          <cell r="AC16">
            <v>0</v>
          </cell>
          <cell r="AD16">
            <v>0</v>
          </cell>
          <cell r="AE16">
            <v>25697052.48</v>
          </cell>
        </row>
        <row r="17">
          <cell r="B17" t="str">
            <v>30</v>
          </cell>
          <cell r="C17" t="str">
            <v>（二）其他综合收益</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B18" t="str">
            <v>40</v>
          </cell>
          <cell r="C18" t="str">
            <v>（一）综合收益总额</v>
          </cell>
          <cell r="J18">
            <v>0</v>
          </cell>
          <cell r="N18">
            <v>17906312.969999999</v>
          </cell>
          <cell r="Q18">
            <v>17906312.969999999</v>
          </cell>
          <cell r="R18">
            <v>0</v>
          </cell>
          <cell r="S18">
            <v>0</v>
          </cell>
          <cell r="T18">
            <v>0</v>
          </cell>
          <cell r="U18">
            <v>0</v>
          </cell>
          <cell r="V18">
            <v>0</v>
          </cell>
          <cell r="W18">
            <v>0</v>
          </cell>
          <cell r="X18">
            <v>0</v>
          </cell>
          <cell r="Y18">
            <v>0</v>
          </cell>
          <cell r="Z18">
            <v>0</v>
          </cell>
          <cell r="AA18">
            <v>0</v>
          </cell>
          <cell r="AB18">
            <v>25697052.48</v>
          </cell>
          <cell r="AC18">
            <v>0</v>
          </cell>
          <cell r="AD18">
            <v>0</v>
          </cell>
          <cell r="AE18">
            <v>25697052.48</v>
          </cell>
        </row>
        <row r="19">
          <cell r="B19" t="str">
            <v>50</v>
          </cell>
          <cell r="C19" t="str">
            <v>（二）股东（或所有者）投入和减少资本</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29015152</v>
          </cell>
          <cell r="S19">
            <v>0</v>
          </cell>
          <cell r="T19">
            <v>0</v>
          </cell>
          <cell r="U19">
            <v>0</v>
          </cell>
          <cell r="V19">
            <v>46584849</v>
          </cell>
          <cell r="W19">
            <v>0</v>
          </cell>
          <cell r="X19">
            <v>0</v>
          </cell>
          <cell r="Y19">
            <v>0</v>
          </cell>
          <cell r="Z19">
            <v>0</v>
          </cell>
          <cell r="AA19">
            <v>0</v>
          </cell>
          <cell r="AB19">
            <v>0</v>
          </cell>
          <cell r="AC19">
            <v>0</v>
          </cell>
          <cell r="AD19">
            <v>0</v>
          </cell>
          <cell r="AE19">
            <v>75600001</v>
          </cell>
        </row>
        <row r="20">
          <cell r="B20" t="str">
            <v>51</v>
          </cell>
          <cell r="C20" t="str">
            <v>1．股东投入的普通股</v>
          </cell>
          <cell r="Q20">
            <v>0</v>
          </cell>
          <cell r="R20">
            <v>29015152</v>
          </cell>
          <cell r="S20">
            <v>0</v>
          </cell>
          <cell r="T20">
            <v>0</v>
          </cell>
          <cell r="U20">
            <v>0</v>
          </cell>
          <cell r="V20">
            <v>46584849</v>
          </cell>
          <cell r="W20">
            <v>0</v>
          </cell>
          <cell r="X20">
            <v>0</v>
          </cell>
          <cell r="Y20">
            <v>0</v>
          </cell>
          <cell r="Z20">
            <v>0</v>
          </cell>
          <cell r="AA20">
            <v>0</v>
          </cell>
          <cell r="AB20">
            <v>0</v>
          </cell>
          <cell r="AC20">
            <v>0</v>
          </cell>
          <cell r="AD20">
            <v>0</v>
          </cell>
          <cell r="AE20">
            <v>75600001</v>
          </cell>
        </row>
        <row r="21">
          <cell r="B21" t="str">
            <v>53</v>
          </cell>
          <cell r="C21" t="str">
            <v>2．其他权益工具持有者投入资本</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row>
        <row r="22">
          <cell r="B22" t="str">
            <v>52</v>
          </cell>
          <cell r="C22" t="str">
            <v>3．股份支付计入股东权益的金额</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row>
        <row r="23">
          <cell r="B23" t="str">
            <v>56</v>
          </cell>
          <cell r="C23" t="str">
            <v>4．其他</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row>
        <row r="24">
          <cell r="B24" t="str">
            <v>60</v>
          </cell>
          <cell r="C24" t="str">
            <v>（三）利润分配</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2569705.25</v>
          </cell>
          <cell r="AA24">
            <v>0</v>
          </cell>
          <cell r="AB24">
            <v>-2569705.25</v>
          </cell>
          <cell r="AC24">
            <v>0</v>
          </cell>
          <cell r="AD24">
            <v>0</v>
          </cell>
          <cell r="AE24">
            <v>0</v>
          </cell>
        </row>
        <row r="25">
          <cell r="B25" t="str">
            <v>61</v>
          </cell>
          <cell r="C25" t="str">
            <v>1．提取盈余公积</v>
          </cell>
          <cell r="Q25">
            <v>0</v>
          </cell>
          <cell r="R25">
            <v>0</v>
          </cell>
          <cell r="S25">
            <v>0</v>
          </cell>
          <cell r="T25">
            <v>0</v>
          </cell>
          <cell r="U25">
            <v>0</v>
          </cell>
          <cell r="V25">
            <v>0</v>
          </cell>
          <cell r="W25">
            <v>0</v>
          </cell>
          <cell r="X25">
            <v>0</v>
          </cell>
          <cell r="Y25">
            <v>0</v>
          </cell>
          <cell r="Z25">
            <v>2569705.25</v>
          </cell>
          <cell r="AA25">
            <v>0</v>
          </cell>
          <cell r="AB25">
            <v>-2569705.25</v>
          </cell>
          <cell r="AC25">
            <v>0</v>
          </cell>
          <cell r="AD25">
            <v>0</v>
          </cell>
          <cell r="AE25">
            <v>0</v>
          </cell>
        </row>
        <row r="26">
          <cell r="B26" t="str">
            <v>62</v>
          </cell>
          <cell r="C26" t="str">
            <v>2．提取一般风险准备</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row>
        <row r="27">
          <cell r="B27" t="str">
            <v>63</v>
          </cell>
          <cell r="C27" t="str">
            <v>3．对股东（或所有者）的分配</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row>
        <row r="28">
          <cell r="B28" t="str">
            <v>66</v>
          </cell>
          <cell r="C28" t="str">
            <v>4．其他</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row>
        <row r="29">
          <cell r="B29" t="str">
            <v>70</v>
          </cell>
          <cell r="C29" t="str">
            <v>（四）股东权益内部结转</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row>
        <row r="30">
          <cell r="B30" t="str">
            <v>71</v>
          </cell>
          <cell r="C30" t="str">
            <v>1．资本公积转增股本（或资本）</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row>
        <row r="31">
          <cell r="B31" t="str">
            <v>72</v>
          </cell>
          <cell r="C31" t="str">
            <v>2．盈余公积转增股本（或资本）</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B32" t="str">
            <v>73</v>
          </cell>
          <cell r="C32" t="str">
            <v>3．盈余公积弥补亏损</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row>
        <row r="33">
          <cell r="B33" t="str">
            <v>75</v>
          </cell>
          <cell r="C33" t="str">
            <v>4．设定受益计划变动额结转留存收益</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B34" t="str">
            <v>76</v>
          </cell>
          <cell r="C34" t="str">
            <v>5．其他</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B35" t="str">
            <v>80</v>
          </cell>
          <cell r="C35" t="str">
            <v>（五）专项储备</v>
          </cell>
          <cell r="D35">
            <v>0</v>
          </cell>
          <cell r="E35">
            <v>0</v>
          </cell>
          <cell r="F35">
            <v>0</v>
          </cell>
          <cell r="G35">
            <v>0</v>
          </cell>
          <cell r="H35">
            <v>0</v>
          </cell>
          <cell r="I35">
            <v>0</v>
          </cell>
          <cell r="J35">
            <v>0</v>
          </cell>
          <cell r="K35">
            <v>691641</v>
          </cell>
          <cell r="L35">
            <v>0</v>
          </cell>
          <cell r="M35">
            <v>0</v>
          </cell>
          <cell r="N35">
            <v>0</v>
          </cell>
          <cell r="O35">
            <v>0</v>
          </cell>
          <cell r="P35">
            <v>0</v>
          </cell>
          <cell r="Q35">
            <v>691641</v>
          </cell>
          <cell r="R35">
            <v>0</v>
          </cell>
          <cell r="S35">
            <v>0</v>
          </cell>
          <cell r="T35">
            <v>0</v>
          </cell>
          <cell r="U35">
            <v>0</v>
          </cell>
          <cell r="V35">
            <v>0</v>
          </cell>
          <cell r="W35">
            <v>0</v>
          </cell>
          <cell r="X35">
            <v>0</v>
          </cell>
          <cell r="Y35">
            <v>1559396.11</v>
          </cell>
          <cell r="Z35">
            <v>0</v>
          </cell>
          <cell r="AA35">
            <v>0</v>
          </cell>
          <cell r="AB35">
            <v>0</v>
          </cell>
          <cell r="AC35">
            <v>0</v>
          </cell>
          <cell r="AD35">
            <v>0</v>
          </cell>
          <cell r="AE35">
            <v>1559396.11</v>
          </cell>
        </row>
        <row r="36">
          <cell r="B36" t="str">
            <v>81</v>
          </cell>
          <cell r="C36" t="str">
            <v>1．本期提取</v>
          </cell>
          <cell r="K36">
            <v>691641</v>
          </cell>
          <cell r="Q36">
            <v>691641</v>
          </cell>
          <cell r="R36">
            <v>0</v>
          </cell>
          <cell r="S36">
            <v>0</v>
          </cell>
          <cell r="T36">
            <v>0</v>
          </cell>
          <cell r="U36">
            <v>0</v>
          </cell>
          <cell r="V36">
            <v>0</v>
          </cell>
          <cell r="W36">
            <v>0</v>
          </cell>
          <cell r="X36">
            <v>0</v>
          </cell>
          <cell r="Y36">
            <v>1559396.11</v>
          </cell>
          <cell r="Z36">
            <v>0</v>
          </cell>
          <cell r="AA36">
            <v>0</v>
          </cell>
          <cell r="AB36">
            <v>0</v>
          </cell>
          <cell r="AC36">
            <v>0</v>
          </cell>
          <cell r="AD36">
            <v>0</v>
          </cell>
          <cell r="AE36">
            <v>1559396.11</v>
          </cell>
        </row>
        <row r="37">
          <cell r="B37" t="str">
            <v>82</v>
          </cell>
          <cell r="C37" t="str">
            <v>2．本期使用（以负号填列）</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row>
        <row r="38">
          <cell r="B38" t="str">
            <v>96</v>
          </cell>
          <cell r="C38" t="str">
            <v>（六）其他</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39">
          <cell r="B39" t="str">
            <v>99</v>
          </cell>
          <cell r="C39" t="str">
            <v>四、本年年末余额</v>
          </cell>
          <cell r="D39">
            <v>389015152</v>
          </cell>
          <cell r="E39">
            <v>0</v>
          </cell>
          <cell r="F39">
            <v>0</v>
          </cell>
          <cell r="G39">
            <v>0</v>
          </cell>
          <cell r="H39">
            <v>60861923.009999998</v>
          </cell>
          <cell r="I39">
            <v>0</v>
          </cell>
          <cell r="J39">
            <v>0</v>
          </cell>
          <cell r="K39">
            <v>7802112.5599999996</v>
          </cell>
          <cell r="L39">
            <v>16796197.280000001</v>
          </cell>
          <cell r="M39">
            <v>0</v>
          </cell>
          <cell r="N39">
            <v>132875203.33</v>
          </cell>
          <cell r="O39">
            <v>0</v>
          </cell>
          <cell r="P39">
            <v>0</v>
          </cell>
          <cell r="Q39">
            <v>607350588.17999995</v>
          </cell>
          <cell r="R39">
            <v>389015152</v>
          </cell>
          <cell r="S39">
            <v>0</v>
          </cell>
          <cell r="T39">
            <v>0</v>
          </cell>
          <cell r="U39">
            <v>0</v>
          </cell>
          <cell r="V39">
            <v>60861923.009999998</v>
          </cell>
          <cell r="W39">
            <v>0</v>
          </cell>
          <cell r="X39">
            <v>0</v>
          </cell>
          <cell r="Y39">
            <v>7110471.5599999996</v>
          </cell>
          <cell r="Z39">
            <v>16344164.109999999</v>
          </cell>
          <cell r="AA39">
            <v>0</v>
          </cell>
          <cell r="AB39">
            <v>63013280.090000004</v>
          </cell>
          <cell r="AC39">
            <v>0</v>
          </cell>
          <cell r="AD39">
            <v>0</v>
          </cell>
          <cell r="AE39">
            <v>536344990.76999998</v>
          </cell>
        </row>
      </sheetData>
      <sheetData sheetId="6"/>
      <sheetData sheetId="7">
        <row r="6">
          <cell r="F6" t="str">
            <v>本期</v>
          </cell>
          <cell r="G6" t="str">
            <v>本期</v>
          </cell>
          <cell r="H6" t="str">
            <v>本期</v>
          </cell>
          <cell r="I6" t="str">
            <v>本期</v>
          </cell>
          <cell r="J6" t="str">
            <v>上期</v>
          </cell>
          <cell r="K6" t="str">
            <v>上期</v>
          </cell>
          <cell r="L6" t="str">
            <v>上期</v>
          </cell>
          <cell r="M6" t="str">
            <v>上期</v>
          </cell>
          <cell r="U6" t="str">
            <v>前1期</v>
          </cell>
        </row>
        <row r="7">
          <cell r="F7" t="str">
            <v>本期</v>
          </cell>
          <cell r="J7" t="str">
            <v>上期</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cell r="T8" t="str">
            <v>itemID</v>
          </cell>
          <cell r="U8" t="str">
            <v>调整后金额</v>
          </cell>
        </row>
        <row r="9">
          <cell r="D9">
            <v>1</v>
          </cell>
          <cell r="E9" t="str">
            <v>资产负债表</v>
          </cell>
          <cell r="T9">
            <v>1</v>
          </cell>
        </row>
        <row r="10">
          <cell r="D10">
            <v>1000</v>
          </cell>
          <cell r="E10" t="str">
            <v>流动资产项目</v>
          </cell>
          <cell r="T10">
            <v>1000</v>
          </cell>
        </row>
        <row r="11">
          <cell r="D11">
            <v>1015</v>
          </cell>
          <cell r="E11" t="str">
            <v>货币资金</v>
          </cell>
          <cell r="F11">
            <v>65563844.149999999</v>
          </cell>
          <cell r="G11">
            <v>50370.18</v>
          </cell>
          <cell r="H11">
            <v>0</v>
          </cell>
          <cell r="I11">
            <v>65614214.329999998</v>
          </cell>
          <cell r="J11">
            <v>191177877.88</v>
          </cell>
          <cell r="K11">
            <v>0</v>
          </cell>
          <cell r="L11">
            <v>0</v>
          </cell>
          <cell r="M11">
            <v>191177877.88</v>
          </cell>
          <cell r="T11">
            <v>1015</v>
          </cell>
          <cell r="U11">
            <v>191177877.88</v>
          </cell>
        </row>
        <row r="12">
          <cell r="D12">
            <v>1021</v>
          </cell>
          <cell r="E12" t="str">
            <v>结算备付金</v>
          </cell>
          <cell r="F12">
            <v>0</v>
          </cell>
          <cell r="G12">
            <v>0</v>
          </cell>
          <cell r="H12">
            <v>0</v>
          </cell>
          <cell r="I12">
            <v>0</v>
          </cell>
          <cell r="J12">
            <v>0</v>
          </cell>
          <cell r="K12">
            <v>0</v>
          </cell>
          <cell r="L12">
            <v>0</v>
          </cell>
          <cell r="M12">
            <v>0</v>
          </cell>
          <cell r="T12">
            <v>1021</v>
          </cell>
          <cell r="U12">
            <v>0</v>
          </cell>
        </row>
        <row r="13">
          <cell r="D13">
            <v>1302</v>
          </cell>
          <cell r="E13" t="str">
            <v>拆出资金</v>
          </cell>
          <cell r="F13">
            <v>0</v>
          </cell>
          <cell r="G13">
            <v>0</v>
          </cell>
          <cell r="H13">
            <v>0</v>
          </cell>
          <cell r="I13">
            <v>0</v>
          </cell>
          <cell r="J13">
            <v>0</v>
          </cell>
          <cell r="K13">
            <v>0</v>
          </cell>
          <cell r="L13">
            <v>0</v>
          </cell>
          <cell r="M13">
            <v>0</v>
          </cell>
          <cell r="T13">
            <v>1302</v>
          </cell>
          <cell r="U13">
            <v>0</v>
          </cell>
        </row>
        <row r="14">
          <cell r="D14">
            <v>1101</v>
          </cell>
          <cell r="E14" t="str">
            <v>以公允价值计量且其变动计入当期损益的金融资产</v>
          </cell>
          <cell r="F14">
            <v>0</v>
          </cell>
          <cell r="G14">
            <v>0</v>
          </cell>
          <cell r="H14">
            <v>0</v>
          </cell>
          <cell r="I14">
            <v>0</v>
          </cell>
          <cell r="J14">
            <v>0</v>
          </cell>
          <cell r="K14">
            <v>0</v>
          </cell>
          <cell r="L14">
            <v>0</v>
          </cell>
          <cell r="M14">
            <v>0</v>
          </cell>
          <cell r="T14">
            <v>1101</v>
          </cell>
          <cell r="U14">
            <v>0</v>
          </cell>
        </row>
        <row r="15">
          <cell r="D15">
            <v>1115</v>
          </cell>
          <cell r="E15" t="str">
            <v>衍生金融资产</v>
          </cell>
          <cell r="F15">
            <v>0</v>
          </cell>
          <cell r="G15">
            <v>0</v>
          </cell>
          <cell r="H15">
            <v>0</v>
          </cell>
          <cell r="I15">
            <v>0</v>
          </cell>
          <cell r="J15">
            <v>0</v>
          </cell>
          <cell r="K15">
            <v>0</v>
          </cell>
          <cell r="L15">
            <v>0</v>
          </cell>
          <cell r="M15">
            <v>0</v>
          </cell>
          <cell r="T15">
            <v>1115</v>
          </cell>
          <cell r="U15">
            <v>0</v>
          </cell>
        </row>
        <row r="16">
          <cell r="D16">
            <v>1123</v>
          </cell>
          <cell r="E16" t="str">
            <v>应收票据及应收账款</v>
          </cell>
          <cell r="F16">
            <v>376132839.94999999</v>
          </cell>
          <cell r="G16">
            <v>21694379.940000001</v>
          </cell>
          <cell r="H16">
            <v>3199990.43</v>
          </cell>
          <cell r="I16">
            <v>394627229.45999998</v>
          </cell>
          <cell r="J16">
            <v>268944981.23000002</v>
          </cell>
          <cell r="K16">
            <v>0</v>
          </cell>
          <cell r="L16">
            <v>0</v>
          </cell>
          <cell r="M16">
            <v>268944981.23000002</v>
          </cell>
          <cell r="T16">
            <v>1123</v>
          </cell>
          <cell r="U16">
            <v>268944981.23000002</v>
          </cell>
        </row>
        <row r="17">
          <cell r="D17">
            <v>1121</v>
          </cell>
          <cell r="E17" t="str">
            <v>应收票据</v>
          </cell>
          <cell r="F17">
            <v>5091373.3600000003</v>
          </cell>
          <cell r="G17">
            <v>1406237.38</v>
          </cell>
          <cell r="H17">
            <v>515020.54</v>
          </cell>
          <cell r="I17">
            <v>5982590.2000000002</v>
          </cell>
          <cell r="J17">
            <v>1856316</v>
          </cell>
          <cell r="K17">
            <v>0</v>
          </cell>
          <cell r="L17">
            <v>0</v>
          </cell>
          <cell r="M17">
            <v>1856316</v>
          </cell>
          <cell r="T17">
            <v>1121</v>
          </cell>
          <cell r="U17">
            <v>1856316</v>
          </cell>
        </row>
        <row r="18">
          <cell r="D18">
            <v>1122</v>
          </cell>
          <cell r="E18" t="str">
            <v>应收账款</v>
          </cell>
          <cell r="F18">
            <v>371041466.58999997</v>
          </cell>
          <cell r="G18">
            <v>20288142.559999999</v>
          </cell>
          <cell r="H18">
            <v>2684969.89</v>
          </cell>
          <cell r="I18">
            <v>388644639.25999999</v>
          </cell>
          <cell r="J18">
            <v>267088665.22999999</v>
          </cell>
          <cell r="K18">
            <v>0</v>
          </cell>
          <cell r="L18">
            <v>0</v>
          </cell>
          <cell r="M18">
            <v>267088665.22999999</v>
          </cell>
          <cell r="T18">
            <v>1122</v>
          </cell>
          <cell r="U18">
            <v>267088665.22999999</v>
          </cell>
        </row>
        <row r="19">
          <cell r="D19">
            <v>1125</v>
          </cell>
          <cell r="E19" t="str">
            <v>预付款项</v>
          </cell>
          <cell r="F19">
            <v>120866718.23999999</v>
          </cell>
          <cell r="G19">
            <v>-82248369.069999993</v>
          </cell>
          <cell r="H19">
            <v>0</v>
          </cell>
          <cell r="I19">
            <v>38618349.170000002</v>
          </cell>
          <cell r="J19">
            <v>48283528.670000002</v>
          </cell>
          <cell r="K19">
            <v>0</v>
          </cell>
          <cell r="L19">
            <v>0</v>
          </cell>
          <cell r="M19">
            <v>48283528.670000002</v>
          </cell>
          <cell r="T19">
            <v>1125</v>
          </cell>
          <cell r="U19">
            <v>48283528.670000002</v>
          </cell>
        </row>
        <row r="20">
          <cell r="D20">
            <v>1127</v>
          </cell>
          <cell r="E20" t="str">
            <v>应收保费</v>
          </cell>
          <cell r="F20">
            <v>0</v>
          </cell>
          <cell r="G20">
            <v>0</v>
          </cell>
          <cell r="H20">
            <v>0</v>
          </cell>
          <cell r="I20">
            <v>0</v>
          </cell>
          <cell r="J20">
            <v>0</v>
          </cell>
          <cell r="K20">
            <v>0</v>
          </cell>
          <cell r="L20">
            <v>0</v>
          </cell>
          <cell r="M20">
            <v>0</v>
          </cell>
          <cell r="T20">
            <v>1127</v>
          </cell>
          <cell r="U20">
            <v>0</v>
          </cell>
        </row>
        <row r="21">
          <cell r="D21">
            <v>1211</v>
          </cell>
          <cell r="E21" t="str">
            <v>应收分保账款</v>
          </cell>
          <cell r="F21">
            <v>0</v>
          </cell>
          <cell r="G21">
            <v>0</v>
          </cell>
          <cell r="H21">
            <v>0</v>
          </cell>
          <cell r="I21">
            <v>0</v>
          </cell>
          <cell r="J21">
            <v>0</v>
          </cell>
          <cell r="K21">
            <v>0</v>
          </cell>
          <cell r="L21">
            <v>0</v>
          </cell>
          <cell r="M21">
            <v>0</v>
          </cell>
          <cell r="T21">
            <v>1211</v>
          </cell>
          <cell r="U21">
            <v>0</v>
          </cell>
        </row>
        <row r="22">
          <cell r="D22">
            <v>1212</v>
          </cell>
          <cell r="E22" t="str">
            <v>应收分保合同准备金</v>
          </cell>
          <cell r="F22">
            <v>0</v>
          </cell>
          <cell r="G22">
            <v>0</v>
          </cell>
          <cell r="H22">
            <v>0</v>
          </cell>
          <cell r="I22">
            <v>0</v>
          </cell>
          <cell r="J22">
            <v>0</v>
          </cell>
          <cell r="K22">
            <v>0</v>
          </cell>
          <cell r="L22">
            <v>0</v>
          </cell>
          <cell r="M22">
            <v>0</v>
          </cell>
          <cell r="T22">
            <v>1212</v>
          </cell>
          <cell r="U22">
            <v>0</v>
          </cell>
        </row>
        <row r="23">
          <cell r="D23">
            <v>1220</v>
          </cell>
          <cell r="E23" t="str">
            <v>其他应收款（报表项目）</v>
          </cell>
          <cell r="F23">
            <v>80138276.890000001</v>
          </cell>
          <cell r="G23">
            <v>4175044.66</v>
          </cell>
          <cell r="H23">
            <v>4049510.74</v>
          </cell>
          <cell r="I23">
            <v>80263810.810000002</v>
          </cell>
          <cell r="J23">
            <v>58404603.030000001</v>
          </cell>
          <cell r="K23">
            <v>0</v>
          </cell>
          <cell r="L23">
            <v>0</v>
          </cell>
          <cell r="M23">
            <v>58404603.030000001</v>
          </cell>
          <cell r="T23">
            <v>1220</v>
          </cell>
          <cell r="U23">
            <v>58404603.030000001</v>
          </cell>
        </row>
        <row r="24">
          <cell r="D24">
            <v>1132</v>
          </cell>
          <cell r="E24" t="str">
            <v>应收利息</v>
          </cell>
          <cell r="F24">
            <v>0</v>
          </cell>
          <cell r="G24">
            <v>0</v>
          </cell>
          <cell r="H24">
            <v>0</v>
          </cell>
          <cell r="I24">
            <v>0</v>
          </cell>
          <cell r="J24">
            <v>0</v>
          </cell>
          <cell r="K24">
            <v>0</v>
          </cell>
          <cell r="L24">
            <v>0</v>
          </cell>
          <cell r="M24">
            <v>0</v>
          </cell>
          <cell r="T24">
            <v>1132</v>
          </cell>
          <cell r="U24">
            <v>0</v>
          </cell>
        </row>
        <row r="25">
          <cell r="D25">
            <v>1131</v>
          </cell>
          <cell r="E25" t="str">
            <v>应收股利</v>
          </cell>
          <cell r="F25">
            <v>0</v>
          </cell>
          <cell r="G25">
            <v>0</v>
          </cell>
          <cell r="H25">
            <v>0</v>
          </cell>
          <cell r="I25">
            <v>0</v>
          </cell>
          <cell r="J25">
            <v>0</v>
          </cell>
          <cell r="K25">
            <v>0</v>
          </cell>
          <cell r="L25">
            <v>0</v>
          </cell>
          <cell r="M25">
            <v>0</v>
          </cell>
          <cell r="T25">
            <v>1131</v>
          </cell>
          <cell r="U25">
            <v>0</v>
          </cell>
        </row>
        <row r="26">
          <cell r="D26">
            <v>1221</v>
          </cell>
          <cell r="E26" t="str">
            <v>其他应收款</v>
          </cell>
          <cell r="F26">
            <v>80138276.890000001</v>
          </cell>
          <cell r="G26">
            <v>4175044.66</v>
          </cell>
          <cell r="H26">
            <v>4049510.74</v>
          </cell>
          <cell r="I26">
            <v>80263810.810000002</v>
          </cell>
          <cell r="J26">
            <v>58404603.030000001</v>
          </cell>
          <cell r="K26">
            <v>0</v>
          </cell>
          <cell r="L26">
            <v>0</v>
          </cell>
          <cell r="M26">
            <v>58404603.030000001</v>
          </cell>
          <cell r="T26">
            <v>1221</v>
          </cell>
          <cell r="U26">
            <v>58404603.030000001</v>
          </cell>
        </row>
        <row r="27">
          <cell r="D27">
            <v>1111</v>
          </cell>
          <cell r="E27" t="str">
            <v>买入返售金融资产</v>
          </cell>
          <cell r="F27">
            <v>0</v>
          </cell>
          <cell r="G27">
            <v>0</v>
          </cell>
          <cell r="H27">
            <v>0</v>
          </cell>
          <cell r="I27">
            <v>0</v>
          </cell>
          <cell r="J27">
            <v>0</v>
          </cell>
          <cell r="K27">
            <v>0</v>
          </cell>
          <cell r="L27">
            <v>0</v>
          </cell>
          <cell r="M27">
            <v>0</v>
          </cell>
          <cell r="T27">
            <v>1111</v>
          </cell>
          <cell r="U27">
            <v>0</v>
          </cell>
        </row>
        <row r="28">
          <cell r="D28">
            <v>1400</v>
          </cell>
          <cell r="E28" t="str">
            <v>存货</v>
          </cell>
          <cell r="F28">
            <v>165585947.87</v>
          </cell>
          <cell r="G28">
            <v>29447105.460000001</v>
          </cell>
          <cell r="H28">
            <v>13023603.380000001</v>
          </cell>
          <cell r="I28">
            <v>182009449.94999999</v>
          </cell>
          <cell r="J28">
            <v>206066137.69</v>
          </cell>
          <cell r="K28">
            <v>0</v>
          </cell>
          <cell r="L28">
            <v>0</v>
          </cell>
          <cell r="M28">
            <v>206066137.69</v>
          </cell>
          <cell r="T28">
            <v>1400</v>
          </cell>
          <cell r="U28">
            <v>206066137.69</v>
          </cell>
        </row>
        <row r="29">
          <cell r="D29">
            <v>1315</v>
          </cell>
          <cell r="E29" t="str">
            <v>持有待售资产</v>
          </cell>
          <cell r="F29">
            <v>0</v>
          </cell>
          <cell r="G29">
            <v>0</v>
          </cell>
          <cell r="H29">
            <v>0</v>
          </cell>
          <cell r="I29">
            <v>0</v>
          </cell>
          <cell r="J29">
            <v>0</v>
          </cell>
          <cell r="K29">
            <v>0</v>
          </cell>
          <cell r="L29">
            <v>0</v>
          </cell>
          <cell r="M29">
            <v>0</v>
          </cell>
          <cell r="T29">
            <v>1315</v>
          </cell>
          <cell r="U29">
            <v>0</v>
          </cell>
        </row>
        <row r="30">
          <cell r="D30">
            <v>1495</v>
          </cell>
          <cell r="E30" t="str">
            <v>一年内到期的非流动资产</v>
          </cell>
          <cell r="F30">
            <v>0</v>
          </cell>
          <cell r="G30">
            <v>0</v>
          </cell>
          <cell r="H30">
            <v>0</v>
          </cell>
          <cell r="I30">
            <v>0</v>
          </cell>
          <cell r="J30">
            <v>0</v>
          </cell>
          <cell r="K30">
            <v>0</v>
          </cell>
          <cell r="L30">
            <v>0</v>
          </cell>
          <cell r="M30">
            <v>0</v>
          </cell>
          <cell r="T30">
            <v>1495</v>
          </cell>
          <cell r="U30">
            <v>0</v>
          </cell>
        </row>
        <row r="31">
          <cell r="D31">
            <v>1496</v>
          </cell>
          <cell r="E31" t="str">
            <v>其他流动资产</v>
          </cell>
          <cell r="F31">
            <v>0</v>
          </cell>
          <cell r="G31">
            <v>6800010.9299999997</v>
          </cell>
          <cell r="H31">
            <v>0</v>
          </cell>
          <cell r="I31">
            <v>6800010.9299999997</v>
          </cell>
          <cell r="J31">
            <v>15415212.289999999</v>
          </cell>
          <cell r="K31">
            <v>0</v>
          </cell>
          <cell r="L31">
            <v>0</v>
          </cell>
          <cell r="M31">
            <v>15415212.289999999</v>
          </cell>
          <cell r="T31">
            <v>1496</v>
          </cell>
          <cell r="U31">
            <v>15415212.289999999</v>
          </cell>
        </row>
        <row r="32">
          <cell r="D32">
            <v>1498</v>
          </cell>
          <cell r="E32" t="str">
            <v>流动资产</v>
          </cell>
          <cell r="F32">
            <v>808287627.10000002</v>
          </cell>
          <cell r="G32">
            <v>-20081457.899999999</v>
          </cell>
          <cell r="H32">
            <v>20273104.550000001</v>
          </cell>
          <cell r="I32">
            <v>767933064.64999998</v>
          </cell>
          <cell r="J32">
            <v>788292340.78999996</v>
          </cell>
          <cell r="K32">
            <v>0</v>
          </cell>
          <cell r="L32">
            <v>0</v>
          </cell>
          <cell r="M32">
            <v>788292340.78999996</v>
          </cell>
          <cell r="T32">
            <v>1498</v>
          </cell>
          <cell r="U32">
            <v>788292340.78999996</v>
          </cell>
        </row>
        <row r="33">
          <cell r="D33">
            <v>1500</v>
          </cell>
          <cell r="E33" t="str">
            <v>非流动资产项目</v>
          </cell>
          <cell r="F33">
            <v>0</v>
          </cell>
          <cell r="G33">
            <v>0</v>
          </cell>
          <cell r="H33">
            <v>0</v>
          </cell>
          <cell r="J33">
            <v>0</v>
          </cell>
          <cell r="K33">
            <v>0</v>
          </cell>
          <cell r="L33">
            <v>0</v>
          </cell>
          <cell r="M33">
            <v>0</v>
          </cell>
          <cell r="T33">
            <v>1500</v>
          </cell>
        </row>
        <row r="34">
          <cell r="D34">
            <v>1600</v>
          </cell>
          <cell r="E34" t="str">
            <v>发放委托贷款及垫款</v>
          </cell>
          <cell r="F34">
            <v>0</v>
          </cell>
          <cell r="G34">
            <v>0</v>
          </cell>
          <cell r="H34">
            <v>0</v>
          </cell>
          <cell r="I34">
            <v>0</v>
          </cell>
          <cell r="J34">
            <v>0</v>
          </cell>
          <cell r="K34">
            <v>0</v>
          </cell>
          <cell r="L34">
            <v>0</v>
          </cell>
          <cell r="M34">
            <v>0</v>
          </cell>
          <cell r="T34">
            <v>1600</v>
          </cell>
          <cell r="U34">
            <v>0</v>
          </cell>
        </row>
        <row r="35">
          <cell r="D35">
            <v>1503</v>
          </cell>
          <cell r="E35" t="str">
            <v>可供出售金融资产</v>
          </cell>
          <cell r="F35">
            <v>0</v>
          </cell>
          <cell r="G35">
            <v>0</v>
          </cell>
          <cell r="H35">
            <v>0</v>
          </cell>
          <cell r="I35">
            <v>0</v>
          </cell>
          <cell r="J35">
            <v>0</v>
          </cell>
          <cell r="K35">
            <v>0</v>
          </cell>
          <cell r="L35">
            <v>0</v>
          </cell>
          <cell r="M35">
            <v>0</v>
          </cell>
          <cell r="T35">
            <v>1503</v>
          </cell>
          <cell r="U35">
            <v>0</v>
          </cell>
        </row>
        <row r="36">
          <cell r="D36">
            <v>1501</v>
          </cell>
          <cell r="E36" t="str">
            <v>持有至到期投资</v>
          </cell>
          <cell r="F36">
            <v>0</v>
          </cell>
          <cell r="G36">
            <v>0</v>
          </cell>
          <cell r="H36">
            <v>0</v>
          </cell>
          <cell r="I36">
            <v>0</v>
          </cell>
          <cell r="J36">
            <v>0</v>
          </cell>
          <cell r="K36">
            <v>0</v>
          </cell>
          <cell r="L36">
            <v>0</v>
          </cell>
          <cell r="M36">
            <v>0</v>
          </cell>
          <cell r="T36">
            <v>1501</v>
          </cell>
          <cell r="U36">
            <v>0</v>
          </cell>
        </row>
        <row r="37">
          <cell r="D37">
            <v>1531</v>
          </cell>
          <cell r="E37" t="str">
            <v>长期应收款</v>
          </cell>
          <cell r="F37">
            <v>0</v>
          </cell>
          <cell r="G37">
            <v>0</v>
          </cell>
          <cell r="H37">
            <v>0</v>
          </cell>
          <cell r="I37">
            <v>0</v>
          </cell>
          <cell r="J37">
            <v>0</v>
          </cell>
          <cell r="K37">
            <v>0</v>
          </cell>
          <cell r="L37">
            <v>0</v>
          </cell>
          <cell r="M37">
            <v>0</v>
          </cell>
          <cell r="T37">
            <v>1531</v>
          </cell>
          <cell r="U37">
            <v>0</v>
          </cell>
        </row>
        <row r="38">
          <cell r="D38">
            <v>1515</v>
          </cell>
          <cell r="E38" t="str">
            <v>设定受益计划净资产</v>
          </cell>
          <cell r="F38">
            <v>0</v>
          </cell>
          <cell r="G38">
            <v>0</v>
          </cell>
          <cell r="H38">
            <v>0</v>
          </cell>
          <cell r="I38">
            <v>0</v>
          </cell>
          <cell r="J38">
            <v>0</v>
          </cell>
          <cell r="K38">
            <v>0</v>
          </cell>
          <cell r="L38">
            <v>0</v>
          </cell>
          <cell r="M38">
            <v>0</v>
          </cell>
          <cell r="T38">
            <v>1515</v>
          </cell>
          <cell r="U38">
            <v>0</v>
          </cell>
        </row>
        <row r="39">
          <cell r="D39">
            <v>1511</v>
          </cell>
          <cell r="E39" t="str">
            <v>长期股权投资</v>
          </cell>
          <cell r="F39">
            <v>61000000</v>
          </cell>
          <cell r="G39">
            <v>0</v>
          </cell>
          <cell r="H39">
            <v>0</v>
          </cell>
          <cell r="I39">
            <v>61000000</v>
          </cell>
          <cell r="J39">
            <v>61000000</v>
          </cell>
          <cell r="K39">
            <v>0</v>
          </cell>
          <cell r="L39">
            <v>0</v>
          </cell>
          <cell r="M39">
            <v>61000000</v>
          </cell>
          <cell r="T39">
            <v>1511</v>
          </cell>
          <cell r="U39">
            <v>61000000</v>
          </cell>
        </row>
        <row r="40">
          <cell r="D40">
            <v>1521</v>
          </cell>
          <cell r="E40" t="str">
            <v>投资性房地产</v>
          </cell>
          <cell r="F40">
            <v>0</v>
          </cell>
          <cell r="G40">
            <v>0</v>
          </cell>
          <cell r="H40">
            <v>0</v>
          </cell>
          <cell r="I40">
            <v>0</v>
          </cell>
          <cell r="J40">
            <v>0</v>
          </cell>
          <cell r="K40">
            <v>0</v>
          </cell>
          <cell r="L40">
            <v>0</v>
          </cell>
          <cell r="M40">
            <v>0</v>
          </cell>
          <cell r="T40">
            <v>1521</v>
          </cell>
          <cell r="U40">
            <v>0</v>
          </cell>
        </row>
        <row r="41">
          <cell r="D41">
            <v>1611</v>
          </cell>
          <cell r="E41" t="str">
            <v>固定资产（报表项目）</v>
          </cell>
          <cell r="F41">
            <v>10069745.300000001</v>
          </cell>
          <cell r="G41">
            <v>1306456.1000000001</v>
          </cell>
          <cell r="H41">
            <v>-275024.76</v>
          </cell>
          <cell r="I41">
            <v>11651226.16</v>
          </cell>
          <cell r="J41">
            <v>11112899.470000001</v>
          </cell>
          <cell r="K41">
            <v>0</v>
          </cell>
          <cell r="L41">
            <v>0</v>
          </cell>
          <cell r="M41">
            <v>11112899.470000001</v>
          </cell>
          <cell r="T41">
            <v>1611</v>
          </cell>
          <cell r="U41">
            <v>11112899.470000001</v>
          </cell>
        </row>
        <row r="42">
          <cell r="D42">
            <v>1601</v>
          </cell>
          <cell r="E42" t="str">
            <v>固定资产</v>
          </cell>
          <cell r="F42">
            <v>10069745.300000001</v>
          </cell>
          <cell r="G42">
            <v>1306456.1000000001</v>
          </cell>
          <cell r="H42">
            <v>-275024.76</v>
          </cell>
          <cell r="I42">
            <v>11651226.16</v>
          </cell>
          <cell r="J42">
            <v>11112899.470000001</v>
          </cell>
          <cell r="K42">
            <v>0</v>
          </cell>
          <cell r="L42">
            <v>0</v>
          </cell>
          <cell r="M42">
            <v>11112899.470000001</v>
          </cell>
          <cell r="T42">
            <v>1601</v>
          </cell>
          <cell r="U42">
            <v>11112899.470000001</v>
          </cell>
        </row>
        <row r="43">
          <cell r="D43">
            <v>1606</v>
          </cell>
          <cell r="E43" t="str">
            <v>固定资产清理</v>
          </cell>
          <cell r="F43">
            <v>0</v>
          </cell>
          <cell r="G43">
            <v>0</v>
          </cell>
          <cell r="H43">
            <v>0</v>
          </cell>
          <cell r="I43">
            <v>0</v>
          </cell>
          <cell r="J43">
            <v>0</v>
          </cell>
          <cell r="K43">
            <v>0</v>
          </cell>
          <cell r="L43">
            <v>0</v>
          </cell>
          <cell r="M43">
            <v>0</v>
          </cell>
          <cell r="T43">
            <v>1606</v>
          </cell>
          <cell r="U43">
            <v>0</v>
          </cell>
        </row>
        <row r="44">
          <cell r="D44">
            <v>1616</v>
          </cell>
          <cell r="E44" t="str">
            <v>在建工程（报表项目）</v>
          </cell>
          <cell r="F44">
            <v>5328.2</v>
          </cell>
          <cell r="G44">
            <v>24502863.370000001</v>
          </cell>
          <cell r="H44">
            <v>5328.2</v>
          </cell>
          <cell r="I44">
            <v>24502863.370000001</v>
          </cell>
          <cell r="J44">
            <v>0</v>
          </cell>
          <cell r="K44">
            <v>0</v>
          </cell>
          <cell r="L44">
            <v>0</v>
          </cell>
          <cell r="M44">
            <v>0</v>
          </cell>
          <cell r="T44">
            <v>1616</v>
          </cell>
          <cell r="U44">
            <v>0</v>
          </cell>
        </row>
        <row r="45">
          <cell r="D45">
            <v>1604</v>
          </cell>
          <cell r="E45" t="str">
            <v>在建工程</v>
          </cell>
          <cell r="F45">
            <v>5328.2</v>
          </cell>
          <cell r="G45">
            <v>24502863.370000001</v>
          </cell>
          <cell r="H45">
            <v>5328.2</v>
          </cell>
          <cell r="I45">
            <v>24502863.370000001</v>
          </cell>
          <cell r="J45">
            <v>0</v>
          </cell>
          <cell r="K45">
            <v>0</v>
          </cell>
          <cell r="L45">
            <v>0</v>
          </cell>
          <cell r="M45">
            <v>0</v>
          </cell>
          <cell r="T45">
            <v>1604</v>
          </cell>
          <cell r="U45">
            <v>0</v>
          </cell>
        </row>
        <row r="46">
          <cell r="D46">
            <v>1605</v>
          </cell>
          <cell r="E46" t="str">
            <v>工程物资</v>
          </cell>
          <cell r="F46">
            <v>0</v>
          </cell>
          <cell r="G46">
            <v>0</v>
          </cell>
          <cell r="H46">
            <v>0</v>
          </cell>
          <cell r="I46">
            <v>0</v>
          </cell>
          <cell r="J46">
            <v>0</v>
          </cell>
          <cell r="K46">
            <v>0</v>
          </cell>
          <cell r="L46">
            <v>0</v>
          </cell>
          <cell r="M46">
            <v>0</v>
          </cell>
          <cell r="T46">
            <v>1605</v>
          </cell>
          <cell r="U46">
            <v>0</v>
          </cell>
        </row>
        <row r="47">
          <cell r="D47">
            <v>1621</v>
          </cell>
          <cell r="E47" t="str">
            <v>生产性生物资产</v>
          </cell>
          <cell r="F47">
            <v>0</v>
          </cell>
          <cell r="G47">
            <v>0</v>
          </cell>
          <cell r="H47">
            <v>0</v>
          </cell>
          <cell r="I47">
            <v>0</v>
          </cell>
          <cell r="J47">
            <v>0</v>
          </cell>
          <cell r="K47">
            <v>0</v>
          </cell>
          <cell r="L47">
            <v>0</v>
          </cell>
          <cell r="M47">
            <v>0</v>
          </cell>
          <cell r="T47">
            <v>1621</v>
          </cell>
          <cell r="U47">
            <v>0</v>
          </cell>
        </row>
        <row r="48">
          <cell r="D48">
            <v>1631</v>
          </cell>
          <cell r="E48" t="str">
            <v>油气资产</v>
          </cell>
          <cell r="F48">
            <v>0</v>
          </cell>
          <cell r="G48">
            <v>0</v>
          </cell>
          <cell r="H48">
            <v>0</v>
          </cell>
          <cell r="I48">
            <v>0</v>
          </cell>
          <cell r="J48">
            <v>0</v>
          </cell>
          <cell r="K48">
            <v>0</v>
          </cell>
          <cell r="L48">
            <v>0</v>
          </cell>
          <cell r="M48">
            <v>0</v>
          </cell>
          <cell r="T48">
            <v>1631</v>
          </cell>
          <cell r="U48">
            <v>0</v>
          </cell>
        </row>
        <row r="49">
          <cell r="D49">
            <v>1701</v>
          </cell>
          <cell r="E49" t="str">
            <v>无形资产</v>
          </cell>
          <cell r="F49">
            <v>29705209.870000001</v>
          </cell>
          <cell r="G49">
            <v>6091106.9500000002</v>
          </cell>
          <cell r="H49">
            <v>27009358.870000001</v>
          </cell>
          <cell r="I49">
            <v>8786957.9499999993</v>
          </cell>
          <cell r="J49">
            <v>9479025.4399999995</v>
          </cell>
          <cell r="K49">
            <v>0</v>
          </cell>
          <cell r="L49">
            <v>0</v>
          </cell>
          <cell r="M49">
            <v>9479025.4399999995</v>
          </cell>
          <cell r="T49">
            <v>1701</v>
          </cell>
          <cell r="U49">
            <v>9479025.4399999995</v>
          </cell>
        </row>
        <row r="50">
          <cell r="D50">
            <v>1700</v>
          </cell>
          <cell r="E50" t="str">
            <v>开发支出</v>
          </cell>
          <cell r="F50">
            <v>846903.76</v>
          </cell>
          <cell r="G50">
            <v>8575491.1199999992</v>
          </cell>
          <cell r="H50">
            <v>9422394.8800000008</v>
          </cell>
          <cell r="I50">
            <v>0</v>
          </cell>
          <cell r="J50">
            <v>0</v>
          </cell>
          <cell r="K50">
            <v>0</v>
          </cell>
          <cell r="L50">
            <v>0</v>
          </cell>
          <cell r="M50">
            <v>0</v>
          </cell>
          <cell r="T50">
            <v>1700</v>
          </cell>
          <cell r="U50">
            <v>0</v>
          </cell>
        </row>
        <row r="51">
          <cell r="D51">
            <v>1711</v>
          </cell>
          <cell r="E51" t="str">
            <v>商誉</v>
          </cell>
          <cell r="F51">
            <v>0</v>
          </cell>
          <cell r="G51">
            <v>0</v>
          </cell>
          <cell r="H51">
            <v>0</v>
          </cell>
          <cell r="I51">
            <v>0</v>
          </cell>
          <cell r="J51">
            <v>0</v>
          </cell>
          <cell r="K51">
            <v>0</v>
          </cell>
          <cell r="L51">
            <v>0</v>
          </cell>
          <cell r="M51">
            <v>0</v>
          </cell>
          <cell r="T51">
            <v>1711</v>
          </cell>
          <cell r="U51">
            <v>0</v>
          </cell>
        </row>
        <row r="52">
          <cell r="D52">
            <v>1801</v>
          </cell>
          <cell r="E52" t="str">
            <v>长期待摊费用</v>
          </cell>
          <cell r="F52">
            <v>1266571.52</v>
          </cell>
          <cell r="G52">
            <v>-13865</v>
          </cell>
          <cell r="H52">
            <v>662273.88</v>
          </cell>
          <cell r="I52">
            <v>590432.64</v>
          </cell>
          <cell r="J52">
            <v>915113.28</v>
          </cell>
          <cell r="K52">
            <v>0</v>
          </cell>
          <cell r="L52">
            <v>0</v>
          </cell>
          <cell r="M52">
            <v>915113.28</v>
          </cell>
          <cell r="T52">
            <v>1801</v>
          </cell>
          <cell r="U52">
            <v>915113.28</v>
          </cell>
        </row>
        <row r="53">
          <cell r="D53">
            <v>1811</v>
          </cell>
          <cell r="E53" t="str">
            <v>递延所得税资产</v>
          </cell>
          <cell r="F53">
            <v>10102226.199999999</v>
          </cell>
          <cell r="G53">
            <v>3897735.85</v>
          </cell>
          <cell r="H53">
            <v>0</v>
          </cell>
          <cell r="I53">
            <v>13999962.050000001</v>
          </cell>
          <cell r="J53">
            <v>13459765.699999999</v>
          </cell>
          <cell r="K53">
            <v>0</v>
          </cell>
          <cell r="L53">
            <v>0</v>
          </cell>
          <cell r="M53">
            <v>13459765.699999999</v>
          </cell>
          <cell r="T53">
            <v>1811</v>
          </cell>
          <cell r="U53">
            <v>13459765.699999999</v>
          </cell>
        </row>
        <row r="54">
          <cell r="D54">
            <v>1996</v>
          </cell>
          <cell r="E54" t="str">
            <v>其他非流动资产</v>
          </cell>
          <cell r="F54">
            <v>0</v>
          </cell>
          <cell r="G54">
            <v>22162241.579999998</v>
          </cell>
          <cell r="H54">
            <v>0</v>
          </cell>
          <cell r="I54">
            <v>22162241.579999998</v>
          </cell>
          <cell r="J54">
            <v>16562426.710000001</v>
          </cell>
          <cell r="K54">
            <v>0</v>
          </cell>
          <cell r="L54">
            <v>0</v>
          </cell>
          <cell r="M54">
            <v>16562426.710000001</v>
          </cell>
          <cell r="T54">
            <v>1996</v>
          </cell>
          <cell r="U54">
            <v>16562426.710000001</v>
          </cell>
        </row>
        <row r="55">
          <cell r="D55">
            <v>1998</v>
          </cell>
          <cell r="E55" t="str">
            <v>非流动资产</v>
          </cell>
          <cell r="F55">
            <v>112995984.84999999</v>
          </cell>
          <cell r="G55">
            <v>66522029.969999999</v>
          </cell>
          <cell r="H55">
            <v>36824331.07</v>
          </cell>
          <cell r="I55">
            <v>142693683.75</v>
          </cell>
          <cell r="J55">
            <v>112529230.59999999</v>
          </cell>
          <cell r="K55">
            <v>0</v>
          </cell>
          <cell r="L55">
            <v>0</v>
          </cell>
          <cell r="M55">
            <v>112529230.59999999</v>
          </cell>
          <cell r="T55">
            <v>1998</v>
          </cell>
          <cell r="U55">
            <v>112529230.59999999</v>
          </cell>
        </row>
        <row r="56">
          <cell r="D56">
            <v>1999</v>
          </cell>
          <cell r="E56" t="str">
            <v>资产</v>
          </cell>
          <cell r="F56">
            <v>921283611.95000005</v>
          </cell>
          <cell r="G56">
            <v>46440572.07</v>
          </cell>
          <cell r="H56">
            <v>57097435.619999997</v>
          </cell>
          <cell r="I56">
            <v>910626748.39999998</v>
          </cell>
          <cell r="J56">
            <v>900821571.38999999</v>
          </cell>
          <cell r="K56">
            <v>0</v>
          </cell>
          <cell r="L56">
            <v>0</v>
          </cell>
          <cell r="M56">
            <v>900821571.38999999</v>
          </cell>
          <cell r="T56">
            <v>1999</v>
          </cell>
          <cell r="U56">
            <v>900821571.38999999</v>
          </cell>
        </row>
        <row r="57">
          <cell r="D57">
            <v>2000</v>
          </cell>
          <cell r="E57" t="str">
            <v>流动负债项目</v>
          </cell>
          <cell r="G57">
            <v>0</v>
          </cell>
          <cell r="H57">
            <v>0</v>
          </cell>
          <cell r="I57">
            <v>0</v>
          </cell>
          <cell r="K57">
            <v>0</v>
          </cell>
          <cell r="L57">
            <v>0</v>
          </cell>
          <cell r="T57">
            <v>2000</v>
          </cell>
          <cell r="U57">
            <v>0</v>
          </cell>
        </row>
        <row r="58">
          <cell r="D58">
            <v>2001</v>
          </cell>
          <cell r="E58" t="str">
            <v>短期借款</v>
          </cell>
          <cell r="F58">
            <v>91658421.109999999</v>
          </cell>
          <cell r="G58">
            <v>0</v>
          </cell>
          <cell r="H58">
            <v>0</v>
          </cell>
          <cell r="I58">
            <v>91658421.109999999</v>
          </cell>
          <cell r="J58">
            <v>71738421.109999999</v>
          </cell>
          <cell r="K58">
            <v>0</v>
          </cell>
          <cell r="L58">
            <v>0</v>
          </cell>
          <cell r="M58">
            <v>71738421.109999999</v>
          </cell>
          <cell r="T58">
            <v>2001</v>
          </cell>
          <cell r="U58">
            <v>71738421.109999999</v>
          </cell>
        </row>
        <row r="59">
          <cell r="D59">
            <v>2004</v>
          </cell>
          <cell r="E59" t="str">
            <v>向中央银行借款</v>
          </cell>
          <cell r="F59">
            <v>0</v>
          </cell>
          <cell r="G59">
            <v>0</v>
          </cell>
          <cell r="H59">
            <v>0</v>
          </cell>
          <cell r="I59">
            <v>0</v>
          </cell>
          <cell r="J59">
            <v>0</v>
          </cell>
          <cell r="K59">
            <v>0</v>
          </cell>
          <cell r="L59">
            <v>0</v>
          </cell>
          <cell r="M59">
            <v>0</v>
          </cell>
          <cell r="T59">
            <v>2004</v>
          </cell>
          <cell r="U59">
            <v>0</v>
          </cell>
        </row>
        <row r="60">
          <cell r="D60">
            <v>2010</v>
          </cell>
          <cell r="E60" t="str">
            <v>吸收存款及同业存放</v>
          </cell>
          <cell r="F60">
            <v>0</v>
          </cell>
          <cell r="G60">
            <v>0</v>
          </cell>
          <cell r="H60">
            <v>0</v>
          </cell>
          <cell r="I60">
            <v>0</v>
          </cell>
          <cell r="J60">
            <v>0</v>
          </cell>
          <cell r="K60">
            <v>0</v>
          </cell>
          <cell r="L60">
            <v>0</v>
          </cell>
          <cell r="M60">
            <v>0</v>
          </cell>
          <cell r="T60">
            <v>2010</v>
          </cell>
          <cell r="U60">
            <v>0</v>
          </cell>
        </row>
        <row r="61">
          <cell r="D61">
            <v>2003</v>
          </cell>
          <cell r="E61" t="str">
            <v>拆入资金</v>
          </cell>
          <cell r="F61">
            <v>0</v>
          </cell>
          <cell r="G61">
            <v>0</v>
          </cell>
          <cell r="H61">
            <v>0</v>
          </cell>
          <cell r="I61">
            <v>0</v>
          </cell>
          <cell r="J61">
            <v>0</v>
          </cell>
          <cell r="K61">
            <v>0</v>
          </cell>
          <cell r="L61">
            <v>0</v>
          </cell>
          <cell r="M61">
            <v>0</v>
          </cell>
          <cell r="T61">
            <v>2003</v>
          </cell>
          <cell r="U61">
            <v>0</v>
          </cell>
        </row>
        <row r="62">
          <cell r="D62">
            <v>2101</v>
          </cell>
          <cell r="E62" t="str">
            <v>以公允价值计量且其变动计入当期损益的金融负债</v>
          </cell>
          <cell r="F62">
            <v>0</v>
          </cell>
          <cell r="G62">
            <v>0</v>
          </cell>
          <cell r="H62">
            <v>0</v>
          </cell>
          <cell r="I62">
            <v>0</v>
          </cell>
          <cell r="J62">
            <v>0</v>
          </cell>
          <cell r="K62">
            <v>0</v>
          </cell>
          <cell r="L62">
            <v>0</v>
          </cell>
          <cell r="M62">
            <v>0</v>
          </cell>
          <cell r="T62">
            <v>2101</v>
          </cell>
          <cell r="U62">
            <v>0</v>
          </cell>
        </row>
        <row r="63">
          <cell r="D63">
            <v>2115</v>
          </cell>
          <cell r="E63" t="str">
            <v>衍生金融负债</v>
          </cell>
          <cell r="F63">
            <v>0</v>
          </cell>
          <cell r="G63">
            <v>0</v>
          </cell>
          <cell r="H63">
            <v>0</v>
          </cell>
          <cell r="I63">
            <v>0</v>
          </cell>
          <cell r="J63">
            <v>0</v>
          </cell>
          <cell r="K63">
            <v>0</v>
          </cell>
          <cell r="L63">
            <v>0</v>
          </cell>
          <cell r="M63">
            <v>0</v>
          </cell>
          <cell r="T63">
            <v>2115</v>
          </cell>
          <cell r="U63">
            <v>0</v>
          </cell>
        </row>
        <row r="64">
          <cell r="D64">
            <v>2203</v>
          </cell>
          <cell r="E64" t="str">
            <v>应付票据及应付账款</v>
          </cell>
          <cell r="F64">
            <v>146010326.41</v>
          </cell>
          <cell r="G64">
            <v>0</v>
          </cell>
          <cell r="H64">
            <v>-8968937.5999999996</v>
          </cell>
          <cell r="I64">
            <v>137041388.81</v>
          </cell>
          <cell r="J64">
            <v>135508675.34</v>
          </cell>
          <cell r="K64">
            <v>0</v>
          </cell>
          <cell r="L64">
            <v>0</v>
          </cell>
          <cell r="M64">
            <v>135508675.34</v>
          </cell>
          <cell r="T64">
            <v>2203</v>
          </cell>
          <cell r="U64">
            <v>135508675.34</v>
          </cell>
        </row>
        <row r="65">
          <cell r="D65">
            <v>2201</v>
          </cell>
          <cell r="E65" t="str">
            <v>应付票据</v>
          </cell>
          <cell r="F65">
            <v>85000</v>
          </cell>
          <cell r="G65">
            <v>0</v>
          </cell>
          <cell r="H65">
            <v>0</v>
          </cell>
          <cell r="I65">
            <v>85000</v>
          </cell>
          <cell r="J65">
            <v>31100503.649999999</v>
          </cell>
          <cell r="K65">
            <v>0</v>
          </cell>
          <cell r="L65">
            <v>0</v>
          </cell>
          <cell r="M65">
            <v>31100503.649999999</v>
          </cell>
          <cell r="T65">
            <v>2201</v>
          </cell>
          <cell r="U65">
            <v>31100503.649999999</v>
          </cell>
        </row>
        <row r="66">
          <cell r="D66">
            <v>2202</v>
          </cell>
          <cell r="E66" t="str">
            <v>应付账款</v>
          </cell>
          <cell r="F66">
            <v>145925326.41</v>
          </cell>
          <cell r="G66">
            <v>0</v>
          </cell>
          <cell r="H66">
            <v>-8968937.5999999996</v>
          </cell>
          <cell r="I66">
            <v>136956388.81</v>
          </cell>
          <cell r="J66">
            <v>104408171.69</v>
          </cell>
          <cell r="K66">
            <v>0</v>
          </cell>
          <cell r="L66">
            <v>0</v>
          </cell>
          <cell r="M66">
            <v>104408171.69</v>
          </cell>
          <cell r="T66">
            <v>2202</v>
          </cell>
          <cell r="U66">
            <v>104408171.69</v>
          </cell>
        </row>
        <row r="67">
          <cell r="D67">
            <v>2205</v>
          </cell>
          <cell r="E67" t="str">
            <v>预收款项</v>
          </cell>
          <cell r="F67">
            <v>5525400.3200000003</v>
          </cell>
          <cell r="G67">
            <v>4812573.8</v>
          </cell>
          <cell r="H67">
            <v>39429094.210000001</v>
          </cell>
          <cell r="I67">
            <v>40141920.729999997</v>
          </cell>
          <cell r="J67">
            <v>76412661.299999997</v>
          </cell>
          <cell r="K67">
            <v>0</v>
          </cell>
          <cell r="L67">
            <v>0</v>
          </cell>
          <cell r="M67">
            <v>76412661.299999997</v>
          </cell>
          <cell r="T67">
            <v>2205</v>
          </cell>
          <cell r="U67">
            <v>76412661.299999997</v>
          </cell>
        </row>
        <row r="68">
          <cell r="D68">
            <v>2111</v>
          </cell>
          <cell r="E68" t="str">
            <v>卖出回购金融资产款</v>
          </cell>
          <cell r="F68">
            <v>0</v>
          </cell>
          <cell r="G68">
            <v>0</v>
          </cell>
          <cell r="H68">
            <v>0</v>
          </cell>
          <cell r="I68">
            <v>0</v>
          </cell>
          <cell r="J68">
            <v>0</v>
          </cell>
          <cell r="K68">
            <v>0</v>
          </cell>
          <cell r="L68">
            <v>0</v>
          </cell>
          <cell r="M68">
            <v>0</v>
          </cell>
          <cell r="T68">
            <v>2111</v>
          </cell>
          <cell r="U68">
            <v>0</v>
          </cell>
        </row>
        <row r="69">
          <cell r="D69">
            <v>2240</v>
          </cell>
          <cell r="E69" t="str">
            <v>应付手续费及佣金</v>
          </cell>
          <cell r="F69">
            <v>0</v>
          </cell>
          <cell r="G69">
            <v>0</v>
          </cell>
          <cell r="H69">
            <v>0</v>
          </cell>
          <cell r="I69">
            <v>0</v>
          </cell>
          <cell r="J69">
            <v>0</v>
          </cell>
          <cell r="K69">
            <v>0</v>
          </cell>
          <cell r="L69">
            <v>0</v>
          </cell>
          <cell r="M69">
            <v>0</v>
          </cell>
          <cell r="T69">
            <v>2240</v>
          </cell>
          <cell r="U69">
            <v>0</v>
          </cell>
        </row>
        <row r="70">
          <cell r="D70">
            <v>2211</v>
          </cell>
          <cell r="E70" t="str">
            <v>应付职工薪酬</v>
          </cell>
          <cell r="F70">
            <v>3786648.75</v>
          </cell>
          <cell r="G70">
            <v>649372.15</v>
          </cell>
          <cell r="H70">
            <v>1121214.48</v>
          </cell>
          <cell r="I70">
            <v>4258491.08</v>
          </cell>
          <cell r="J70">
            <v>5812418.4900000002</v>
          </cell>
          <cell r="K70">
            <v>0</v>
          </cell>
          <cell r="L70">
            <v>0</v>
          </cell>
          <cell r="M70">
            <v>5812418.4900000002</v>
          </cell>
          <cell r="T70">
            <v>2211</v>
          </cell>
          <cell r="U70">
            <v>5812418.4900000002</v>
          </cell>
        </row>
        <row r="71">
          <cell r="D71">
            <v>2221</v>
          </cell>
          <cell r="E71" t="str">
            <v>应交税费</v>
          </cell>
          <cell r="F71">
            <v>10916151.369999999</v>
          </cell>
          <cell r="G71">
            <v>519020.79999999999</v>
          </cell>
          <cell r="H71">
            <v>-654247.65</v>
          </cell>
          <cell r="I71">
            <v>9742882.9199999999</v>
          </cell>
          <cell r="J71">
            <v>1058526.48</v>
          </cell>
          <cell r="K71">
            <v>0</v>
          </cell>
          <cell r="L71">
            <v>0</v>
          </cell>
          <cell r="M71">
            <v>1058526.48</v>
          </cell>
          <cell r="T71">
            <v>2221</v>
          </cell>
          <cell r="U71">
            <v>1058526.48</v>
          </cell>
        </row>
        <row r="72">
          <cell r="D72">
            <v>2246</v>
          </cell>
          <cell r="E72" t="str">
            <v>其他应付款（报表项目）</v>
          </cell>
          <cell r="F72">
            <v>2283060.54</v>
          </cell>
          <cell r="G72">
            <v>237400</v>
          </cell>
          <cell r="H72">
            <v>9636025.7599999998</v>
          </cell>
          <cell r="I72">
            <v>11681686.300000001</v>
          </cell>
          <cell r="J72">
            <v>19856404.300000001</v>
          </cell>
          <cell r="K72">
            <v>0</v>
          </cell>
          <cell r="L72">
            <v>0</v>
          </cell>
          <cell r="M72">
            <v>19856404.300000001</v>
          </cell>
          <cell r="T72">
            <v>2246</v>
          </cell>
          <cell r="U72">
            <v>19856404.300000001</v>
          </cell>
        </row>
        <row r="73">
          <cell r="D73">
            <v>2231</v>
          </cell>
          <cell r="E73" t="str">
            <v>应付利息</v>
          </cell>
          <cell r="F73">
            <v>1425000</v>
          </cell>
          <cell r="G73">
            <v>0</v>
          </cell>
          <cell r="H73">
            <v>600243.81000000006</v>
          </cell>
          <cell r="I73">
            <v>2025243.81</v>
          </cell>
          <cell r="J73">
            <v>564620.09</v>
          </cell>
          <cell r="K73">
            <v>0</v>
          </cell>
          <cell r="L73">
            <v>0</v>
          </cell>
          <cell r="M73">
            <v>564620.09</v>
          </cell>
          <cell r="T73">
            <v>2231</v>
          </cell>
          <cell r="U73">
            <v>564620.09</v>
          </cell>
        </row>
        <row r="74">
          <cell r="D74">
            <v>2232</v>
          </cell>
          <cell r="E74" t="str">
            <v>应付股利</v>
          </cell>
          <cell r="F74">
            <v>0</v>
          </cell>
          <cell r="G74">
            <v>0</v>
          </cell>
          <cell r="H74">
            <v>0</v>
          </cell>
          <cell r="I74">
            <v>0</v>
          </cell>
          <cell r="J74">
            <v>0</v>
          </cell>
          <cell r="K74">
            <v>0</v>
          </cell>
          <cell r="L74">
            <v>0</v>
          </cell>
          <cell r="M74">
            <v>0</v>
          </cell>
          <cell r="T74">
            <v>2232</v>
          </cell>
          <cell r="U74">
            <v>0</v>
          </cell>
        </row>
        <row r="75">
          <cell r="D75">
            <v>2241</v>
          </cell>
          <cell r="E75" t="str">
            <v>其他应付款</v>
          </cell>
          <cell r="F75">
            <v>858060.54</v>
          </cell>
          <cell r="G75">
            <v>237400</v>
          </cell>
          <cell r="H75">
            <v>9035781.9499999993</v>
          </cell>
          <cell r="I75">
            <v>9656442.4900000002</v>
          </cell>
          <cell r="J75">
            <v>19291784.210000001</v>
          </cell>
          <cell r="K75">
            <v>0</v>
          </cell>
          <cell r="L75">
            <v>0</v>
          </cell>
          <cell r="M75">
            <v>19291784.210000001</v>
          </cell>
          <cell r="T75">
            <v>2241</v>
          </cell>
          <cell r="U75">
            <v>19291784.210000001</v>
          </cell>
        </row>
        <row r="76">
          <cell r="D76">
            <v>2261</v>
          </cell>
          <cell r="E76" t="str">
            <v>应付分保账款</v>
          </cell>
          <cell r="F76">
            <v>0</v>
          </cell>
          <cell r="G76">
            <v>0</v>
          </cell>
          <cell r="H76">
            <v>0</v>
          </cell>
          <cell r="I76">
            <v>0</v>
          </cell>
          <cell r="J76">
            <v>0</v>
          </cell>
          <cell r="K76">
            <v>0</v>
          </cell>
          <cell r="L76">
            <v>0</v>
          </cell>
          <cell r="M76">
            <v>0</v>
          </cell>
          <cell r="T76">
            <v>2261</v>
          </cell>
          <cell r="U76">
            <v>0</v>
          </cell>
        </row>
        <row r="77">
          <cell r="D77">
            <v>2310</v>
          </cell>
          <cell r="E77" t="str">
            <v>保险合同准备金</v>
          </cell>
          <cell r="F77">
            <v>0</v>
          </cell>
          <cell r="G77">
            <v>0</v>
          </cell>
          <cell r="H77">
            <v>0</v>
          </cell>
          <cell r="I77">
            <v>0</v>
          </cell>
          <cell r="J77">
            <v>0</v>
          </cell>
          <cell r="K77">
            <v>0</v>
          </cell>
          <cell r="L77">
            <v>0</v>
          </cell>
          <cell r="M77">
            <v>0</v>
          </cell>
          <cell r="T77">
            <v>2310</v>
          </cell>
          <cell r="U77">
            <v>0</v>
          </cell>
        </row>
        <row r="78">
          <cell r="D78">
            <v>2311</v>
          </cell>
          <cell r="E78" t="str">
            <v>代理买卖证券款</v>
          </cell>
          <cell r="F78">
            <v>0</v>
          </cell>
          <cell r="G78">
            <v>0</v>
          </cell>
          <cell r="H78">
            <v>0</v>
          </cell>
          <cell r="I78">
            <v>0</v>
          </cell>
          <cell r="J78">
            <v>0</v>
          </cell>
          <cell r="K78">
            <v>0</v>
          </cell>
          <cell r="L78">
            <v>0</v>
          </cell>
          <cell r="M78">
            <v>0</v>
          </cell>
          <cell r="T78">
            <v>2311</v>
          </cell>
          <cell r="U78">
            <v>0</v>
          </cell>
        </row>
        <row r="79">
          <cell r="D79">
            <v>2312</v>
          </cell>
          <cell r="E79" t="str">
            <v>代理承销证券款</v>
          </cell>
          <cell r="F79">
            <v>0</v>
          </cell>
          <cell r="G79">
            <v>0</v>
          </cell>
          <cell r="H79">
            <v>0</v>
          </cell>
          <cell r="I79">
            <v>0</v>
          </cell>
          <cell r="J79">
            <v>0</v>
          </cell>
          <cell r="K79">
            <v>0</v>
          </cell>
          <cell r="L79">
            <v>0</v>
          </cell>
          <cell r="M79">
            <v>0</v>
          </cell>
          <cell r="T79">
            <v>2312</v>
          </cell>
          <cell r="U79">
            <v>0</v>
          </cell>
        </row>
        <row r="80">
          <cell r="D80">
            <v>2315</v>
          </cell>
          <cell r="E80" t="str">
            <v>持有待售负债</v>
          </cell>
          <cell r="F80">
            <v>0</v>
          </cell>
          <cell r="G80">
            <v>0</v>
          </cell>
          <cell r="H80">
            <v>0</v>
          </cell>
          <cell r="I80">
            <v>0</v>
          </cell>
          <cell r="J80">
            <v>0</v>
          </cell>
          <cell r="K80">
            <v>0</v>
          </cell>
          <cell r="L80">
            <v>0</v>
          </cell>
          <cell r="M80">
            <v>0</v>
          </cell>
          <cell r="T80">
            <v>2315</v>
          </cell>
          <cell r="U80">
            <v>0</v>
          </cell>
        </row>
        <row r="81">
          <cell r="D81">
            <v>2395</v>
          </cell>
          <cell r="E81" t="str">
            <v>一年内到期的非流动负债</v>
          </cell>
          <cell r="F81">
            <v>0</v>
          </cell>
          <cell r="G81">
            <v>0</v>
          </cell>
          <cell r="H81">
            <v>20300000</v>
          </cell>
          <cell r="I81">
            <v>20300000</v>
          </cell>
          <cell r="J81">
            <v>20000000</v>
          </cell>
          <cell r="K81">
            <v>0</v>
          </cell>
          <cell r="L81">
            <v>0</v>
          </cell>
          <cell r="M81">
            <v>20000000</v>
          </cell>
          <cell r="T81">
            <v>2395</v>
          </cell>
          <cell r="U81">
            <v>20000000</v>
          </cell>
        </row>
        <row r="82">
          <cell r="D82">
            <v>2396</v>
          </cell>
          <cell r="E82" t="str">
            <v>其他流动负债</v>
          </cell>
          <cell r="F82">
            <v>0</v>
          </cell>
          <cell r="G82">
            <v>0</v>
          </cell>
          <cell r="H82">
            <v>0</v>
          </cell>
          <cell r="I82">
            <v>0</v>
          </cell>
          <cell r="J82">
            <v>0</v>
          </cell>
          <cell r="K82">
            <v>0</v>
          </cell>
          <cell r="L82">
            <v>0</v>
          </cell>
          <cell r="M82">
            <v>0</v>
          </cell>
          <cell r="T82">
            <v>2396</v>
          </cell>
          <cell r="U82">
            <v>0</v>
          </cell>
        </row>
        <row r="83">
          <cell r="D83">
            <v>2498</v>
          </cell>
          <cell r="E83" t="str">
            <v>流动负债</v>
          </cell>
          <cell r="F83">
            <v>260180008.5</v>
          </cell>
          <cell r="G83">
            <v>6218366.75</v>
          </cell>
          <cell r="H83">
            <v>60863149.200000003</v>
          </cell>
          <cell r="I83">
            <v>314824790.94999999</v>
          </cell>
          <cell r="J83">
            <v>330387107.01999998</v>
          </cell>
          <cell r="K83">
            <v>0</v>
          </cell>
          <cell r="L83">
            <v>0</v>
          </cell>
          <cell r="M83">
            <v>330387107.01999998</v>
          </cell>
          <cell r="T83">
            <v>2498</v>
          </cell>
          <cell r="U83">
            <v>330387107.01999998</v>
          </cell>
        </row>
        <row r="84">
          <cell r="D84">
            <v>2500</v>
          </cell>
          <cell r="E84" t="str">
            <v>非流动负债项目</v>
          </cell>
          <cell r="F84">
            <v>0</v>
          </cell>
          <cell r="G84">
            <v>0</v>
          </cell>
          <cell r="H84">
            <v>0</v>
          </cell>
          <cell r="J84">
            <v>0</v>
          </cell>
          <cell r="K84">
            <v>0</v>
          </cell>
          <cell r="L84">
            <v>0</v>
          </cell>
          <cell r="M84">
            <v>0</v>
          </cell>
          <cell r="T84">
            <v>2500</v>
          </cell>
        </row>
        <row r="85">
          <cell r="D85">
            <v>2501</v>
          </cell>
          <cell r="E85" t="str">
            <v>长期借款</v>
          </cell>
          <cell r="F85">
            <v>0</v>
          </cell>
          <cell r="G85">
            <v>0</v>
          </cell>
          <cell r="H85">
            <v>0</v>
          </cell>
          <cell r="I85">
            <v>0</v>
          </cell>
          <cell r="J85">
            <v>0</v>
          </cell>
          <cell r="K85">
            <v>0</v>
          </cell>
          <cell r="L85">
            <v>0</v>
          </cell>
          <cell r="M85">
            <v>0</v>
          </cell>
          <cell r="T85">
            <v>2501</v>
          </cell>
          <cell r="U85">
            <v>0</v>
          </cell>
        </row>
        <row r="86">
          <cell r="D86">
            <v>2502</v>
          </cell>
          <cell r="E86" t="str">
            <v>应付债券</v>
          </cell>
          <cell r="F86">
            <v>49420045.649999999</v>
          </cell>
          <cell r="G86">
            <v>20300000</v>
          </cell>
          <cell r="H86">
            <v>410678.84</v>
          </cell>
          <cell r="I86">
            <v>29530724.489999998</v>
          </cell>
          <cell r="J86">
            <v>29257436.73</v>
          </cell>
          <cell r="K86">
            <v>0</v>
          </cell>
          <cell r="L86">
            <v>0</v>
          </cell>
          <cell r="M86">
            <v>29257436.73</v>
          </cell>
          <cell r="T86">
            <v>2502</v>
          </cell>
          <cell r="U86">
            <v>29257436.73</v>
          </cell>
        </row>
        <row r="87">
          <cell r="D87">
            <v>2502.11</v>
          </cell>
          <cell r="E87" t="str">
            <v>应付债券_优先股</v>
          </cell>
          <cell r="F87">
            <v>0</v>
          </cell>
          <cell r="G87">
            <v>0</v>
          </cell>
          <cell r="H87">
            <v>0</v>
          </cell>
          <cell r="I87">
            <v>0</v>
          </cell>
          <cell r="J87">
            <v>0</v>
          </cell>
          <cell r="K87">
            <v>0</v>
          </cell>
          <cell r="L87">
            <v>0</v>
          </cell>
          <cell r="M87">
            <v>0</v>
          </cell>
          <cell r="T87">
            <v>2502.11</v>
          </cell>
          <cell r="U87">
            <v>0</v>
          </cell>
        </row>
        <row r="88">
          <cell r="D88">
            <v>2502.31</v>
          </cell>
          <cell r="E88" t="str">
            <v>应付债券_永续债</v>
          </cell>
          <cell r="F88">
            <v>0</v>
          </cell>
          <cell r="G88">
            <v>0</v>
          </cell>
          <cell r="H88">
            <v>0</v>
          </cell>
          <cell r="I88">
            <v>0</v>
          </cell>
          <cell r="J88">
            <v>0</v>
          </cell>
          <cell r="K88">
            <v>0</v>
          </cell>
          <cell r="L88">
            <v>0</v>
          </cell>
          <cell r="M88">
            <v>0</v>
          </cell>
          <cell r="T88">
            <v>2502.31</v>
          </cell>
          <cell r="U88">
            <v>0</v>
          </cell>
        </row>
        <row r="89">
          <cell r="D89">
            <v>2706</v>
          </cell>
          <cell r="E89" t="str">
            <v>长期应付款（报表项目）</v>
          </cell>
          <cell r="F89">
            <v>0</v>
          </cell>
          <cell r="G89">
            <v>0</v>
          </cell>
          <cell r="H89">
            <v>0</v>
          </cell>
          <cell r="I89">
            <v>0</v>
          </cell>
          <cell r="J89">
            <v>0</v>
          </cell>
          <cell r="K89">
            <v>0</v>
          </cell>
          <cell r="L89">
            <v>0</v>
          </cell>
          <cell r="M89">
            <v>0</v>
          </cell>
          <cell r="T89">
            <v>2706</v>
          </cell>
          <cell r="U89">
            <v>0</v>
          </cell>
        </row>
        <row r="90">
          <cell r="D90">
            <v>2701</v>
          </cell>
          <cell r="E90" t="str">
            <v>长期应付款</v>
          </cell>
          <cell r="F90">
            <v>0</v>
          </cell>
          <cell r="G90">
            <v>0</v>
          </cell>
          <cell r="H90">
            <v>0</v>
          </cell>
          <cell r="I90">
            <v>0</v>
          </cell>
          <cell r="J90">
            <v>0</v>
          </cell>
          <cell r="K90">
            <v>0</v>
          </cell>
          <cell r="L90">
            <v>0</v>
          </cell>
          <cell r="M90">
            <v>0</v>
          </cell>
          <cell r="T90">
            <v>2701</v>
          </cell>
          <cell r="U90">
            <v>0</v>
          </cell>
        </row>
        <row r="91">
          <cell r="D91">
            <v>2711</v>
          </cell>
          <cell r="E91" t="str">
            <v>专项应付款</v>
          </cell>
          <cell r="F91">
            <v>0</v>
          </cell>
          <cell r="G91">
            <v>0</v>
          </cell>
          <cell r="H91">
            <v>0</v>
          </cell>
          <cell r="I91">
            <v>0</v>
          </cell>
          <cell r="J91">
            <v>0</v>
          </cell>
          <cell r="K91">
            <v>0</v>
          </cell>
          <cell r="L91">
            <v>0</v>
          </cell>
          <cell r="M91">
            <v>0</v>
          </cell>
          <cell r="T91">
            <v>2711</v>
          </cell>
          <cell r="U91">
            <v>0</v>
          </cell>
        </row>
        <row r="92">
          <cell r="D92">
            <v>2715</v>
          </cell>
          <cell r="E92" t="str">
            <v>长期应付职工薪酬</v>
          </cell>
          <cell r="F92">
            <v>0</v>
          </cell>
          <cell r="G92">
            <v>0</v>
          </cell>
          <cell r="H92">
            <v>0</v>
          </cell>
          <cell r="I92">
            <v>0</v>
          </cell>
          <cell r="J92">
            <v>0</v>
          </cell>
          <cell r="K92">
            <v>0</v>
          </cell>
          <cell r="L92">
            <v>0</v>
          </cell>
          <cell r="M92">
            <v>0</v>
          </cell>
          <cell r="T92">
            <v>2715</v>
          </cell>
          <cell r="U92">
            <v>0</v>
          </cell>
        </row>
        <row r="93">
          <cell r="D93">
            <v>2801</v>
          </cell>
          <cell r="E93" t="str">
            <v>预计负债</v>
          </cell>
          <cell r="F93">
            <v>4332969.62</v>
          </cell>
          <cell r="G93">
            <v>0</v>
          </cell>
          <cell r="H93">
            <v>1342575.97</v>
          </cell>
          <cell r="I93">
            <v>5675545.5899999999</v>
          </cell>
          <cell r="J93">
            <v>4832036.87</v>
          </cell>
          <cell r="K93">
            <v>0</v>
          </cell>
          <cell r="L93">
            <v>0</v>
          </cell>
          <cell r="M93">
            <v>4832036.87</v>
          </cell>
          <cell r="T93">
            <v>2801</v>
          </cell>
          <cell r="U93">
            <v>4832036.87</v>
          </cell>
        </row>
        <row r="94">
          <cell r="D94">
            <v>2401</v>
          </cell>
          <cell r="E94" t="str">
            <v>递延收益</v>
          </cell>
          <cell r="F94">
            <v>0</v>
          </cell>
          <cell r="G94">
            <v>-1132500</v>
          </cell>
          <cell r="H94">
            <v>-1132500</v>
          </cell>
          <cell r="I94">
            <v>0</v>
          </cell>
          <cell r="J94">
            <v>0</v>
          </cell>
          <cell r="K94">
            <v>0</v>
          </cell>
          <cell r="L94">
            <v>0</v>
          </cell>
          <cell r="M94">
            <v>0</v>
          </cell>
          <cell r="T94">
            <v>2401</v>
          </cell>
          <cell r="U94">
            <v>0</v>
          </cell>
        </row>
        <row r="95">
          <cell r="D95">
            <v>2901</v>
          </cell>
          <cell r="E95" t="str">
            <v>递延所得税负债</v>
          </cell>
          <cell r="F95">
            <v>0</v>
          </cell>
          <cell r="G95">
            <v>0</v>
          </cell>
          <cell r="H95">
            <v>0</v>
          </cell>
          <cell r="I95">
            <v>0</v>
          </cell>
          <cell r="J95">
            <v>0</v>
          </cell>
          <cell r="K95">
            <v>0</v>
          </cell>
          <cell r="L95">
            <v>0</v>
          </cell>
          <cell r="M95">
            <v>0</v>
          </cell>
          <cell r="T95">
            <v>2901</v>
          </cell>
          <cell r="U95">
            <v>0</v>
          </cell>
        </row>
        <row r="96">
          <cell r="D96">
            <v>2996</v>
          </cell>
          <cell r="E96" t="str">
            <v>其他非流动负债</v>
          </cell>
          <cell r="F96">
            <v>0</v>
          </cell>
          <cell r="G96">
            <v>0</v>
          </cell>
          <cell r="H96">
            <v>0</v>
          </cell>
          <cell r="I96">
            <v>0</v>
          </cell>
          <cell r="J96">
            <v>0</v>
          </cell>
          <cell r="K96">
            <v>0</v>
          </cell>
          <cell r="L96">
            <v>0</v>
          </cell>
          <cell r="M96">
            <v>0</v>
          </cell>
          <cell r="T96">
            <v>2996</v>
          </cell>
          <cell r="U96">
            <v>0</v>
          </cell>
        </row>
        <row r="97">
          <cell r="D97">
            <v>2998</v>
          </cell>
          <cell r="E97" t="str">
            <v>非流动负债</v>
          </cell>
          <cell r="F97">
            <v>53753015.270000003</v>
          </cell>
          <cell r="G97">
            <v>19167500</v>
          </cell>
          <cell r="H97">
            <v>620754.81000000006</v>
          </cell>
          <cell r="I97">
            <v>35206270.079999998</v>
          </cell>
          <cell r="J97">
            <v>34089473.600000001</v>
          </cell>
          <cell r="K97">
            <v>0</v>
          </cell>
          <cell r="L97">
            <v>0</v>
          </cell>
          <cell r="M97">
            <v>34089473.600000001</v>
          </cell>
          <cell r="T97">
            <v>2998</v>
          </cell>
          <cell r="U97">
            <v>34089473.600000001</v>
          </cell>
        </row>
        <row r="98">
          <cell r="D98">
            <v>2999</v>
          </cell>
          <cell r="E98" t="str">
            <v>负债</v>
          </cell>
          <cell r="F98">
            <v>313933023.76999998</v>
          </cell>
          <cell r="G98">
            <v>25385866.75</v>
          </cell>
          <cell r="H98">
            <v>61483904.009999998</v>
          </cell>
          <cell r="I98">
            <v>350031061.02999997</v>
          </cell>
          <cell r="J98">
            <v>364476580.62</v>
          </cell>
          <cell r="K98">
            <v>0</v>
          </cell>
          <cell r="L98">
            <v>0</v>
          </cell>
          <cell r="M98">
            <v>364476580.62</v>
          </cell>
          <cell r="T98">
            <v>2999</v>
          </cell>
          <cell r="U98">
            <v>364476580.62</v>
          </cell>
        </row>
        <row r="99">
          <cell r="D99">
            <v>4000</v>
          </cell>
          <cell r="E99" t="str">
            <v>所有者权益项目</v>
          </cell>
          <cell r="F99">
            <v>0</v>
          </cell>
          <cell r="G99">
            <v>0</v>
          </cell>
          <cell r="H99">
            <v>0</v>
          </cell>
          <cell r="J99">
            <v>0</v>
          </cell>
          <cell r="K99">
            <v>0</v>
          </cell>
          <cell r="L99">
            <v>0</v>
          </cell>
          <cell r="M99">
            <v>0</v>
          </cell>
          <cell r="T99">
            <v>4000</v>
          </cell>
        </row>
        <row r="100">
          <cell r="D100">
            <v>4001</v>
          </cell>
          <cell r="E100" t="str">
            <v>实收资本</v>
          </cell>
          <cell r="F100">
            <v>389015152</v>
          </cell>
          <cell r="G100">
            <v>0</v>
          </cell>
          <cell r="H100">
            <v>0</v>
          </cell>
          <cell r="I100">
            <v>389015152</v>
          </cell>
          <cell r="J100">
            <v>389015152</v>
          </cell>
          <cell r="K100">
            <v>0</v>
          </cell>
          <cell r="L100">
            <v>0</v>
          </cell>
          <cell r="M100">
            <v>389015152</v>
          </cell>
          <cell r="T100">
            <v>4001</v>
          </cell>
          <cell r="U100">
            <v>389015152</v>
          </cell>
        </row>
        <row r="101">
          <cell r="D101">
            <v>4015</v>
          </cell>
          <cell r="E101" t="str">
            <v>其他权益工具</v>
          </cell>
          <cell r="F101">
            <v>0</v>
          </cell>
          <cell r="G101">
            <v>0</v>
          </cell>
          <cell r="H101">
            <v>0</v>
          </cell>
          <cell r="I101">
            <v>0</v>
          </cell>
          <cell r="J101">
            <v>0</v>
          </cell>
          <cell r="K101">
            <v>0</v>
          </cell>
          <cell r="L101">
            <v>0</v>
          </cell>
          <cell r="M101">
            <v>0</v>
          </cell>
          <cell r="T101">
            <v>4015</v>
          </cell>
          <cell r="U101">
            <v>0</v>
          </cell>
        </row>
        <row r="102">
          <cell r="D102">
            <v>4015.11</v>
          </cell>
          <cell r="E102" t="str">
            <v>其他权益工具_优先股</v>
          </cell>
          <cell r="F102">
            <v>0</v>
          </cell>
          <cell r="G102">
            <v>0</v>
          </cell>
          <cell r="H102">
            <v>0</v>
          </cell>
          <cell r="I102">
            <v>0</v>
          </cell>
          <cell r="J102">
            <v>0</v>
          </cell>
          <cell r="K102">
            <v>0</v>
          </cell>
          <cell r="L102">
            <v>0</v>
          </cell>
          <cell r="M102">
            <v>0</v>
          </cell>
          <cell r="T102">
            <v>4015.11</v>
          </cell>
          <cell r="U102">
            <v>0</v>
          </cell>
        </row>
        <row r="103">
          <cell r="D103">
            <v>4015.31</v>
          </cell>
          <cell r="E103" t="str">
            <v>其他权益工具_永续债</v>
          </cell>
          <cell r="F103">
            <v>0</v>
          </cell>
          <cell r="G103">
            <v>0</v>
          </cell>
          <cell r="H103">
            <v>0</v>
          </cell>
          <cell r="I103">
            <v>0</v>
          </cell>
          <cell r="J103">
            <v>0</v>
          </cell>
          <cell r="K103">
            <v>0</v>
          </cell>
          <cell r="L103">
            <v>0</v>
          </cell>
          <cell r="M103">
            <v>0</v>
          </cell>
          <cell r="T103">
            <v>4015.31</v>
          </cell>
          <cell r="U103">
            <v>0</v>
          </cell>
        </row>
        <row r="104">
          <cell r="D104">
            <v>4002</v>
          </cell>
          <cell r="E104" t="str">
            <v>资本公积</v>
          </cell>
          <cell r="F104">
            <v>60861923.009999998</v>
          </cell>
          <cell r="G104">
            <v>1000000</v>
          </cell>
          <cell r="H104">
            <v>1113000</v>
          </cell>
          <cell r="I104">
            <v>60974923.009999998</v>
          </cell>
          <cell r="J104">
            <v>60861923.009999998</v>
          </cell>
          <cell r="K104">
            <v>0</v>
          </cell>
          <cell r="L104">
            <v>0</v>
          </cell>
          <cell r="M104">
            <v>60861923.009999998</v>
          </cell>
          <cell r="T104">
            <v>4002</v>
          </cell>
          <cell r="U104">
            <v>60861923.009999998</v>
          </cell>
        </row>
        <row r="105">
          <cell r="D105">
            <v>4201</v>
          </cell>
          <cell r="E105" t="str">
            <v>库存股</v>
          </cell>
          <cell r="F105">
            <v>0</v>
          </cell>
          <cell r="G105">
            <v>0</v>
          </cell>
          <cell r="H105">
            <v>0</v>
          </cell>
          <cell r="I105">
            <v>0</v>
          </cell>
          <cell r="J105">
            <v>0</v>
          </cell>
          <cell r="K105">
            <v>0</v>
          </cell>
          <cell r="L105">
            <v>0</v>
          </cell>
          <cell r="M105">
            <v>0</v>
          </cell>
          <cell r="T105">
            <v>4201</v>
          </cell>
          <cell r="U105">
            <v>0</v>
          </cell>
        </row>
        <row r="106">
          <cell r="D106">
            <v>4215</v>
          </cell>
          <cell r="E106" t="str">
            <v>其他综合收益</v>
          </cell>
          <cell r="F106">
            <v>0</v>
          </cell>
          <cell r="G106">
            <v>0</v>
          </cell>
          <cell r="H106">
            <v>0</v>
          </cell>
          <cell r="I106">
            <v>0</v>
          </cell>
          <cell r="J106">
            <v>0</v>
          </cell>
          <cell r="K106">
            <v>0</v>
          </cell>
          <cell r="L106">
            <v>0</v>
          </cell>
          <cell r="M106">
            <v>0</v>
          </cell>
          <cell r="T106">
            <v>4215</v>
          </cell>
          <cell r="U106">
            <v>0</v>
          </cell>
        </row>
        <row r="107">
          <cell r="D107">
            <v>4301</v>
          </cell>
          <cell r="E107" t="str">
            <v>专项储备</v>
          </cell>
          <cell r="F107">
            <v>7802112.5599999996</v>
          </cell>
          <cell r="G107">
            <v>191233.61</v>
          </cell>
          <cell r="H107">
            <v>335836.87</v>
          </cell>
          <cell r="I107">
            <v>7946715.8200000003</v>
          </cell>
          <cell r="J107">
            <v>7110471.5599999996</v>
          </cell>
          <cell r="K107">
            <v>0</v>
          </cell>
          <cell r="L107">
            <v>0</v>
          </cell>
          <cell r="M107">
            <v>7110471.5599999996</v>
          </cell>
          <cell r="T107">
            <v>4301</v>
          </cell>
          <cell r="U107">
            <v>7110471.5599999996</v>
          </cell>
        </row>
        <row r="108">
          <cell r="D108">
            <v>4101</v>
          </cell>
          <cell r="E108" t="str">
            <v>盈余公积</v>
          </cell>
          <cell r="F108">
            <v>16796197.280000001</v>
          </cell>
          <cell r="G108">
            <v>1252865.45</v>
          </cell>
          <cell r="H108">
            <v>3130977.51</v>
          </cell>
          <cell r="I108">
            <v>18674309.34</v>
          </cell>
          <cell r="J108">
            <v>16344164.109999999</v>
          </cell>
          <cell r="K108">
            <v>0</v>
          </cell>
          <cell r="L108">
            <v>0</v>
          </cell>
          <cell r="M108">
            <v>16344164.109999999</v>
          </cell>
          <cell r="T108">
            <v>4101</v>
          </cell>
          <cell r="U108">
            <v>16344164.109999999</v>
          </cell>
        </row>
        <row r="109">
          <cell r="D109">
            <v>4102</v>
          </cell>
          <cell r="E109" t="str">
            <v>一般风险准备</v>
          </cell>
          <cell r="F109">
            <v>0</v>
          </cell>
          <cell r="G109">
            <v>0</v>
          </cell>
          <cell r="H109">
            <v>0</v>
          </cell>
          <cell r="I109">
            <v>0</v>
          </cell>
          <cell r="J109">
            <v>0</v>
          </cell>
          <cell r="K109">
            <v>0</v>
          </cell>
          <cell r="L109">
            <v>0</v>
          </cell>
          <cell r="M109">
            <v>0</v>
          </cell>
          <cell r="T109">
            <v>4102</v>
          </cell>
          <cell r="U109">
            <v>0</v>
          </cell>
        </row>
        <row r="110">
          <cell r="D110">
            <v>4200</v>
          </cell>
          <cell r="E110" t="str">
            <v>未分配利润</v>
          </cell>
          <cell r="F110">
            <v>132875203.33</v>
          </cell>
          <cell r="G110">
            <v>98710131.840000004</v>
          </cell>
          <cell r="H110">
            <v>49819515.710000001</v>
          </cell>
          <cell r="I110">
            <v>83984587.200000003</v>
          </cell>
          <cell r="J110">
            <v>63013280.090000004</v>
          </cell>
          <cell r="K110">
            <v>0</v>
          </cell>
          <cell r="L110">
            <v>0</v>
          </cell>
          <cell r="M110">
            <v>63013280.090000004</v>
          </cell>
          <cell r="T110">
            <v>4200</v>
          </cell>
          <cell r="U110">
            <v>63013280.090000004</v>
          </cell>
        </row>
        <row r="111">
          <cell r="D111">
            <v>4210</v>
          </cell>
          <cell r="E111" t="str">
            <v>外币报表折算差额</v>
          </cell>
          <cell r="I111">
            <v>0</v>
          </cell>
          <cell r="M111">
            <v>0</v>
          </cell>
          <cell r="T111">
            <v>4210</v>
          </cell>
          <cell r="U111">
            <v>0</v>
          </cell>
        </row>
        <row r="112">
          <cell r="D112">
            <v>4298</v>
          </cell>
          <cell r="E112" t="str">
            <v>归属于母公司所有者权益</v>
          </cell>
          <cell r="F112">
            <v>607350588.17999995</v>
          </cell>
          <cell r="G112">
            <v>101154230.90000001</v>
          </cell>
          <cell r="H112">
            <v>54399330.090000004</v>
          </cell>
          <cell r="I112">
            <v>560595687.37</v>
          </cell>
          <cell r="J112">
            <v>536344990.76999998</v>
          </cell>
          <cell r="K112">
            <v>0</v>
          </cell>
          <cell r="L112">
            <v>0</v>
          </cell>
          <cell r="M112">
            <v>536344990.76999998</v>
          </cell>
          <cell r="T112">
            <v>4298</v>
          </cell>
          <cell r="U112">
            <v>536344990.76999998</v>
          </cell>
        </row>
        <row r="113">
          <cell r="D113">
            <v>4398</v>
          </cell>
          <cell r="E113" t="str">
            <v>少数股东权益</v>
          </cell>
          <cell r="F113">
            <v>0</v>
          </cell>
          <cell r="G113">
            <v>0</v>
          </cell>
          <cell r="H113">
            <v>0</v>
          </cell>
          <cell r="I113">
            <v>0</v>
          </cell>
          <cell r="J113">
            <v>0</v>
          </cell>
          <cell r="K113">
            <v>0</v>
          </cell>
          <cell r="L113">
            <v>0</v>
          </cell>
          <cell r="M113">
            <v>0</v>
          </cell>
          <cell r="T113">
            <v>4398</v>
          </cell>
          <cell r="U113">
            <v>0</v>
          </cell>
        </row>
        <row r="114">
          <cell r="D114">
            <v>4999</v>
          </cell>
          <cell r="E114" t="str">
            <v>所有者权益</v>
          </cell>
          <cell r="F114">
            <v>607350588.17999995</v>
          </cell>
          <cell r="G114">
            <v>101154230.90000001</v>
          </cell>
          <cell r="H114">
            <v>54399330.090000004</v>
          </cell>
          <cell r="I114">
            <v>560595687.37</v>
          </cell>
          <cell r="J114">
            <v>536344990.76999998</v>
          </cell>
          <cell r="K114">
            <v>0</v>
          </cell>
          <cell r="L114">
            <v>0</v>
          </cell>
          <cell r="M114">
            <v>536344990.76999998</v>
          </cell>
          <cell r="T114">
            <v>4999</v>
          </cell>
          <cell r="U114">
            <v>536344990.76999998</v>
          </cell>
        </row>
        <row r="115">
          <cell r="D115">
            <v>5000</v>
          </cell>
          <cell r="E115" t="str">
            <v>负债和所有者权益</v>
          </cell>
          <cell r="F115">
            <v>921283611.95000005</v>
          </cell>
          <cell r="G115">
            <v>126540097.65000001</v>
          </cell>
          <cell r="H115">
            <v>115883234.09999999</v>
          </cell>
          <cell r="I115">
            <v>910626748.39999998</v>
          </cell>
          <cell r="J115">
            <v>900821571.38999999</v>
          </cell>
          <cell r="K115">
            <v>0</v>
          </cell>
          <cell r="L115">
            <v>0</v>
          </cell>
          <cell r="M115">
            <v>900821571.38999999</v>
          </cell>
          <cell r="T115">
            <v>5000</v>
          </cell>
          <cell r="U115">
            <v>900821571.38999999</v>
          </cell>
        </row>
        <row r="116">
          <cell r="D116">
            <v>6</v>
          </cell>
          <cell r="E116" t="str">
            <v>利润表</v>
          </cell>
          <cell r="G116">
            <v>0</v>
          </cell>
          <cell r="H116">
            <v>0</v>
          </cell>
          <cell r="K116">
            <v>0</v>
          </cell>
          <cell r="L116">
            <v>0</v>
          </cell>
          <cell r="T116">
            <v>6</v>
          </cell>
        </row>
        <row r="117">
          <cell r="D117">
            <v>6098</v>
          </cell>
          <cell r="E117" t="str">
            <v>营业总收入</v>
          </cell>
          <cell r="F117">
            <v>248687243.24000001</v>
          </cell>
          <cell r="G117">
            <v>0</v>
          </cell>
          <cell r="H117">
            <v>21046900.829999998</v>
          </cell>
          <cell r="I117">
            <v>269734144.06999999</v>
          </cell>
          <cell r="J117">
            <v>386244261.74000001</v>
          </cell>
          <cell r="K117">
            <v>0</v>
          </cell>
          <cell r="L117">
            <v>0</v>
          </cell>
          <cell r="M117">
            <v>386244261.74000001</v>
          </cell>
          <cell r="T117">
            <v>6098</v>
          </cell>
          <cell r="U117">
            <v>386244261.74000001</v>
          </cell>
        </row>
        <row r="118">
          <cell r="D118">
            <v>6001</v>
          </cell>
          <cell r="E118" t="str">
            <v>营业收入</v>
          </cell>
          <cell r="F118">
            <v>248687243.24000001</v>
          </cell>
          <cell r="G118">
            <v>0</v>
          </cell>
          <cell r="H118">
            <v>21046900.829999998</v>
          </cell>
          <cell r="I118">
            <v>269734144.06999999</v>
          </cell>
          <cell r="J118">
            <v>386244261.74000001</v>
          </cell>
          <cell r="K118">
            <v>0</v>
          </cell>
          <cell r="L118">
            <v>0</v>
          </cell>
          <cell r="M118">
            <v>386244261.74000001</v>
          </cell>
          <cell r="T118">
            <v>6001</v>
          </cell>
          <cell r="U118">
            <v>386244261.74000001</v>
          </cell>
        </row>
        <row r="119">
          <cell r="D119">
            <v>6011</v>
          </cell>
          <cell r="E119" t="str">
            <v>利息收入</v>
          </cell>
          <cell r="F119">
            <v>0</v>
          </cell>
          <cell r="G119">
            <v>0</v>
          </cell>
          <cell r="H119">
            <v>0</v>
          </cell>
          <cell r="I119">
            <v>0</v>
          </cell>
          <cell r="J119">
            <v>0</v>
          </cell>
          <cell r="K119">
            <v>0</v>
          </cell>
          <cell r="L119">
            <v>0</v>
          </cell>
          <cell r="M119">
            <v>0</v>
          </cell>
          <cell r="T119">
            <v>6011</v>
          </cell>
          <cell r="U119">
            <v>0</v>
          </cell>
        </row>
        <row r="120">
          <cell r="D120">
            <v>6030</v>
          </cell>
          <cell r="E120" t="str">
            <v>已赚保费</v>
          </cell>
          <cell r="F120">
            <v>0</v>
          </cell>
          <cell r="G120">
            <v>0</v>
          </cell>
          <cell r="H120">
            <v>0</v>
          </cell>
          <cell r="I120">
            <v>0</v>
          </cell>
          <cell r="J120">
            <v>0</v>
          </cell>
          <cell r="K120">
            <v>0</v>
          </cell>
          <cell r="L120">
            <v>0</v>
          </cell>
          <cell r="M120">
            <v>0</v>
          </cell>
          <cell r="T120">
            <v>6030</v>
          </cell>
          <cell r="U120">
            <v>0</v>
          </cell>
        </row>
        <row r="121">
          <cell r="D121">
            <v>6021</v>
          </cell>
          <cell r="E121" t="str">
            <v>手续费及佣金收入</v>
          </cell>
          <cell r="F121">
            <v>0</v>
          </cell>
          <cell r="G121">
            <v>0</v>
          </cell>
          <cell r="H121">
            <v>0</v>
          </cell>
          <cell r="I121">
            <v>0</v>
          </cell>
          <cell r="J121">
            <v>0</v>
          </cell>
          <cell r="K121">
            <v>0</v>
          </cell>
          <cell r="L121">
            <v>0</v>
          </cell>
          <cell r="M121">
            <v>0</v>
          </cell>
          <cell r="T121">
            <v>6021</v>
          </cell>
          <cell r="U121">
            <v>0</v>
          </cell>
        </row>
        <row r="122">
          <cell r="D122">
            <v>6598</v>
          </cell>
          <cell r="E122" t="str">
            <v>营业总成本</v>
          </cell>
          <cell r="F122">
            <v>231725623.22999999</v>
          </cell>
          <cell r="G122">
            <v>26377854.359999999</v>
          </cell>
          <cell r="H122">
            <v>16682028.619999999</v>
          </cell>
          <cell r="I122">
            <v>241421448.97</v>
          </cell>
          <cell r="J122">
            <v>356669659.92000002</v>
          </cell>
          <cell r="K122">
            <v>0</v>
          </cell>
          <cell r="L122">
            <v>0</v>
          </cell>
          <cell r="M122">
            <v>356669659.92000002</v>
          </cell>
          <cell r="T122">
            <v>6598</v>
          </cell>
          <cell r="U122">
            <v>356669659.92000002</v>
          </cell>
        </row>
        <row r="123">
          <cell r="D123">
            <v>6401</v>
          </cell>
          <cell r="E123" t="str">
            <v>营业成本</v>
          </cell>
          <cell r="F123">
            <v>172710893.75</v>
          </cell>
          <cell r="G123">
            <v>9200225.0299999993</v>
          </cell>
          <cell r="H123">
            <v>10237626.869999999</v>
          </cell>
          <cell r="I123">
            <v>171673491.91</v>
          </cell>
          <cell r="J123">
            <v>235826397.56</v>
          </cell>
          <cell r="K123">
            <v>0</v>
          </cell>
          <cell r="L123">
            <v>0</v>
          </cell>
          <cell r="M123">
            <v>235826397.56</v>
          </cell>
          <cell r="T123">
            <v>6401</v>
          </cell>
          <cell r="U123">
            <v>235826397.56</v>
          </cell>
        </row>
        <row r="124">
          <cell r="D124">
            <v>6411</v>
          </cell>
          <cell r="E124" t="str">
            <v>利息支出</v>
          </cell>
          <cell r="F124">
            <v>0</v>
          </cell>
          <cell r="G124">
            <v>0</v>
          </cell>
          <cell r="H124">
            <v>0</v>
          </cell>
          <cell r="I124">
            <v>0</v>
          </cell>
          <cell r="J124">
            <v>0</v>
          </cell>
          <cell r="K124">
            <v>0</v>
          </cell>
          <cell r="L124">
            <v>0</v>
          </cell>
          <cell r="M124">
            <v>0</v>
          </cell>
          <cell r="T124">
            <v>6411</v>
          </cell>
          <cell r="U124">
            <v>0</v>
          </cell>
        </row>
        <row r="125">
          <cell r="D125">
            <v>6421</v>
          </cell>
          <cell r="E125" t="str">
            <v>手续费及佣金支出</v>
          </cell>
          <cell r="F125">
            <v>0</v>
          </cell>
          <cell r="G125">
            <v>0</v>
          </cell>
          <cell r="H125">
            <v>0</v>
          </cell>
          <cell r="I125">
            <v>0</v>
          </cell>
          <cell r="J125">
            <v>0</v>
          </cell>
          <cell r="K125">
            <v>0</v>
          </cell>
          <cell r="L125">
            <v>0</v>
          </cell>
          <cell r="M125">
            <v>0</v>
          </cell>
          <cell r="T125">
            <v>6421</v>
          </cell>
          <cell r="U125">
            <v>0</v>
          </cell>
        </row>
        <row r="126">
          <cell r="D126">
            <v>6531</v>
          </cell>
          <cell r="E126" t="str">
            <v>退保金</v>
          </cell>
          <cell r="F126">
            <v>0</v>
          </cell>
          <cell r="G126">
            <v>0</v>
          </cell>
          <cell r="H126">
            <v>0</v>
          </cell>
          <cell r="I126">
            <v>0</v>
          </cell>
          <cell r="J126">
            <v>0</v>
          </cell>
          <cell r="K126">
            <v>0</v>
          </cell>
          <cell r="L126">
            <v>0</v>
          </cell>
          <cell r="M126">
            <v>0</v>
          </cell>
          <cell r="T126">
            <v>6531</v>
          </cell>
          <cell r="U126">
            <v>0</v>
          </cell>
        </row>
        <row r="127">
          <cell r="D127">
            <v>6510</v>
          </cell>
          <cell r="E127" t="str">
            <v>赔付支出净额</v>
          </cell>
          <cell r="F127">
            <v>0</v>
          </cell>
          <cell r="G127">
            <v>0</v>
          </cell>
          <cell r="H127">
            <v>0</v>
          </cell>
          <cell r="I127">
            <v>0</v>
          </cell>
          <cell r="J127">
            <v>0</v>
          </cell>
          <cell r="K127">
            <v>0</v>
          </cell>
          <cell r="L127">
            <v>0</v>
          </cell>
          <cell r="M127">
            <v>0</v>
          </cell>
          <cell r="T127">
            <v>6510</v>
          </cell>
          <cell r="U127">
            <v>0</v>
          </cell>
        </row>
        <row r="128">
          <cell r="D128">
            <v>6505</v>
          </cell>
          <cell r="E128" t="str">
            <v>提取保险合同准备金净额</v>
          </cell>
          <cell r="F128">
            <v>0</v>
          </cell>
          <cell r="G128">
            <v>0</v>
          </cell>
          <cell r="H128">
            <v>0</v>
          </cell>
          <cell r="I128">
            <v>0</v>
          </cell>
          <cell r="J128">
            <v>0</v>
          </cell>
          <cell r="K128">
            <v>0</v>
          </cell>
          <cell r="L128">
            <v>0</v>
          </cell>
          <cell r="M128">
            <v>0</v>
          </cell>
          <cell r="T128">
            <v>6505</v>
          </cell>
          <cell r="U128">
            <v>0</v>
          </cell>
        </row>
        <row r="129">
          <cell r="D129">
            <v>6521</v>
          </cell>
          <cell r="E129" t="str">
            <v>保单红利支出</v>
          </cell>
          <cell r="F129">
            <v>0</v>
          </cell>
          <cell r="G129">
            <v>0</v>
          </cell>
          <cell r="H129">
            <v>0</v>
          </cell>
          <cell r="I129">
            <v>0</v>
          </cell>
          <cell r="J129">
            <v>0</v>
          </cell>
          <cell r="K129">
            <v>0</v>
          </cell>
          <cell r="L129">
            <v>0</v>
          </cell>
          <cell r="M129">
            <v>0</v>
          </cell>
          <cell r="T129">
            <v>6521</v>
          </cell>
          <cell r="U129">
            <v>0</v>
          </cell>
        </row>
        <row r="130">
          <cell r="D130">
            <v>6542</v>
          </cell>
          <cell r="E130" t="str">
            <v>分保费用</v>
          </cell>
          <cell r="F130">
            <v>0</v>
          </cell>
          <cell r="G130">
            <v>0</v>
          </cell>
          <cell r="H130">
            <v>0</v>
          </cell>
          <cell r="I130">
            <v>0</v>
          </cell>
          <cell r="J130">
            <v>0</v>
          </cell>
          <cell r="K130">
            <v>0</v>
          </cell>
          <cell r="L130">
            <v>0</v>
          </cell>
          <cell r="M130">
            <v>0</v>
          </cell>
          <cell r="T130">
            <v>6542</v>
          </cell>
          <cell r="U130">
            <v>0</v>
          </cell>
        </row>
        <row r="131">
          <cell r="D131">
            <v>6600</v>
          </cell>
          <cell r="E131" t="str">
            <v>税金及附加</v>
          </cell>
          <cell r="F131">
            <v>901832.11</v>
          </cell>
          <cell r="G131">
            <v>0</v>
          </cell>
          <cell r="H131">
            <v>0</v>
          </cell>
          <cell r="I131">
            <v>901832.11</v>
          </cell>
          <cell r="J131">
            <v>1411129.53</v>
          </cell>
          <cell r="K131">
            <v>0</v>
          </cell>
          <cell r="L131">
            <v>0</v>
          </cell>
          <cell r="M131">
            <v>1411129.53</v>
          </cell>
          <cell r="T131">
            <v>6600</v>
          </cell>
          <cell r="U131">
            <v>1411129.53</v>
          </cell>
        </row>
        <row r="132">
          <cell r="D132">
            <v>6601</v>
          </cell>
          <cell r="E132" t="str">
            <v>销售费用</v>
          </cell>
          <cell r="F132">
            <v>23305540.800000001</v>
          </cell>
          <cell r="G132">
            <v>9275905.5099999998</v>
          </cell>
          <cell r="H132">
            <v>3263337.5</v>
          </cell>
          <cell r="I132">
            <v>29318108.809999999</v>
          </cell>
          <cell r="J132">
            <v>54014782.759999998</v>
          </cell>
          <cell r="K132">
            <v>0</v>
          </cell>
          <cell r="L132">
            <v>0</v>
          </cell>
          <cell r="M132">
            <v>54014782.759999998</v>
          </cell>
          <cell r="T132">
            <v>6601</v>
          </cell>
          <cell r="U132">
            <v>54014782.759999998</v>
          </cell>
        </row>
        <row r="133">
          <cell r="D133">
            <v>6602</v>
          </cell>
          <cell r="E133" t="str">
            <v>管理费用</v>
          </cell>
          <cell r="F133">
            <v>26654964.879999999</v>
          </cell>
          <cell r="G133">
            <v>3080563.16</v>
          </cell>
          <cell r="H133">
            <v>3130658.23</v>
          </cell>
          <cell r="I133">
            <v>26604869.809999999</v>
          </cell>
          <cell r="J133">
            <v>49386506.020000003</v>
          </cell>
          <cell r="K133">
            <v>0</v>
          </cell>
          <cell r="L133">
            <v>0</v>
          </cell>
          <cell r="M133">
            <v>49386506.020000003</v>
          </cell>
          <cell r="T133">
            <v>6602</v>
          </cell>
          <cell r="U133">
            <v>49386506.020000003</v>
          </cell>
        </row>
        <row r="134">
          <cell r="D134">
            <v>6606</v>
          </cell>
          <cell r="E134" t="str">
            <v>研发费用</v>
          </cell>
          <cell r="F134">
            <v>0</v>
          </cell>
          <cell r="G134">
            <v>0</v>
          </cell>
          <cell r="H134">
            <v>0</v>
          </cell>
          <cell r="I134">
            <v>0</v>
          </cell>
          <cell r="J134">
            <v>0</v>
          </cell>
          <cell r="K134">
            <v>0</v>
          </cell>
          <cell r="L134">
            <v>0</v>
          </cell>
          <cell r="M134">
            <v>0</v>
          </cell>
          <cell r="T134">
            <v>6606</v>
          </cell>
          <cell r="U134">
            <v>0</v>
          </cell>
        </row>
        <row r="135">
          <cell r="D135">
            <v>6603</v>
          </cell>
          <cell r="E135" t="str">
            <v>财务费用</v>
          </cell>
          <cell r="F135">
            <v>2216448.36</v>
          </cell>
          <cell r="G135">
            <v>3812470.34</v>
          </cell>
          <cell r="H135">
            <v>50406.02</v>
          </cell>
          <cell r="I135">
            <v>5978512.6799999997</v>
          </cell>
          <cell r="J135">
            <v>4516354.78</v>
          </cell>
          <cell r="K135">
            <v>0</v>
          </cell>
          <cell r="L135">
            <v>0</v>
          </cell>
          <cell r="M135">
            <v>4516354.78</v>
          </cell>
          <cell r="T135">
            <v>6603</v>
          </cell>
          <cell r="U135">
            <v>4516354.78</v>
          </cell>
        </row>
        <row r="136">
          <cell r="D136" t="str">
            <v>6603_01</v>
          </cell>
          <cell r="E136" t="str">
            <v>财务费用_利息费用</v>
          </cell>
          <cell r="F136">
            <v>0</v>
          </cell>
          <cell r="G136">
            <v>0</v>
          </cell>
          <cell r="H136">
            <v>0</v>
          </cell>
          <cell r="I136">
            <v>0</v>
          </cell>
          <cell r="J136">
            <v>0</v>
          </cell>
          <cell r="K136">
            <v>0</v>
          </cell>
          <cell r="L136">
            <v>0</v>
          </cell>
          <cell r="M136">
            <v>0</v>
          </cell>
          <cell r="T136" t="str">
            <v>6603_01</v>
          </cell>
          <cell r="U136">
            <v>0</v>
          </cell>
        </row>
        <row r="137">
          <cell r="D137" t="str">
            <v>6603_06</v>
          </cell>
          <cell r="E137" t="str">
            <v>财务费用_利息收入</v>
          </cell>
          <cell r="F137">
            <v>0</v>
          </cell>
          <cell r="G137">
            <v>0</v>
          </cell>
          <cell r="H137">
            <v>0</v>
          </cell>
          <cell r="I137">
            <v>0</v>
          </cell>
          <cell r="J137">
            <v>0</v>
          </cell>
          <cell r="K137">
            <v>0</v>
          </cell>
          <cell r="L137">
            <v>0</v>
          </cell>
          <cell r="M137">
            <v>0</v>
          </cell>
          <cell r="T137" t="str">
            <v>6603_06</v>
          </cell>
          <cell r="U137">
            <v>0</v>
          </cell>
        </row>
        <row r="138">
          <cell r="D138">
            <v>6671</v>
          </cell>
          <cell r="E138" t="str">
            <v>资产减值损失</v>
          </cell>
          <cell r="F138">
            <v>5935943.3300000001</v>
          </cell>
          <cell r="G138">
            <v>1008690.32</v>
          </cell>
          <cell r="H138">
            <v>0</v>
          </cell>
          <cell r="I138">
            <v>6944633.6500000004</v>
          </cell>
          <cell r="J138">
            <v>11514489.27</v>
          </cell>
          <cell r="K138">
            <v>0</v>
          </cell>
          <cell r="L138">
            <v>0</v>
          </cell>
          <cell r="M138">
            <v>11514489.27</v>
          </cell>
          <cell r="T138">
            <v>6671</v>
          </cell>
          <cell r="U138">
            <v>11514489.27</v>
          </cell>
        </row>
        <row r="139">
          <cell r="D139">
            <v>6181</v>
          </cell>
          <cell r="E139" t="str">
            <v>其他收益</v>
          </cell>
          <cell r="F139">
            <v>0</v>
          </cell>
          <cell r="G139">
            <v>0</v>
          </cell>
          <cell r="H139">
            <v>76010</v>
          </cell>
          <cell r="I139">
            <v>76010</v>
          </cell>
          <cell r="J139">
            <v>1212985.5900000001</v>
          </cell>
          <cell r="K139">
            <v>0</v>
          </cell>
          <cell r="L139">
            <v>0</v>
          </cell>
          <cell r="M139">
            <v>1212985.5900000001</v>
          </cell>
          <cell r="T139">
            <v>6181</v>
          </cell>
          <cell r="U139">
            <v>1212985.5900000001</v>
          </cell>
        </row>
        <row r="140">
          <cell r="D140">
            <v>6111</v>
          </cell>
          <cell r="E140" t="str">
            <v>投资收益</v>
          </cell>
          <cell r="F140">
            <v>487100.02</v>
          </cell>
          <cell r="G140">
            <v>0</v>
          </cell>
          <cell r="H140">
            <v>0</v>
          </cell>
          <cell r="I140">
            <v>487100.02</v>
          </cell>
          <cell r="J140">
            <v>902178.35</v>
          </cell>
          <cell r="K140">
            <v>0</v>
          </cell>
          <cell r="L140">
            <v>0</v>
          </cell>
          <cell r="M140">
            <v>902178.35</v>
          </cell>
          <cell r="T140">
            <v>6111</v>
          </cell>
          <cell r="U140">
            <v>902178.35</v>
          </cell>
        </row>
        <row r="141">
          <cell r="D141">
            <v>6111.01</v>
          </cell>
          <cell r="E141" t="str">
            <v>对联营企业和合营企业的投资收益</v>
          </cell>
          <cell r="F141">
            <v>0</v>
          </cell>
          <cell r="G141">
            <v>0</v>
          </cell>
          <cell r="H141">
            <v>0</v>
          </cell>
          <cell r="I141">
            <v>0</v>
          </cell>
          <cell r="J141">
            <v>0</v>
          </cell>
          <cell r="K141">
            <v>0</v>
          </cell>
          <cell r="L141">
            <v>0</v>
          </cell>
          <cell r="M141">
            <v>0</v>
          </cell>
          <cell r="T141">
            <v>6111.01</v>
          </cell>
          <cell r="U141">
            <v>0</v>
          </cell>
        </row>
        <row r="142">
          <cell r="D142">
            <v>6161</v>
          </cell>
          <cell r="E142" t="str">
            <v>汇兑收益</v>
          </cell>
          <cell r="F142">
            <v>0</v>
          </cell>
          <cell r="G142">
            <v>0</v>
          </cell>
          <cell r="H142">
            <v>0</v>
          </cell>
          <cell r="I142">
            <v>0</v>
          </cell>
          <cell r="J142">
            <v>0</v>
          </cell>
          <cell r="K142">
            <v>0</v>
          </cell>
          <cell r="L142">
            <v>0</v>
          </cell>
          <cell r="M142">
            <v>0</v>
          </cell>
          <cell r="T142">
            <v>6161</v>
          </cell>
          <cell r="U142">
            <v>0</v>
          </cell>
        </row>
        <row r="143">
          <cell r="D143">
            <v>6101</v>
          </cell>
          <cell r="E143" t="str">
            <v>公允价值变动收益</v>
          </cell>
          <cell r="F143">
            <v>0</v>
          </cell>
          <cell r="G143">
            <v>0</v>
          </cell>
          <cell r="H143">
            <v>0</v>
          </cell>
          <cell r="I143">
            <v>0</v>
          </cell>
          <cell r="J143">
            <v>0</v>
          </cell>
          <cell r="K143">
            <v>0</v>
          </cell>
          <cell r="L143">
            <v>0</v>
          </cell>
          <cell r="M143">
            <v>0</v>
          </cell>
          <cell r="T143">
            <v>6101</v>
          </cell>
          <cell r="U143">
            <v>0</v>
          </cell>
        </row>
        <row r="144">
          <cell r="D144">
            <v>6171</v>
          </cell>
          <cell r="E144" t="str">
            <v>资产处置收益</v>
          </cell>
          <cell r="F144">
            <v>0</v>
          </cell>
          <cell r="G144">
            <v>0</v>
          </cell>
          <cell r="H144">
            <v>129290.57</v>
          </cell>
          <cell r="I144">
            <v>129290.57</v>
          </cell>
          <cell r="J144">
            <v>0</v>
          </cell>
          <cell r="K144">
            <v>0</v>
          </cell>
          <cell r="L144">
            <v>0</v>
          </cell>
          <cell r="M144">
            <v>0</v>
          </cell>
          <cell r="T144">
            <v>6171</v>
          </cell>
          <cell r="U144">
            <v>0</v>
          </cell>
        </row>
        <row r="145">
          <cell r="D145">
            <v>6689</v>
          </cell>
          <cell r="E145" t="str">
            <v>营业利润</v>
          </cell>
          <cell r="F145">
            <v>17448720.030000001</v>
          </cell>
          <cell r="G145">
            <v>26377854.359999999</v>
          </cell>
          <cell r="H145">
            <v>37934230.020000003</v>
          </cell>
          <cell r="I145">
            <v>29005095.690000001</v>
          </cell>
          <cell r="J145">
            <v>31689765.760000002</v>
          </cell>
          <cell r="K145">
            <v>0</v>
          </cell>
          <cell r="L145">
            <v>0</v>
          </cell>
          <cell r="M145">
            <v>31689765.760000002</v>
          </cell>
          <cell r="T145">
            <v>6689</v>
          </cell>
          <cell r="U145">
            <v>31689765.760000002</v>
          </cell>
        </row>
        <row r="146">
          <cell r="D146">
            <v>6710</v>
          </cell>
          <cell r="E146" t="str">
            <v>营业外收入</v>
          </cell>
          <cell r="F146">
            <v>1264796.5900000001</v>
          </cell>
          <cell r="G146">
            <v>1264796.5900000001</v>
          </cell>
          <cell r="H146">
            <v>0</v>
          </cell>
          <cell r="I146">
            <v>0</v>
          </cell>
          <cell r="J146">
            <v>34333</v>
          </cell>
          <cell r="K146">
            <v>0</v>
          </cell>
          <cell r="L146">
            <v>0</v>
          </cell>
          <cell r="M146">
            <v>34333</v>
          </cell>
          <cell r="T146">
            <v>6710</v>
          </cell>
          <cell r="U146">
            <v>34333</v>
          </cell>
        </row>
        <row r="147">
          <cell r="D147">
            <v>6711</v>
          </cell>
          <cell r="E147" t="str">
            <v>营业外支出</v>
          </cell>
          <cell r="F147">
            <v>807203.65</v>
          </cell>
          <cell r="G147">
            <v>336530.32</v>
          </cell>
          <cell r="H147">
            <v>9819.59</v>
          </cell>
          <cell r="I147">
            <v>1133914.3799999999</v>
          </cell>
          <cell r="J147">
            <v>79133.009999999995</v>
          </cell>
          <cell r="K147">
            <v>0</v>
          </cell>
          <cell r="L147">
            <v>0</v>
          </cell>
          <cell r="M147">
            <v>79133.009999999995</v>
          </cell>
          <cell r="T147">
            <v>6711</v>
          </cell>
          <cell r="U147">
            <v>79133.009999999995</v>
          </cell>
        </row>
        <row r="148">
          <cell r="D148">
            <v>6788</v>
          </cell>
          <cell r="E148" t="str">
            <v>利润总额</v>
          </cell>
          <cell r="F148">
            <v>17906312.969999999</v>
          </cell>
          <cell r="G148">
            <v>27979181.27</v>
          </cell>
          <cell r="H148">
            <v>37944049.609999999</v>
          </cell>
          <cell r="I148">
            <v>27871181.309999999</v>
          </cell>
          <cell r="J148">
            <v>31644965.75</v>
          </cell>
          <cell r="K148">
            <v>0</v>
          </cell>
          <cell r="L148">
            <v>0</v>
          </cell>
          <cell r="M148">
            <v>31644965.75</v>
          </cell>
          <cell r="T148">
            <v>6788</v>
          </cell>
          <cell r="U148">
            <v>31644965.75</v>
          </cell>
        </row>
        <row r="149">
          <cell r="D149">
            <v>6791</v>
          </cell>
          <cell r="E149" t="str">
            <v>所得税费用</v>
          </cell>
          <cell r="F149">
            <v>0</v>
          </cell>
          <cell r="G149">
            <v>5109925.32</v>
          </cell>
          <cell r="H149">
            <v>540196.35</v>
          </cell>
          <cell r="I149">
            <v>4569728.97</v>
          </cell>
          <cell r="J149">
            <v>5947913.2699999996</v>
          </cell>
          <cell r="K149">
            <v>0</v>
          </cell>
          <cell r="L149">
            <v>0</v>
          </cell>
          <cell r="M149">
            <v>5947913.2699999996</v>
          </cell>
          <cell r="T149">
            <v>6791</v>
          </cell>
          <cell r="U149">
            <v>5947913.2699999996</v>
          </cell>
        </row>
        <row r="150">
          <cell r="D150">
            <v>6799</v>
          </cell>
          <cell r="E150" t="str">
            <v>净利润</v>
          </cell>
          <cell r="F150">
            <v>17906312.969999999</v>
          </cell>
          <cell r="G150">
            <v>33089106.59</v>
          </cell>
          <cell r="H150">
            <v>38484245.960000001</v>
          </cell>
          <cell r="I150">
            <v>23301452.34</v>
          </cell>
          <cell r="J150">
            <v>25697052.48</v>
          </cell>
          <cell r="K150">
            <v>0</v>
          </cell>
          <cell r="L150">
            <v>0</v>
          </cell>
          <cell r="M150">
            <v>25697052.48</v>
          </cell>
          <cell r="T150">
            <v>6799</v>
          </cell>
          <cell r="U150">
            <v>25697052.48</v>
          </cell>
        </row>
        <row r="151">
          <cell r="D151">
            <v>6835</v>
          </cell>
          <cell r="E151" t="str">
            <v>净利润按经营持续性分类</v>
          </cell>
          <cell r="T151">
            <v>6835</v>
          </cell>
        </row>
        <row r="152">
          <cell r="D152">
            <v>6816</v>
          </cell>
          <cell r="E152" t="str">
            <v>持续经营净利润</v>
          </cell>
          <cell r="T152">
            <v>6816</v>
          </cell>
        </row>
        <row r="153">
          <cell r="D153">
            <v>6817</v>
          </cell>
          <cell r="E153" t="str">
            <v>终止经营净利润</v>
          </cell>
          <cell r="T153">
            <v>6817</v>
          </cell>
        </row>
        <row r="154">
          <cell r="D154">
            <v>6830</v>
          </cell>
          <cell r="E154" t="str">
            <v>净利润按所有权归属分类</v>
          </cell>
          <cell r="T154">
            <v>6830</v>
          </cell>
        </row>
        <row r="155">
          <cell r="D155">
            <v>6812</v>
          </cell>
          <cell r="E155" t="str">
            <v>少数股东损益</v>
          </cell>
          <cell r="F155">
            <v>0</v>
          </cell>
          <cell r="G155">
            <v>0</v>
          </cell>
          <cell r="H155">
            <v>0</v>
          </cell>
          <cell r="I155">
            <v>0</v>
          </cell>
          <cell r="J155">
            <v>0</v>
          </cell>
          <cell r="K155">
            <v>0</v>
          </cell>
          <cell r="L155">
            <v>0</v>
          </cell>
          <cell r="M155">
            <v>0</v>
          </cell>
          <cell r="T155">
            <v>6812</v>
          </cell>
          <cell r="U155">
            <v>0</v>
          </cell>
        </row>
        <row r="156">
          <cell r="D156">
            <v>6811</v>
          </cell>
          <cell r="E156" t="str">
            <v>归属于母公司所有者的净利润</v>
          </cell>
          <cell r="F156">
            <v>17906312.969999999</v>
          </cell>
          <cell r="G156">
            <v>33089106.59</v>
          </cell>
          <cell r="H156">
            <v>38484245.960000001</v>
          </cell>
          <cell r="I156">
            <v>23301452.34</v>
          </cell>
          <cell r="J156">
            <v>25697052.48</v>
          </cell>
          <cell r="K156">
            <v>0</v>
          </cell>
          <cell r="L156">
            <v>0</v>
          </cell>
          <cell r="M156">
            <v>25697052.48</v>
          </cell>
          <cell r="T156">
            <v>6811</v>
          </cell>
          <cell r="U156">
            <v>25697052.48</v>
          </cell>
        </row>
        <row r="157">
          <cell r="D157">
            <v>6829</v>
          </cell>
          <cell r="E157" t="str">
            <v>其他综合收益的税后净额</v>
          </cell>
          <cell r="F157">
            <v>0</v>
          </cell>
          <cell r="G157">
            <v>0</v>
          </cell>
          <cell r="H157">
            <v>0</v>
          </cell>
          <cell r="I157">
            <v>0</v>
          </cell>
          <cell r="J157">
            <v>0</v>
          </cell>
          <cell r="K157">
            <v>0</v>
          </cell>
          <cell r="L157">
            <v>0</v>
          </cell>
          <cell r="M157">
            <v>0</v>
          </cell>
          <cell r="T157">
            <v>6829</v>
          </cell>
          <cell r="U157">
            <v>0</v>
          </cell>
        </row>
        <row r="158">
          <cell r="D158">
            <v>6829.2</v>
          </cell>
          <cell r="E158" t="str">
            <v>归属于母公司所有者的其他综合收益的税后净额</v>
          </cell>
          <cell r="F158">
            <v>0</v>
          </cell>
          <cell r="G158">
            <v>0</v>
          </cell>
          <cell r="H158">
            <v>0</v>
          </cell>
          <cell r="I158">
            <v>0</v>
          </cell>
          <cell r="J158">
            <v>0</v>
          </cell>
          <cell r="K158">
            <v>0</v>
          </cell>
          <cell r="L158">
            <v>0</v>
          </cell>
          <cell r="M158">
            <v>0</v>
          </cell>
          <cell r="T158">
            <v>6829.2</v>
          </cell>
          <cell r="U158">
            <v>0</v>
          </cell>
        </row>
        <row r="159">
          <cell r="D159">
            <v>6829.21</v>
          </cell>
          <cell r="E159" t="str">
            <v>以后不能重分类进损益的其他综合收益</v>
          </cell>
          <cell r="F159">
            <v>0</v>
          </cell>
          <cell r="G159">
            <v>0</v>
          </cell>
          <cell r="H159">
            <v>0</v>
          </cell>
          <cell r="I159">
            <v>0</v>
          </cell>
          <cell r="J159">
            <v>0</v>
          </cell>
          <cell r="K159">
            <v>0</v>
          </cell>
          <cell r="L159">
            <v>0</v>
          </cell>
          <cell r="M159">
            <v>0</v>
          </cell>
          <cell r="T159">
            <v>6829.21</v>
          </cell>
          <cell r="U159">
            <v>0</v>
          </cell>
        </row>
        <row r="160">
          <cell r="D160">
            <v>6829.2110000000002</v>
          </cell>
          <cell r="E160" t="str">
            <v>重新计量设定受益计划变动额</v>
          </cell>
          <cell r="F160">
            <v>0</v>
          </cell>
          <cell r="G160">
            <v>0</v>
          </cell>
          <cell r="H160">
            <v>0</v>
          </cell>
          <cell r="I160">
            <v>0</v>
          </cell>
          <cell r="J160">
            <v>0</v>
          </cell>
          <cell r="K160">
            <v>0</v>
          </cell>
          <cell r="L160">
            <v>0</v>
          </cell>
          <cell r="M160">
            <v>0</v>
          </cell>
          <cell r="T160">
            <v>6829.2110000000002</v>
          </cell>
          <cell r="U160">
            <v>0</v>
          </cell>
        </row>
        <row r="161">
          <cell r="D161">
            <v>6829.2120000000004</v>
          </cell>
          <cell r="E161" t="str">
            <v>权益法下不能转损益的其他综合收益</v>
          </cell>
          <cell r="F161">
            <v>0</v>
          </cell>
          <cell r="G161">
            <v>0</v>
          </cell>
          <cell r="H161">
            <v>0</v>
          </cell>
          <cell r="I161">
            <v>0</v>
          </cell>
          <cell r="J161">
            <v>0</v>
          </cell>
          <cell r="K161">
            <v>0</v>
          </cell>
          <cell r="L161">
            <v>0</v>
          </cell>
          <cell r="M161">
            <v>0</v>
          </cell>
          <cell r="T161">
            <v>6829.2120000000004</v>
          </cell>
          <cell r="U161">
            <v>0</v>
          </cell>
        </row>
        <row r="162">
          <cell r="D162">
            <v>6829.2190000000001</v>
          </cell>
          <cell r="E162" t="str">
            <v>其他以后不能重分类进损益的其他综合收益</v>
          </cell>
          <cell r="F162">
            <v>0</v>
          </cell>
          <cell r="G162">
            <v>0</v>
          </cell>
          <cell r="H162">
            <v>0</v>
          </cell>
          <cell r="I162">
            <v>0</v>
          </cell>
          <cell r="J162">
            <v>0</v>
          </cell>
          <cell r="K162">
            <v>0</v>
          </cell>
          <cell r="L162">
            <v>0</v>
          </cell>
          <cell r="M162">
            <v>0</v>
          </cell>
          <cell r="T162">
            <v>6829.2190000000001</v>
          </cell>
          <cell r="U162">
            <v>0</v>
          </cell>
        </row>
        <row r="163">
          <cell r="D163">
            <v>6829.23</v>
          </cell>
          <cell r="E163" t="str">
            <v>以后将重分类进损益的其他综合收益</v>
          </cell>
          <cell r="F163">
            <v>0</v>
          </cell>
          <cell r="G163">
            <v>0</v>
          </cell>
          <cell r="H163">
            <v>0</v>
          </cell>
          <cell r="I163">
            <v>0</v>
          </cell>
          <cell r="J163">
            <v>0</v>
          </cell>
          <cell r="K163">
            <v>0</v>
          </cell>
          <cell r="L163">
            <v>0</v>
          </cell>
          <cell r="M163">
            <v>0</v>
          </cell>
          <cell r="T163">
            <v>6829.23</v>
          </cell>
          <cell r="U163">
            <v>0</v>
          </cell>
        </row>
        <row r="164">
          <cell r="D164">
            <v>6829.2309999999998</v>
          </cell>
          <cell r="E164" t="str">
            <v>权益法下可转损益的其他综合收益</v>
          </cell>
          <cell r="F164">
            <v>0</v>
          </cell>
          <cell r="G164">
            <v>0</v>
          </cell>
          <cell r="H164">
            <v>0</v>
          </cell>
          <cell r="I164">
            <v>0</v>
          </cell>
          <cell r="J164">
            <v>0</v>
          </cell>
          <cell r="K164">
            <v>0</v>
          </cell>
          <cell r="L164">
            <v>0</v>
          </cell>
          <cell r="M164">
            <v>0</v>
          </cell>
          <cell r="T164">
            <v>6829.2309999999998</v>
          </cell>
          <cell r="U164">
            <v>0</v>
          </cell>
        </row>
        <row r="165">
          <cell r="D165">
            <v>6829.232</v>
          </cell>
          <cell r="E165" t="str">
            <v>可供出售金融资产公允价值变动损益</v>
          </cell>
          <cell r="F165">
            <v>0</v>
          </cell>
          <cell r="G165">
            <v>0</v>
          </cell>
          <cell r="H165">
            <v>0</v>
          </cell>
          <cell r="I165">
            <v>0</v>
          </cell>
          <cell r="J165">
            <v>0</v>
          </cell>
          <cell r="K165">
            <v>0</v>
          </cell>
          <cell r="L165">
            <v>0</v>
          </cell>
          <cell r="M165">
            <v>0</v>
          </cell>
          <cell r="T165">
            <v>6829.232</v>
          </cell>
          <cell r="U165">
            <v>0</v>
          </cell>
        </row>
        <row r="166">
          <cell r="D166">
            <v>6829.2330000000002</v>
          </cell>
          <cell r="E166" t="str">
            <v>持有至到期投资重分类为可供出售金融资产损益</v>
          </cell>
          <cell r="F166">
            <v>0</v>
          </cell>
          <cell r="G166">
            <v>0</v>
          </cell>
          <cell r="H166">
            <v>0</v>
          </cell>
          <cell r="I166">
            <v>0</v>
          </cell>
          <cell r="J166">
            <v>0</v>
          </cell>
          <cell r="K166">
            <v>0</v>
          </cell>
          <cell r="L166">
            <v>0</v>
          </cell>
          <cell r="M166">
            <v>0</v>
          </cell>
          <cell r="T166">
            <v>6829.2330000000002</v>
          </cell>
          <cell r="U166">
            <v>0</v>
          </cell>
        </row>
        <row r="167">
          <cell r="D167">
            <v>6829.2340000000004</v>
          </cell>
          <cell r="E167" t="str">
            <v>现金流量套期损益的有效部分</v>
          </cell>
          <cell r="F167">
            <v>0</v>
          </cell>
          <cell r="G167">
            <v>0</v>
          </cell>
          <cell r="H167">
            <v>0</v>
          </cell>
          <cell r="I167">
            <v>0</v>
          </cell>
          <cell r="J167">
            <v>0</v>
          </cell>
          <cell r="K167">
            <v>0</v>
          </cell>
          <cell r="L167">
            <v>0</v>
          </cell>
          <cell r="M167">
            <v>0</v>
          </cell>
          <cell r="T167">
            <v>6829.2340000000004</v>
          </cell>
          <cell r="U167">
            <v>0</v>
          </cell>
        </row>
        <row r="168">
          <cell r="D168">
            <v>6829.2349999999997</v>
          </cell>
          <cell r="E168" t="str">
            <v>外币财务报表折算差额</v>
          </cell>
          <cell r="F168">
            <v>0</v>
          </cell>
          <cell r="G168">
            <v>0</v>
          </cell>
          <cell r="H168">
            <v>0</v>
          </cell>
          <cell r="I168">
            <v>0</v>
          </cell>
          <cell r="J168">
            <v>0</v>
          </cell>
          <cell r="K168">
            <v>0</v>
          </cell>
          <cell r="L168">
            <v>0</v>
          </cell>
          <cell r="M168">
            <v>0</v>
          </cell>
          <cell r="T168">
            <v>6829.2349999999997</v>
          </cell>
          <cell r="U168">
            <v>0</v>
          </cell>
        </row>
        <row r="169">
          <cell r="D169">
            <v>6829.2359999999999</v>
          </cell>
          <cell r="E169" t="str">
            <v>自用房地产或作为存货的房地产转换为以公允价值计量的投资性房地产在转换日公允价值大于账面价值部分</v>
          </cell>
          <cell r="F169">
            <v>0</v>
          </cell>
          <cell r="G169">
            <v>0</v>
          </cell>
          <cell r="H169">
            <v>0</v>
          </cell>
          <cell r="I169">
            <v>0</v>
          </cell>
          <cell r="J169">
            <v>0</v>
          </cell>
          <cell r="K169">
            <v>0</v>
          </cell>
          <cell r="L169">
            <v>0</v>
          </cell>
          <cell r="M169">
            <v>0</v>
          </cell>
          <cell r="T169">
            <v>6829.2359999999999</v>
          </cell>
          <cell r="U169">
            <v>0</v>
          </cell>
        </row>
        <row r="170">
          <cell r="D170">
            <v>6829.2370000000001</v>
          </cell>
          <cell r="E170" t="str">
            <v>多次交易分步处置子公司股权构成一揽子交易的丧失控制权之前各次交易处置价款与对应净资产账面价值份额的差额</v>
          </cell>
          <cell r="F170">
            <v>0</v>
          </cell>
          <cell r="G170">
            <v>0</v>
          </cell>
          <cell r="H170">
            <v>0</v>
          </cell>
          <cell r="I170">
            <v>0</v>
          </cell>
          <cell r="J170">
            <v>0</v>
          </cell>
          <cell r="K170">
            <v>0</v>
          </cell>
          <cell r="L170">
            <v>0</v>
          </cell>
          <cell r="M170">
            <v>0</v>
          </cell>
          <cell r="T170">
            <v>6829.2370000000001</v>
          </cell>
          <cell r="U170">
            <v>0</v>
          </cell>
        </row>
        <row r="171">
          <cell r="D171">
            <v>6829.2389999999996</v>
          </cell>
          <cell r="E171" t="str">
            <v>其他以后将重分类进损益的其他综合收益</v>
          </cell>
          <cell r="F171">
            <v>0</v>
          </cell>
          <cell r="G171">
            <v>0</v>
          </cell>
          <cell r="H171">
            <v>0</v>
          </cell>
          <cell r="I171">
            <v>0</v>
          </cell>
          <cell r="J171">
            <v>0</v>
          </cell>
          <cell r="K171">
            <v>0</v>
          </cell>
          <cell r="L171">
            <v>0</v>
          </cell>
          <cell r="M171">
            <v>0</v>
          </cell>
          <cell r="T171">
            <v>6829.2389999999996</v>
          </cell>
          <cell r="U171">
            <v>0</v>
          </cell>
        </row>
        <row r="172">
          <cell r="D172">
            <v>6829.5</v>
          </cell>
          <cell r="E172" t="str">
            <v>归属于少数股东的其他综合收益的税后净额</v>
          </cell>
          <cell r="F172">
            <v>0</v>
          </cell>
          <cell r="G172">
            <v>0</v>
          </cell>
          <cell r="H172">
            <v>0</v>
          </cell>
          <cell r="I172">
            <v>0</v>
          </cell>
          <cell r="J172">
            <v>0</v>
          </cell>
          <cell r="K172">
            <v>0</v>
          </cell>
          <cell r="L172">
            <v>0</v>
          </cell>
          <cell r="M172">
            <v>0</v>
          </cell>
          <cell r="T172">
            <v>6829.5</v>
          </cell>
          <cell r="U172">
            <v>0</v>
          </cell>
        </row>
        <row r="173">
          <cell r="D173">
            <v>6839</v>
          </cell>
          <cell r="E173" t="str">
            <v>综合收益总额</v>
          </cell>
          <cell r="F173">
            <v>17906312.969999999</v>
          </cell>
          <cell r="G173">
            <v>33089106.59</v>
          </cell>
          <cell r="H173">
            <v>38484245.960000001</v>
          </cell>
          <cell r="I173">
            <v>23301452.34</v>
          </cell>
          <cell r="J173">
            <v>25697052.48</v>
          </cell>
          <cell r="K173">
            <v>0</v>
          </cell>
          <cell r="L173">
            <v>0</v>
          </cell>
          <cell r="M173">
            <v>25697052.48</v>
          </cell>
          <cell r="T173">
            <v>6839</v>
          </cell>
          <cell r="U173">
            <v>25697052.48</v>
          </cell>
        </row>
        <row r="174">
          <cell r="D174">
            <v>6841</v>
          </cell>
          <cell r="E174" t="str">
            <v>归属于母公司所有者的综合收益总额</v>
          </cell>
          <cell r="F174">
            <v>17906312.969999999</v>
          </cell>
          <cell r="G174">
            <v>33089106.59</v>
          </cell>
          <cell r="H174">
            <v>38484245.960000001</v>
          </cell>
          <cell r="I174">
            <v>23301452.34</v>
          </cell>
          <cell r="J174">
            <v>25697052.48</v>
          </cell>
          <cell r="K174">
            <v>0</v>
          </cell>
          <cell r="L174">
            <v>0</v>
          </cell>
          <cell r="M174">
            <v>25697052.48</v>
          </cell>
          <cell r="T174">
            <v>6841</v>
          </cell>
          <cell r="U174">
            <v>25697052.48</v>
          </cell>
        </row>
        <row r="175">
          <cell r="D175">
            <v>6842</v>
          </cell>
          <cell r="E175" t="str">
            <v>归属于少数股东的综合收益总额</v>
          </cell>
          <cell r="F175">
            <v>0</v>
          </cell>
          <cell r="G175">
            <v>0</v>
          </cell>
          <cell r="H175">
            <v>0</v>
          </cell>
          <cell r="I175">
            <v>0</v>
          </cell>
          <cell r="J175">
            <v>0</v>
          </cell>
          <cell r="K175">
            <v>0</v>
          </cell>
          <cell r="L175">
            <v>0</v>
          </cell>
          <cell r="M175">
            <v>0</v>
          </cell>
          <cell r="T175">
            <v>6842</v>
          </cell>
          <cell r="U175">
            <v>0</v>
          </cell>
        </row>
        <row r="176">
          <cell r="D176">
            <v>6820</v>
          </cell>
          <cell r="E176" t="str">
            <v>每股收益</v>
          </cell>
          <cell r="T176">
            <v>6820</v>
          </cell>
        </row>
        <row r="177">
          <cell r="D177">
            <v>6821</v>
          </cell>
          <cell r="E177" t="str">
            <v>基本每股收益</v>
          </cell>
          <cell r="T177">
            <v>6821</v>
          </cell>
        </row>
        <row r="178">
          <cell r="D178">
            <v>6822</v>
          </cell>
          <cell r="E178" t="str">
            <v>稀释每股收益</v>
          </cell>
          <cell r="T178">
            <v>6822</v>
          </cell>
        </row>
        <row r="179">
          <cell r="D179">
            <v>6710.11</v>
          </cell>
          <cell r="E179" t="str">
            <v>营业外收入_非流动资产处置利得</v>
          </cell>
          <cell r="T179">
            <v>6710.11</v>
          </cell>
        </row>
        <row r="180">
          <cell r="D180">
            <v>6711.01</v>
          </cell>
          <cell r="E180" t="str">
            <v>非流动资产处置损失</v>
          </cell>
          <cell r="T180">
            <v>6711.01</v>
          </cell>
        </row>
        <row r="181">
          <cell r="D181">
            <v>6805</v>
          </cell>
          <cell r="E181" t="str">
            <v>同一控制下企业合并的被合并方在合并前实现的净利润</v>
          </cell>
          <cell r="T181">
            <v>6805</v>
          </cell>
        </row>
        <row r="182">
          <cell r="D182">
            <v>8</v>
          </cell>
          <cell r="E182" t="str">
            <v>所有者权益变动表</v>
          </cell>
          <cell r="G182">
            <v>0</v>
          </cell>
          <cell r="H182">
            <v>0</v>
          </cell>
          <cell r="K182">
            <v>0</v>
          </cell>
          <cell r="L182">
            <v>0</v>
          </cell>
          <cell r="T182">
            <v>8</v>
          </cell>
        </row>
        <row r="183">
          <cell r="D183">
            <v>8000</v>
          </cell>
          <cell r="E183" t="str">
            <v>所有者权益增减变动</v>
          </cell>
          <cell r="T183">
            <v>8000</v>
          </cell>
        </row>
        <row r="184">
          <cell r="D184">
            <v>8001</v>
          </cell>
          <cell r="E184" t="str">
            <v>所有者权益_上年年末余额</v>
          </cell>
          <cell r="F184">
            <v>613329566.66999996</v>
          </cell>
          <cell r="G184">
            <v>88319845.650000006</v>
          </cell>
          <cell r="H184">
            <v>11335269.75</v>
          </cell>
          <cell r="I184">
            <v>536344990.76999998</v>
          </cell>
          <cell r="J184">
            <v>433488541.18000001</v>
          </cell>
          <cell r="K184">
            <v>0</v>
          </cell>
          <cell r="L184">
            <v>0</v>
          </cell>
          <cell r="M184">
            <v>433488541.18000001</v>
          </cell>
          <cell r="T184">
            <v>8001</v>
          </cell>
          <cell r="U184">
            <v>433488541.18000001</v>
          </cell>
        </row>
        <row r="185">
          <cell r="D185">
            <v>8002</v>
          </cell>
          <cell r="E185" t="str">
            <v>所有者权益_会计政策变更调整上年年末余额</v>
          </cell>
          <cell r="F185">
            <v>0</v>
          </cell>
          <cell r="G185">
            <v>0</v>
          </cell>
          <cell r="H185">
            <v>0</v>
          </cell>
          <cell r="I185">
            <v>0</v>
          </cell>
          <cell r="J185">
            <v>0</v>
          </cell>
          <cell r="K185">
            <v>0</v>
          </cell>
          <cell r="L185">
            <v>0</v>
          </cell>
          <cell r="M185">
            <v>0</v>
          </cell>
          <cell r="T185">
            <v>8002</v>
          </cell>
          <cell r="U185">
            <v>0</v>
          </cell>
        </row>
        <row r="186">
          <cell r="D186">
            <v>8003</v>
          </cell>
          <cell r="E186" t="str">
            <v>所有者权益_前期差错更正调整上年年末余额</v>
          </cell>
          <cell r="F186">
            <v>0</v>
          </cell>
          <cell r="G186">
            <v>0</v>
          </cell>
          <cell r="H186">
            <v>0</v>
          </cell>
          <cell r="I186">
            <v>0</v>
          </cell>
          <cell r="J186">
            <v>0</v>
          </cell>
          <cell r="K186">
            <v>0</v>
          </cell>
          <cell r="L186">
            <v>0</v>
          </cell>
          <cell r="M186">
            <v>0</v>
          </cell>
          <cell r="T186">
            <v>8003</v>
          </cell>
          <cell r="U186">
            <v>0</v>
          </cell>
        </row>
        <row r="187">
          <cell r="D187">
            <v>8004</v>
          </cell>
          <cell r="E187" t="str">
            <v>所有者权益_同一控制下企业合并调整上年年末余额</v>
          </cell>
          <cell r="F187">
            <v>0</v>
          </cell>
          <cell r="G187">
            <v>0</v>
          </cell>
          <cell r="H187">
            <v>0</v>
          </cell>
          <cell r="I187">
            <v>0</v>
          </cell>
          <cell r="J187">
            <v>0</v>
          </cell>
          <cell r="K187">
            <v>0</v>
          </cell>
          <cell r="L187">
            <v>0</v>
          </cell>
          <cell r="M187">
            <v>0</v>
          </cell>
          <cell r="T187">
            <v>8004</v>
          </cell>
          <cell r="U187">
            <v>0</v>
          </cell>
        </row>
        <row r="188">
          <cell r="D188">
            <v>8009</v>
          </cell>
          <cell r="E188" t="str">
            <v>所有者权益_其他原因调整上年年末余额</v>
          </cell>
          <cell r="F188">
            <v>-24576932.460000001</v>
          </cell>
          <cell r="G188">
            <v>-22584866.57</v>
          </cell>
          <cell r="H188">
            <v>1992065.89</v>
          </cell>
          <cell r="I188">
            <v>0</v>
          </cell>
          <cell r="J188">
            <v>0</v>
          </cell>
          <cell r="K188">
            <v>0</v>
          </cell>
          <cell r="L188">
            <v>0</v>
          </cell>
          <cell r="M188">
            <v>0</v>
          </cell>
          <cell r="T188">
            <v>8009</v>
          </cell>
          <cell r="U188">
            <v>0</v>
          </cell>
        </row>
        <row r="189">
          <cell r="D189">
            <v>8010</v>
          </cell>
          <cell r="E189" t="str">
            <v>所有者权益_本年年初余额</v>
          </cell>
          <cell r="F189">
            <v>588752634.21000004</v>
          </cell>
          <cell r="G189">
            <v>65734979.079999998</v>
          </cell>
          <cell r="H189">
            <v>13327335.640000001</v>
          </cell>
          <cell r="I189">
            <v>536344990.76999998</v>
          </cell>
          <cell r="J189">
            <v>433488541.18000001</v>
          </cell>
          <cell r="K189">
            <v>0</v>
          </cell>
          <cell r="L189">
            <v>0</v>
          </cell>
          <cell r="M189">
            <v>433488541.18000001</v>
          </cell>
          <cell r="T189">
            <v>8010</v>
          </cell>
          <cell r="U189">
            <v>433488541.18000001</v>
          </cell>
        </row>
        <row r="190">
          <cell r="D190">
            <v>8090</v>
          </cell>
          <cell r="E190" t="str">
            <v>所有者权益_本期增减变动金额</v>
          </cell>
          <cell r="F190">
            <v>18597953.969999999</v>
          </cell>
          <cell r="G190">
            <v>35419251.82</v>
          </cell>
          <cell r="H190">
            <v>41071994.450000003</v>
          </cell>
          <cell r="I190">
            <v>24250696.600000001</v>
          </cell>
          <cell r="J190">
            <v>102856449.59</v>
          </cell>
          <cell r="K190">
            <v>0</v>
          </cell>
          <cell r="L190">
            <v>0</v>
          </cell>
          <cell r="M190">
            <v>102856449.59</v>
          </cell>
          <cell r="T190">
            <v>8090</v>
          </cell>
          <cell r="U190">
            <v>102856449.59</v>
          </cell>
        </row>
        <row r="191">
          <cell r="D191">
            <v>8021</v>
          </cell>
          <cell r="E191" t="str">
            <v>所有者权益_净利润增加权益</v>
          </cell>
          <cell r="F191">
            <v>17906312.969999999</v>
          </cell>
          <cell r="G191">
            <v>33089106.59</v>
          </cell>
          <cell r="H191">
            <v>38484245.960000001</v>
          </cell>
          <cell r="I191">
            <v>23301452.34</v>
          </cell>
          <cell r="J191">
            <v>25697052.48</v>
          </cell>
          <cell r="K191">
            <v>0</v>
          </cell>
          <cell r="L191">
            <v>0</v>
          </cell>
          <cell r="M191">
            <v>25697052.48</v>
          </cell>
          <cell r="T191">
            <v>8021</v>
          </cell>
          <cell r="U191">
            <v>25697052.48</v>
          </cell>
        </row>
        <row r="192">
          <cell r="D192">
            <v>8030</v>
          </cell>
          <cell r="E192" t="str">
            <v>所有者权益_其他综合收益增加权益</v>
          </cell>
          <cell r="F192">
            <v>0</v>
          </cell>
          <cell r="G192">
            <v>0</v>
          </cell>
          <cell r="H192">
            <v>0</v>
          </cell>
          <cell r="I192">
            <v>0</v>
          </cell>
          <cell r="J192">
            <v>0</v>
          </cell>
          <cell r="K192">
            <v>0</v>
          </cell>
          <cell r="L192">
            <v>0</v>
          </cell>
          <cell r="M192">
            <v>0</v>
          </cell>
          <cell r="T192">
            <v>8030</v>
          </cell>
          <cell r="U192">
            <v>0</v>
          </cell>
        </row>
        <row r="193">
          <cell r="D193">
            <v>8040</v>
          </cell>
          <cell r="E193" t="str">
            <v>所有者权益_综合收益总额增加权益</v>
          </cell>
          <cell r="F193">
            <v>17906312.969999999</v>
          </cell>
          <cell r="G193">
            <v>33089106.59</v>
          </cell>
          <cell r="H193">
            <v>38484245.960000001</v>
          </cell>
          <cell r="I193">
            <v>23301452.34</v>
          </cell>
          <cell r="J193">
            <v>25697052.48</v>
          </cell>
          <cell r="K193">
            <v>0</v>
          </cell>
          <cell r="L193">
            <v>0</v>
          </cell>
          <cell r="M193">
            <v>25697052.48</v>
          </cell>
          <cell r="T193">
            <v>8040</v>
          </cell>
          <cell r="U193">
            <v>25697052.48</v>
          </cell>
        </row>
        <row r="194">
          <cell r="D194">
            <v>8050</v>
          </cell>
          <cell r="E194" t="str">
            <v>所有者权益_所有者投入和减少资本影响权益</v>
          </cell>
          <cell r="F194">
            <v>0</v>
          </cell>
          <cell r="G194">
            <v>0</v>
          </cell>
          <cell r="H194">
            <v>113000</v>
          </cell>
          <cell r="I194">
            <v>113000</v>
          </cell>
          <cell r="J194">
            <v>75600001</v>
          </cell>
          <cell r="K194">
            <v>0</v>
          </cell>
          <cell r="L194">
            <v>0</v>
          </cell>
          <cell r="M194">
            <v>75600001</v>
          </cell>
          <cell r="T194">
            <v>8050</v>
          </cell>
          <cell r="U194">
            <v>75600001</v>
          </cell>
        </row>
        <row r="195">
          <cell r="D195">
            <v>8051</v>
          </cell>
          <cell r="E195" t="str">
            <v>所有者权益_所有者投入资本增加权益</v>
          </cell>
          <cell r="F195">
            <v>0</v>
          </cell>
          <cell r="G195">
            <v>0</v>
          </cell>
          <cell r="H195">
            <v>0</v>
          </cell>
          <cell r="I195">
            <v>0</v>
          </cell>
          <cell r="J195">
            <v>75600001</v>
          </cell>
          <cell r="K195">
            <v>0</v>
          </cell>
          <cell r="L195">
            <v>0</v>
          </cell>
          <cell r="M195">
            <v>75600001</v>
          </cell>
          <cell r="T195">
            <v>8051</v>
          </cell>
          <cell r="U195">
            <v>75600001</v>
          </cell>
        </row>
        <row r="196">
          <cell r="D196">
            <v>8053</v>
          </cell>
          <cell r="E196" t="str">
            <v>所有者权益_其他权益工具持有者投入资本</v>
          </cell>
          <cell r="F196">
            <v>0</v>
          </cell>
          <cell r="G196">
            <v>0</v>
          </cell>
          <cell r="H196">
            <v>0</v>
          </cell>
          <cell r="I196">
            <v>0</v>
          </cell>
          <cell r="J196">
            <v>0</v>
          </cell>
          <cell r="K196">
            <v>0</v>
          </cell>
          <cell r="L196">
            <v>0</v>
          </cell>
          <cell r="M196">
            <v>0</v>
          </cell>
          <cell r="T196">
            <v>8053</v>
          </cell>
          <cell r="U196">
            <v>0</v>
          </cell>
        </row>
        <row r="197">
          <cell r="D197">
            <v>8052</v>
          </cell>
          <cell r="E197" t="str">
            <v>所有者权益_股份支付计入所有者权益的金额</v>
          </cell>
          <cell r="F197">
            <v>0</v>
          </cell>
          <cell r="G197">
            <v>0</v>
          </cell>
          <cell r="H197">
            <v>113000</v>
          </cell>
          <cell r="I197">
            <v>113000</v>
          </cell>
          <cell r="J197">
            <v>0</v>
          </cell>
          <cell r="K197">
            <v>0</v>
          </cell>
          <cell r="L197">
            <v>0</v>
          </cell>
          <cell r="M197">
            <v>0</v>
          </cell>
          <cell r="T197">
            <v>8052</v>
          </cell>
          <cell r="U197">
            <v>0</v>
          </cell>
        </row>
        <row r="198">
          <cell r="D198">
            <v>8056</v>
          </cell>
          <cell r="E198" t="str">
            <v>所有者权益_所有者其他投入和减少资本</v>
          </cell>
          <cell r="F198">
            <v>0</v>
          </cell>
          <cell r="G198">
            <v>0</v>
          </cell>
          <cell r="H198">
            <v>0</v>
          </cell>
          <cell r="I198">
            <v>0</v>
          </cell>
          <cell r="J198">
            <v>0</v>
          </cell>
          <cell r="K198">
            <v>0</v>
          </cell>
          <cell r="L198">
            <v>0</v>
          </cell>
          <cell r="M198">
            <v>0</v>
          </cell>
          <cell r="T198">
            <v>8056</v>
          </cell>
          <cell r="U198">
            <v>0</v>
          </cell>
        </row>
        <row r="199">
          <cell r="D199">
            <v>8060</v>
          </cell>
          <cell r="E199" t="str">
            <v>所有者权益_利润分配影响权益</v>
          </cell>
          <cell r="F199">
            <v>0</v>
          </cell>
          <cell r="G199">
            <v>2330145.23</v>
          </cell>
          <cell r="H199">
            <v>2330145.23</v>
          </cell>
          <cell r="I199">
            <v>0</v>
          </cell>
          <cell r="J199">
            <v>0</v>
          </cell>
          <cell r="K199">
            <v>0</v>
          </cell>
          <cell r="L199">
            <v>0</v>
          </cell>
          <cell r="M199">
            <v>0</v>
          </cell>
          <cell r="T199">
            <v>8060</v>
          </cell>
          <cell r="U199">
            <v>0</v>
          </cell>
        </row>
        <row r="200">
          <cell r="D200">
            <v>8061</v>
          </cell>
          <cell r="E200" t="str">
            <v>所有者权益_提取盈余公积影响权益</v>
          </cell>
          <cell r="F200">
            <v>0</v>
          </cell>
          <cell r="G200">
            <v>2330145.23</v>
          </cell>
          <cell r="H200">
            <v>2330145.23</v>
          </cell>
          <cell r="I200">
            <v>0</v>
          </cell>
          <cell r="J200">
            <v>0</v>
          </cell>
          <cell r="K200">
            <v>0</v>
          </cell>
          <cell r="L200">
            <v>0</v>
          </cell>
          <cell r="M200">
            <v>0</v>
          </cell>
          <cell r="T200">
            <v>8061</v>
          </cell>
          <cell r="U200">
            <v>0</v>
          </cell>
        </row>
        <row r="201">
          <cell r="D201">
            <v>8062</v>
          </cell>
          <cell r="E201" t="str">
            <v>所有者权益_提取一般风险准备影响权益</v>
          </cell>
          <cell r="F201">
            <v>0</v>
          </cell>
          <cell r="G201">
            <v>0</v>
          </cell>
          <cell r="H201">
            <v>0</v>
          </cell>
          <cell r="I201">
            <v>0</v>
          </cell>
          <cell r="J201">
            <v>0</v>
          </cell>
          <cell r="K201">
            <v>0</v>
          </cell>
          <cell r="L201">
            <v>0</v>
          </cell>
          <cell r="M201">
            <v>0</v>
          </cell>
          <cell r="T201">
            <v>8062</v>
          </cell>
          <cell r="U201">
            <v>0</v>
          </cell>
        </row>
        <row r="202">
          <cell r="D202">
            <v>8063</v>
          </cell>
          <cell r="E202" t="str">
            <v>所有者权益_对所有者的分配影响权益</v>
          </cell>
          <cell r="F202">
            <v>0</v>
          </cell>
          <cell r="G202">
            <v>0</v>
          </cell>
          <cell r="H202">
            <v>0</v>
          </cell>
          <cell r="I202">
            <v>0</v>
          </cell>
          <cell r="J202">
            <v>0</v>
          </cell>
          <cell r="K202">
            <v>0</v>
          </cell>
          <cell r="L202">
            <v>0</v>
          </cell>
          <cell r="M202">
            <v>0</v>
          </cell>
          <cell r="T202">
            <v>8063</v>
          </cell>
          <cell r="U202">
            <v>0</v>
          </cell>
        </row>
        <row r="203">
          <cell r="D203">
            <v>8066</v>
          </cell>
          <cell r="E203" t="str">
            <v>所有者权益_其他利润分配影响权益</v>
          </cell>
          <cell r="F203">
            <v>0</v>
          </cell>
          <cell r="G203">
            <v>0</v>
          </cell>
          <cell r="H203">
            <v>0</v>
          </cell>
          <cell r="I203">
            <v>0</v>
          </cell>
          <cell r="J203">
            <v>0</v>
          </cell>
          <cell r="K203">
            <v>0</v>
          </cell>
          <cell r="L203">
            <v>0</v>
          </cell>
          <cell r="M203">
            <v>0</v>
          </cell>
          <cell r="T203">
            <v>8066</v>
          </cell>
          <cell r="U203">
            <v>0</v>
          </cell>
        </row>
        <row r="204">
          <cell r="D204">
            <v>8070</v>
          </cell>
          <cell r="E204" t="str">
            <v>所有者权益_所有者权益内部结转</v>
          </cell>
          <cell r="F204">
            <v>0</v>
          </cell>
          <cell r="G204">
            <v>0</v>
          </cell>
          <cell r="H204">
            <v>0</v>
          </cell>
          <cell r="I204">
            <v>0</v>
          </cell>
          <cell r="J204">
            <v>0</v>
          </cell>
          <cell r="K204">
            <v>0</v>
          </cell>
          <cell r="L204">
            <v>0</v>
          </cell>
          <cell r="M204">
            <v>0</v>
          </cell>
          <cell r="T204">
            <v>8070</v>
          </cell>
          <cell r="U204">
            <v>0</v>
          </cell>
        </row>
        <row r="205">
          <cell r="D205">
            <v>8071</v>
          </cell>
          <cell r="E205" t="str">
            <v>所有者权益_资本公积转增资本影响权益</v>
          </cell>
          <cell r="F205">
            <v>0</v>
          </cell>
          <cell r="G205">
            <v>0</v>
          </cell>
          <cell r="H205">
            <v>0</v>
          </cell>
          <cell r="I205">
            <v>0</v>
          </cell>
          <cell r="J205">
            <v>0</v>
          </cell>
          <cell r="K205">
            <v>0</v>
          </cell>
          <cell r="L205">
            <v>0</v>
          </cell>
          <cell r="M205">
            <v>0</v>
          </cell>
          <cell r="T205">
            <v>8071</v>
          </cell>
          <cell r="U205">
            <v>0</v>
          </cell>
        </row>
        <row r="206">
          <cell r="D206">
            <v>8072</v>
          </cell>
          <cell r="E206" t="str">
            <v>所有者权益_盈余公积转增资本影响权益</v>
          </cell>
          <cell r="F206">
            <v>0</v>
          </cell>
          <cell r="G206">
            <v>0</v>
          </cell>
          <cell r="H206">
            <v>0</v>
          </cell>
          <cell r="I206">
            <v>0</v>
          </cell>
          <cell r="J206">
            <v>0</v>
          </cell>
          <cell r="K206">
            <v>0</v>
          </cell>
          <cell r="L206">
            <v>0</v>
          </cell>
          <cell r="M206">
            <v>0</v>
          </cell>
          <cell r="T206">
            <v>8072</v>
          </cell>
          <cell r="U206">
            <v>0</v>
          </cell>
        </row>
        <row r="207">
          <cell r="D207">
            <v>8073</v>
          </cell>
          <cell r="E207" t="str">
            <v>所有者权益_盈余公积弥补亏损影响权益</v>
          </cell>
          <cell r="F207">
            <v>0</v>
          </cell>
          <cell r="G207">
            <v>0</v>
          </cell>
          <cell r="H207">
            <v>0</v>
          </cell>
          <cell r="I207">
            <v>0</v>
          </cell>
          <cell r="J207">
            <v>0</v>
          </cell>
          <cell r="K207">
            <v>0</v>
          </cell>
          <cell r="L207">
            <v>0</v>
          </cell>
          <cell r="M207">
            <v>0</v>
          </cell>
          <cell r="T207">
            <v>8073</v>
          </cell>
          <cell r="U207">
            <v>0</v>
          </cell>
        </row>
        <row r="208">
          <cell r="D208">
            <v>8075</v>
          </cell>
          <cell r="E208" t="str">
            <v>所有者权益_设定受益计划变动额结转留存收益</v>
          </cell>
          <cell r="F208">
            <v>0</v>
          </cell>
          <cell r="G208">
            <v>0</v>
          </cell>
          <cell r="H208">
            <v>0</v>
          </cell>
          <cell r="I208">
            <v>0</v>
          </cell>
          <cell r="J208">
            <v>0</v>
          </cell>
          <cell r="K208">
            <v>0</v>
          </cell>
          <cell r="L208">
            <v>0</v>
          </cell>
          <cell r="M208">
            <v>0</v>
          </cell>
          <cell r="T208">
            <v>8075</v>
          </cell>
          <cell r="U208">
            <v>0</v>
          </cell>
        </row>
        <row r="209">
          <cell r="D209">
            <v>8076</v>
          </cell>
          <cell r="E209" t="str">
            <v>所有者权益_所有者权益其他内部结转</v>
          </cell>
          <cell r="F209">
            <v>0</v>
          </cell>
          <cell r="G209">
            <v>0</v>
          </cell>
          <cell r="H209">
            <v>0</v>
          </cell>
          <cell r="I209">
            <v>0</v>
          </cell>
          <cell r="J209">
            <v>0</v>
          </cell>
          <cell r="K209">
            <v>0</v>
          </cell>
          <cell r="L209">
            <v>0</v>
          </cell>
          <cell r="M209">
            <v>0</v>
          </cell>
          <cell r="T209">
            <v>8076</v>
          </cell>
          <cell r="U209">
            <v>0</v>
          </cell>
        </row>
        <row r="210">
          <cell r="D210">
            <v>8080</v>
          </cell>
          <cell r="E210" t="str">
            <v>所有者权益_专项储备影响权益</v>
          </cell>
          <cell r="F210">
            <v>691641</v>
          </cell>
          <cell r="G210">
            <v>0</v>
          </cell>
          <cell r="H210">
            <v>144603.26</v>
          </cell>
          <cell r="I210">
            <v>836244.26</v>
          </cell>
          <cell r="J210">
            <v>1559396.11</v>
          </cell>
          <cell r="K210">
            <v>0</v>
          </cell>
          <cell r="L210">
            <v>0</v>
          </cell>
          <cell r="M210">
            <v>1559396.11</v>
          </cell>
          <cell r="T210">
            <v>8080</v>
          </cell>
          <cell r="U210">
            <v>1559396.11</v>
          </cell>
        </row>
        <row r="211">
          <cell r="D211">
            <v>8081</v>
          </cell>
          <cell r="E211" t="str">
            <v>所有者权益_专项储备本期提取</v>
          </cell>
          <cell r="F211">
            <v>691641</v>
          </cell>
          <cell r="G211">
            <v>0</v>
          </cell>
          <cell r="H211">
            <v>144603.26</v>
          </cell>
          <cell r="I211">
            <v>836244.26</v>
          </cell>
          <cell r="J211">
            <v>1559396.11</v>
          </cell>
          <cell r="K211">
            <v>0</v>
          </cell>
          <cell r="L211">
            <v>0</v>
          </cell>
          <cell r="M211">
            <v>1559396.11</v>
          </cell>
          <cell r="T211">
            <v>8081</v>
          </cell>
          <cell r="U211">
            <v>1559396.11</v>
          </cell>
        </row>
        <row r="212">
          <cell r="D212">
            <v>8082</v>
          </cell>
          <cell r="E212" t="str">
            <v>所有者权益_专项储备本期使用</v>
          </cell>
          <cell r="F212">
            <v>0</v>
          </cell>
          <cell r="G212">
            <v>0</v>
          </cell>
          <cell r="H212">
            <v>0</v>
          </cell>
          <cell r="I212">
            <v>0</v>
          </cell>
          <cell r="J212">
            <v>0</v>
          </cell>
          <cell r="K212">
            <v>0</v>
          </cell>
          <cell r="L212">
            <v>0</v>
          </cell>
          <cell r="M212">
            <v>0</v>
          </cell>
          <cell r="T212">
            <v>8082</v>
          </cell>
          <cell r="U212">
            <v>0</v>
          </cell>
        </row>
        <row r="213">
          <cell r="D213">
            <v>8096</v>
          </cell>
          <cell r="E213" t="str">
            <v>所有者权益_本期其他增减变动</v>
          </cell>
          <cell r="F213">
            <v>0</v>
          </cell>
          <cell r="G213">
            <v>0</v>
          </cell>
          <cell r="H213">
            <v>0</v>
          </cell>
          <cell r="I213">
            <v>0</v>
          </cell>
          <cell r="J213">
            <v>0</v>
          </cell>
          <cell r="K213">
            <v>0</v>
          </cell>
          <cell r="L213">
            <v>0</v>
          </cell>
          <cell r="M213">
            <v>0</v>
          </cell>
          <cell r="T213">
            <v>8096</v>
          </cell>
          <cell r="U213">
            <v>0</v>
          </cell>
        </row>
        <row r="214">
          <cell r="D214">
            <v>8099</v>
          </cell>
          <cell r="E214" t="str">
            <v>所有者权益_本期期末余额</v>
          </cell>
          <cell r="F214">
            <v>607350588.17999995</v>
          </cell>
          <cell r="G214">
            <v>101154230.90000001</v>
          </cell>
          <cell r="H214">
            <v>54399330.090000004</v>
          </cell>
          <cell r="I214">
            <v>560595687.37</v>
          </cell>
          <cell r="J214">
            <v>536344990.76999998</v>
          </cell>
          <cell r="K214">
            <v>0</v>
          </cell>
          <cell r="L214">
            <v>0</v>
          </cell>
          <cell r="M214">
            <v>536344990.76999998</v>
          </cell>
          <cell r="T214">
            <v>8099</v>
          </cell>
          <cell r="U214">
            <v>536344990.76999998</v>
          </cell>
        </row>
        <row r="215">
          <cell r="D215">
            <v>8100</v>
          </cell>
          <cell r="E215" t="str">
            <v>实收资本增减变动</v>
          </cell>
          <cell r="T215">
            <v>8100</v>
          </cell>
        </row>
        <row r="216">
          <cell r="D216">
            <v>8101</v>
          </cell>
          <cell r="E216" t="str">
            <v>实收资本_上年年末余额</v>
          </cell>
          <cell r="F216">
            <v>389015152</v>
          </cell>
          <cell r="G216">
            <v>0</v>
          </cell>
          <cell r="H216">
            <v>0</v>
          </cell>
          <cell r="I216">
            <v>389015152</v>
          </cell>
          <cell r="J216">
            <v>360000000</v>
          </cell>
          <cell r="K216">
            <v>0</v>
          </cell>
          <cell r="L216">
            <v>0</v>
          </cell>
          <cell r="M216">
            <v>360000000</v>
          </cell>
          <cell r="T216">
            <v>8101</v>
          </cell>
          <cell r="U216">
            <v>360000000</v>
          </cell>
        </row>
        <row r="217">
          <cell r="D217">
            <v>8102</v>
          </cell>
          <cell r="E217" t="str">
            <v>实收资本_会计政策变更调整上年年末余额</v>
          </cell>
          <cell r="F217">
            <v>0</v>
          </cell>
          <cell r="G217">
            <v>0</v>
          </cell>
          <cell r="H217">
            <v>0</v>
          </cell>
          <cell r="I217">
            <v>0</v>
          </cell>
          <cell r="J217">
            <v>0</v>
          </cell>
          <cell r="K217">
            <v>0</v>
          </cell>
          <cell r="L217">
            <v>0</v>
          </cell>
          <cell r="M217">
            <v>0</v>
          </cell>
          <cell r="T217">
            <v>8102</v>
          </cell>
          <cell r="U217">
            <v>0</v>
          </cell>
        </row>
        <row r="218">
          <cell r="D218">
            <v>8103</v>
          </cell>
          <cell r="E218" t="str">
            <v>实收资本_前期差错更正调整上年年末余额</v>
          </cell>
          <cell r="F218">
            <v>0</v>
          </cell>
          <cell r="G218">
            <v>0</v>
          </cell>
          <cell r="H218">
            <v>0</v>
          </cell>
          <cell r="I218">
            <v>0</v>
          </cell>
          <cell r="J218">
            <v>0</v>
          </cell>
          <cell r="K218">
            <v>0</v>
          </cell>
          <cell r="L218">
            <v>0</v>
          </cell>
          <cell r="M218">
            <v>0</v>
          </cell>
          <cell r="T218">
            <v>8103</v>
          </cell>
          <cell r="U218">
            <v>0</v>
          </cell>
        </row>
        <row r="219">
          <cell r="D219">
            <v>8104</v>
          </cell>
          <cell r="E219" t="str">
            <v>实收资本_同一控制下企业合并调整上年年末余额</v>
          </cell>
          <cell r="F219">
            <v>0</v>
          </cell>
          <cell r="G219">
            <v>0</v>
          </cell>
          <cell r="H219">
            <v>0</v>
          </cell>
          <cell r="I219">
            <v>0</v>
          </cell>
          <cell r="J219">
            <v>0</v>
          </cell>
          <cell r="K219">
            <v>0</v>
          </cell>
          <cell r="L219">
            <v>0</v>
          </cell>
          <cell r="M219">
            <v>0</v>
          </cell>
          <cell r="T219">
            <v>8104</v>
          </cell>
          <cell r="U219">
            <v>0</v>
          </cell>
        </row>
        <row r="220">
          <cell r="D220">
            <v>8109</v>
          </cell>
          <cell r="E220" t="str">
            <v>实收资本_其他原因调整上年年末余额</v>
          </cell>
          <cell r="F220">
            <v>0</v>
          </cell>
          <cell r="G220">
            <v>0</v>
          </cell>
          <cell r="H220">
            <v>0</v>
          </cell>
          <cell r="I220">
            <v>0</v>
          </cell>
          <cell r="J220">
            <v>0</v>
          </cell>
          <cell r="K220">
            <v>0</v>
          </cell>
          <cell r="L220">
            <v>0</v>
          </cell>
          <cell r="M220">
            <v>0</v>
          </cell>
          <cell r="T220">
            <v>8109</v>
          </cell>
          <cell r="U220">
            <v>0</v>
          </cell>
        </row>
        <row r="221">
          <cell r="D221">
            <v>8110</v>
          </cell>
          <cell r="E221" t="str">
            <v>实收资本_本年年初余额</v>
          </cell>
          <cell r="F221">
            <v>389015152</v>
          </cell>
          <cell r="G221">
            <v>0</v>
          </cell>
          <cell r="H221">
            <v>0</v>
          </cell>
          <cell r="I221">
            <v>389015152</v>
          </cell>
          <cell r="J221">
            <v>360000000</v>
          </cell>
          <cell r="K221">
            <v>0</v>
          </cell>
          <cell r="L221">
            <v>0</v>
          </cell>
          <cell r="M221">
            <v>360000000</v>
          </cell>
          <cell r="T221">
            <v>8110</v>
          </cell>
          <cell r="U221">
            <v>360000000</v>
          </cell>
        </row>
        <row r="222">
          <cell r="D222">
            <v>8190</v>
          </cell>
          <cell r="E222" t="str">
            <v>实收资本_本期增减变动金额</v>
          </cell>
          <cell r="F222">
            <v>0</v>
          </cell>
          <cell r="G222">
            <v>0</v>
          </cell>
          <cell r="H222">
            <v>0</v>
          </cell>
          <cell r="I222">
            <v>0</v>
          </cell>
          <cell r="J222">
            <v>29015152</v>
          </cell>
          <cell r="K222">
            <v>0</v>
          </cell>
          <cell r="L222">
            <v>0</v>
          </cell>
          <cell r="M222">
            <v>29015152</v>
          </cell>
          <cell r="T222">
            <v>8190</v>
          </cell>
          <cell r="U222">
            <v>29015152</v>
          </cell>
        </row>
        <row r="223">
          <cell r="D223">
            <v>8121</v>
          </cell>
          <cell r="E223" t="str">
            <v>实收资本_净利润增加权益</v>
          </cell>
          <cell r="F223">
            <v>0</v>
          </cell>
          <cell r="G223">
            <v>0</v>
          </cell>
          <cell r="H223">
            <v>0</v>
          </cell>
          <cell r="I223">
            <v>0</v>
          </cell>
          <cell r="J223">
            <v>0</v>
          </cell>
          <cell r="K223">
            <v>0</v>
          </cell>
          <cell r="L223">
            <v>0</v>
          </cell>
          <cell r="M223">
            <v>0</v>
          </cell>
          <cell r="T223">
            <v>8121</v>
          </cell>
          <cell r="U223">
            <v>0</v>
          </cell>
        </row>
        <row r="224">
          <cell r="D224">
            <v>8130</v>
          </cell>
          <cell r="E224" t="str">
            <v>实收资本_其他综合收益增加权益</v>
          </cell>
          <cell r="F224">
            <v>0</v>
          </cell>
          <cell r="G224">
            <v>0</v>
          </cell>
          <cell r="H224">
            <v>0</v>
          </cell>
          <cell r="I224">
            <v>0</v>
          </cell>
          <cell r="J224">
            <v>0</v>
          </cell>
          <cell r="K224">
            <v>0</v>
          </cell>
          <cell r="L224">
            <v>0</v>
          </cell>
          <cell r="M224">
            <v>0</v>
          </cell>
          <cell r="T224">
            <v>8130</v>
          </cell>
          <cell r="U224">
            <v>0</v>
          </cell>
        </row>
        <row r="225">
          <cell r="D225">
            <v>8140</v>
          </cell>
          <cell r="E225" t="str">
            <v>实收资本_综合收益总额增加权益</v>
          </cell>
          <cell r="F225">
            <v>0</v>
          </cell>
          <cell r="G225">
            <v>0</v>
          </cell>
          <cell r="H225">
            <v>0</v>
          </cell>
          <cell r="I225">
            <v>0</v>
          </cell>
          <cell r="J225">
            <v>0</v>
          </cell>
          <cell r="K225">
            <v>0</v>
          </cell>
          <cell r="L225">
            <v>0</v>
          </cell>
          <cell r="M225">
            <v>0</v>
          </cell>
          <cell r="T225">
            <v>8140</v>
          </cell>
          <cell r="U225">
            <v>0</v>
          </cell>
        </row>
        <row r="226">
          <cell r="D226">
            <v>8150</v>
          </cell>
          <cell r="E226" t="str">
            <v>实收资本_所有者投入和减少资本影响权益</v>
          </cell>
          <cell r="F226">
            <v>0</v>
          </cell>
          <cell r="G226">
            <v>0</v>
          </cell>
          <cell r="H226">
            <v>0</v>
          </cell>
          <cell r="I226">
            <v>0</v>
          </cell>
          <cell r="J226">
            <v>29015152</v>
          </cell>
          <cell r="K226">
            <v>0</v>
          </cell>
          <cell r="L226">
            <v>0</v>
          </cell>
          <cell r="M226">
            <v>29015152</v>
          </cell>
          <cell r="T226">
            <v>8150</v>
          </cell>
          <cell r="U226">
            <v>29015152</v>
          </cell>
        </row>
        <row r="227">
          <cell r="D227">
            <v>8151</v>
          </cell>
          <cell r="E227" t="str">
            <v>实收资本_所有者投入资本</v>
          </cell>
          <cell r="F227">
            <v>0</v>
          </cell>
          <cell r="G227">
            <v>0</v>
          </cell>
          <cell r="H227">
            <v>0</v>
          </cell>
          <cell r="I227">
            <v>0</v>
          </cell>
          <cell r="J227">
            <v>29015152</v>
          </cell>
          <cell r="K227">
            <v>0</v>
          </cell>
          <cell r="L227">
            <v>0</v>
          </cell>
          <cell r="M227">
            <v>29015152</v>
          </cell>
          <cell r="T227">
            <v>8151</v>
          </cell>
          <cell r="U227">
            <v>29015152</v>
          </cell>
        </row>
        <row r="228">
          <cell r="D228">
            <v>8153</v>
          </cell>
          <cell r="E228" t="str">
            <v>实收资本_其他权益工具持有者投入资本</v>
          </cell>
          <cell r="F228">
            <v>0</v>
          </cell>
          <cell r="G228">
            <v>0</v>
          </cell>
          <cell r="H228">
            <v>0</v>
          </cell>
          <cell r="I228">
            <v>0</v>
          </cell>
          <cell r="J228">
            <v>0</v>
          </cell>
          <cell r="K228">
            <v>0</v>
          </cell>
          <cell r="L228">
            <v>0</v>
          </cell>
          <cell r="M228">
            <v>0</v>
          </cell>
          <cell r="T228">
            <v>8153</v>
          </cell>
          <cell r="U228">
            <v>0</v>
          </cell>
        </row>
        <row r="229">
          <cell r="D229">
            <v>8152</v>
          </cell>
          <cell r="E229" t="str">
            <v>实收资本_股份支付计入所有者权益的金额</v>
          </cell>
          <cell r="F229">
            <v>0</v>
          </cell>
          <cell r="G229">
            <v>0</v>
          </cell>
          <cell r="H229">
            <v>0</v>
          </cell>
          <cell r="I229">
            <v>0</v>
          </cell>
          <cell r="J229">
            <v>0</v>
          </cell>
          <cell r="K229">
            <v>0</v>
          </cell>
          <cell r="L229">
            <v>0</v>
          </cell>
          <cell r="M229">
            <v>0</v>
          </cell>
          <cell r="T229">
            <v>8152</v>
          </cell>
          <cell r="U229">
            <v>0</v>
          </cell>
        </row>
        <row r="230">
          <cell r="D230">
            <v>8156</v>
          </cell>
          <cell r="E230" t="str">
            <v>实收资本_所有者其他投入和减少资本</v>
          </cell>
          <cell r="F230">
            <v>0</v>
          </cell>
          <cell r="G230">
            <v>0</v>
          </cell>
          <cell r="H230">
            <v>0</v>
          </cell>
          <cell r="I230">
            <v>0</v>
          </cell>
          <cell r="J230">
            <v>0</v>
          </cell>
          <cell r="K230">
            <v>0</v>
          </cell>
          <cell r="L230">
            <v>0</v>
          </cell>
          <cell r="M230">
            <v>0</v>
          </cell>
          <cell r="T230">
            <v>8156</v>
          </cell>
          <cell r="U230">
            <v>0</v>
          </cell>
        </row>
        <row r="231">
          <cell r="D231">
            <v>8160</v>
          </cell>
          <cell r="E231" t="str">
            <v>实收资本_利润分配影响权益</v>
          </cell>
          <cell r="F231">
            <v>0</v>
          </cell>
          <cell r="G231">
            <v>0</v>
          </cell>
          <cell r="H231">
            <v>0</v>
          </cell>
          <cell r="I231">
            <v>0</v>
          </cell>
          <cell r="J231">
            <v>0</v>
          </cell>
          <cell r="K231">
            <v>0</v>
          </cell>
          <cell r="L231">
            <v>0</v>
          </cell>
          <cell r="M231">
            <v>0</v>
          </cell>
          <cell r="T231">
            <v>8160</v>
          </cell>
          <cell r="U231">
            <v>0</v>
          </cell>
        </row>
        <row r="232">
          <cell r="D232">
            <v>8161</v>
          </cell>
          <cell r="E232" t="str">
            <v>实收资本_提取盈余公积影响权益</v>
          </cell>
          <cell r="F232">
            <v>0</v>
          </cell>
          <cell r="G232">
            <v>0</v>
          </cell>
          <cell r="H232">
            <v>0</v>
          </cell>
          <cell r="I232">
            <v>0</v>
          </cell>
          <cell r="J232">
            <v>0</v>
          </cell>
          <cell r="K232">
            <v>0</v>
          </cell>
          <cell r="L232">
            <v>0</v>
          </cell>
          <cell r="M232">
            <v>0</v>
          </cell>
          <cell r="T232">
            <v>8161</v>
          </cell>
          <cell r="U232">
            <v>0</v>
          </cell>
        </row>
        <row r="233">
          <cell r="D233">
            <v>8162</v>
          </cell>
          <cell r="E233" t="str">
            <v>实收资本_提取一般风险准备影响权益</v>
          </cell>
          <cell r="F233">
            <v>0</v>
          </cell>
          <cell r="G233">
            <v>0</v>
          </cell>
          <cell r="H233">
            <v>0</v>
          </cell>
          <cell r="I233">
            <v>0</v>
          </cell>
          <cell r="J233">
            <v>0</v>
          </cell>
          <cell r="K233">
            <v>0</v>
          </cell>
          <cell r="L233">
            <v>0</v>
          </cell>
          <cell r="M233">
            <v>0</v>
          </cell>
          <cell r="T233">
            <v>8162</v>
          </cell>
          <cell r="U233">
            <v>0</v>
          </cell>
        </row>
        <row r="234">
          <cell r="D234">
            <v>8163</v>
          </cell>
          <cell r="E234" t="str">
            <v>实收资本_对所有者的分配影响权益</v>
          </cell>
          <cell r="F234">
            <v>0</v>
          </cell>
          <cell r="G234">
            <v>0</v>
          </cell>
          <cell r="H234">
            <v>0</v>
          </cell>
          <cell r="I234">
            <v>0</v>
          </cell>
          <cell r="J234">
            <v>0</v>
          </cell>
          <cell r="K234">
            <v>0</v>
          </cell>
          <cell r="L234">
            <v>0</v>
          </cell>
          <cell r="M234">
            <v>0</v>
          </cell>
          <cell r="T234">
            <v>8163</v>
          </cell>
          <cell r="U234">
            <v>0</v>
          </cell>
        </row>
        <row r="235">
          <cell r="D235">
            <v>8166</v>
          </cell>
          <cell r="E235" t="str">
            <v>实收资本_其他利润分配影响权益</v>
          </cell>
          <cell r="F235">
            <v>0</v>
          </cell>
          <cell r="G235">
            <v>0</v>
          </cell>
          <cell r="H235">
            <v>0</v>
          </cell>
          <cell r="I235">
            <v>0</v>
          </cell>
          <cell r="J235">
            <v>0</v>
          </cell>
          <cell r="K235">
            <v>0</v>
          </cell>
          <cell r="L235">
            <v>0</v>
          </cell>
          <cell r="M235">
            <v>0</v>
          </cell>
          <cell r="T235">
            <v>8166</v>
          </cell>
          <cell r="U235">
            <v>0</v>
          </cell>
        </row>
        <row r="236">
          <cell r="D236">
            <v>8170</v>
          </cell>
          <cell r="E236" t="str">
            <v>实收资本_所有者权益内部结转</v>
          </cell>
          <cell r="F236">
            <v>0</v>
          </cell>
          <cell r="G236">
            <v>0</v>
          </cell>
          <cell r="H236">
            <v>0</v>
          </cell>
          <cell r="I236">
            <v>0</v>
          </cell>
          <cell r="J236">
            <v>0</v>
          </cell>
          <cell r="K236">
            <v>0</v>
          </cell>
          <cell r="L236">
            <v>0</v>
          </cell>
          <cell r="M236">
            <v>0</v>
          </cell>
          <cell r="T236">
            <v>8170</v>
          </cell>
          <cell r="U236">
            <v>0</v>
          </cell>
        </row>
        <row r="237">
          <cell r="D237">
            <v>8171</v>
          </cell>
          <cell r="E237" t="str">
            <v>实收资本_资本公积转增</v>
          </cell>
          <cell r="F237">
            <v>0</v>
          </cell>
          <cell r="G237">
            <v>0</v>
          </cell>
          <cell r="H237">
            <v>0</v>
          </cell>
          <cell r="I237">
            <v>0</v>
          </cell>
          <cell r="J237">
            <v>0</v>
          </cell>
          <cell r="K237">
            <v>0</v>
          </cell>
          <cell r="L237">
            <v>0</v>
          </cell>
          <cell r="M237">
            <v>0</v>
          </cell>
          <cell r="T237">
            <v>8171</v>
          </cell>
          <cell r="U237">
            <v>0</v>
          </cell>
        </row>
        <row r="238">
          <cell r="D238">
            <v>8172</v>
          </cell>
          <cell r="E238" t="str">
            <v>实收资本_盈余公积转增</v>
          </cell>
          <cell r="F238">
            <v>0</v>
          </cell>
          <cell r="G238">
            <v>0</v>
          </cell>
          <cell r="H238">
            <v>0</v>
          </cell>
          <cell r="I238">
            <v>0</v>
          </cell>
          <cell r="J238">
            <v>0</v>
          </cell>
          <cell r="K238">
            <v>0</v>
          </cell>
          <cell r="L238">
            <v>0</v>
          </cell>
          <cell r="M238">
            <v>0</v>
          </cell>
          <cell r="T238">
            <v>8172</v>
          </cell>
          <cell r="U238">
            <v>0</v>
          </cell>
        </row>
        <row r="239">
          <cell r="D239">
            <v>8173</v>
          </cell>
          <cell r="E239" t="str">
            <v>实收资本_盈余公积弥补亏损影响权益</v>
          </cell>
          <cell r="F239">
            <v>0</v>
          </cell>
          <cell r="G239">
            <v>0</v>
          </cell>
          <cell r="H239">
            <v>0</v>
          </cell>
          <cell r="I239">
            <v>0</v>
          </cell>
          <cell r="J239">
            <v>0</v>
          </cell>
          <cell r="K239">
            <v>0</v>
          </cell>
          <cell r="L239">
            <v>0</v>
          </cell>
          <cell r="M239">
            <v>0</v>
          </cell>
          <cell r="T239">
            <v>8173</v>
          </cell>
          <cell r="U239">
            <v>0</v>
          </cell>
        </row>
        <row r="240">
          <cell r="D240">
            <v>8175</v>
          </cell>
          <cell r="E240" t="str">
            <v>实收资本_设定受益计划变动额结转留存收益</v>
          </cell>
          <cell r="F240">
            <v>0</v>
          </cell>
          <cell r="G240">
            <v>0</v>
          </cell>
          <cell r="H240">
            <v>0</v>
          </cell>
          <cell r="I240">
            <v>0</v>
          </cell>
          <cell r="J240">
            <v>0</v>
          </cell>
          <cell r="K240">
            <v>0</v>
          </cell>
          <cell r="L240">
            <v>0</v>
          </cell>
          <cell r="M240">
            <v>0</v>
          </cell>
          <cell r="T240">
            <v>8175</v>
          </cell>
          <cell r="U240">
            <v>0</v>
          </cell>
        </row>
        <row r="241">
          <cell r="D241">
            <v>8176</v>
          </cell>
          <cell r="E241" t="str">
            <v>实收资本_所有者权益其他内部结转</v>
          </cell>
          <cell r="F241">
            <v>0</v>
          </cell>
          <cell r="G241">
            <v>0</v>
          </cell>
          <cell r="H241">
            <v>0</v>
          </cell>
          <cell r="I241">
            <v>0</v>
          </cell>
          <cell r="J241">
            <v>0</v>
          </cell>
          <cell r="K241">
            <v>0</v>
          </cell>
          <cell r="L241">
            <v>0</v>
          </cell>
          <cell r="M241">
            <v>0</v>
          </cell>
          <cell r="T241">
            <v>8176</v>
          </cell>
          <cell r="U241">
            <v>0</v>
          </cell>
        </row>
        <row r="242">
          <cell r="D242">
            <v>8180</v>
          </cell>
          <cell r="E242" t="str">
            <v>实收资本_专项储备影响权益</v>
          </cell>
          <cell r="F242">
            <v>0</v>
          </cell>
          <cell r="G242">
            <v>0</v>
          </cell>
          <cell r="H242">
            <v>0</v>
          </cell>
          <cell r="I242">
            <v>0</v>
          </cell>
          <cell r="J242">
            <v>0</v>
          </cell>
          <cell r="K242">
            <v>0</v>
          </cell>
          <cell r="L242">
            <v>0</v>
          </cell>
          <cell r="M242">
            <v>0</v>
          </cell>
          <cell r="T242">
            <v>8180</v>
          </cell>
          <cell r="U242">
            <v>0</v>
          </cell>
        </row>
        <row r="243">
          <cell r="D243">
            <v>8181</v>
          </cell>
          <cell r="E243" t="str">
            <v>实收资本_专项储备本期提取</v>
          </cell>
          <cell r="F243">
            <v>0</v>
          </cell>
          <cell r="G243">
            <v>0</v>
          </cell>
          <cell r="H243">
            <v>0</v>
          </cell>
          <cell r="I243">
            <v>0</v>
          </cell>
          <cell r="J243">
            <v>0</v>
          </cell>
          <cell r="K243">
            <v>0</v>
          </cell>
          <cell r="L243">
            <v>0</v>
          </cell>
          <cell r="M243">
            <v>0</v>
          </cell>
          <cell r="T243">
            <v>8181</v>
          </cell>
          <cell r="U243">
            <v>0</v>
          </cell>
        </row>
        <row r="244">
          <cell r="D244">
            <v>8182</v>
          </cell>
          <cell r="E244" t="str">
            <v>实收资本_专项储备本期使用</v>
          </cell>
          <cell r="F244">
            <v>0</v>
          </cell>
          <cell r="G244">
            <v>0</v>
          </cell>
          <cell r="H244">
            <v>0</v>
          </cell>
          <cell r="I244">
            <v>0</v>
          </cell>
          <cell r="J244">
            <v>0</v>
          </cell>
          <cell r="K244">
            <v>0</v>
          </cell>
          <cell r="L244">
            <v>0</v>
          </cell>
          <cell r="M244">
            <v>0</v>
          </cell>
          <cell r="T244">
            <v>8182</v>
          </cell>
          <cell r="U244">
            <v>0</v>
          </cell>
        </row>
        <row r="245">
          <cell r="D245">
            <v>8196</v>
          </cell>
          <cell r="E245" t="str">
            <v>实收资本_本期其他增减变动</v>
          </cell>
          <cell r="F245">
            <v>0</v>
          </cell>
          <cell r="G245">
            <v>0</v>
          </cell>
          <cell r="H245">
            <v>0</v>
          </cell>
          <cell r="I245">
            <v>0</v>
          </cell>
          <cell r="J245">
            <v>0</v>
          </cell>
          <cell r="K245">
            <v>0</v>
          </cell>
          <cell r="L245">
            <v>0</v>
          </cell>
          <cell r="M245">
            <v>0</v>
          </cell>
          <cell r="T245">
            <v>8196</v>
          </cell>
          <cell r="U245">
            <v>0</v>
          </cell>
        </row>
        <row r="246">
          <cell r="D246">
            <v>8199</v>
          </cell>
          <cell r="E246" t="str">
            <v>实收资本_本期期末余额</v>
          </cell>
          <cell r="F246">
            <v>389015152</v>
          </cell>
          <cell r="G246">
            <v>0</v>
          </cell>
          <cell r="H246">
            <v>0</v>
          </cell>
          <cell r="I246">
            <v>389015152</v>
          </cell>
          <cell r="J246">
            <v>389015152</v>
          </cell>
          <cell r="K246">
            <v>0</v>
          </cell>
          <cell r="L246">
            <v>0</v>
          </cell>
          <cell r="M246">
            <v>389015152</v>
          </cell>
          <cell r="T246">
            <v>8199</v>
          </cell>
          <cell r="U246">
            <v>389015152</v>
          </cell>
        </row>
        <row r="247">
          <cell r="D247" t="str">
            <v>8b00</v>
          </cell>
          <cell r="E247" t="str">
            <v>其他权益工具（优先股）增减变动</v>
          </cell>
          <cell r="T247" t="str">
            <v>8b00</v>
          </cell>
        </row>
        <row r="248">
          <cell r="D248" t="str">
            <v>8b01</v>
          </cell>
          <cell r="E248" t="str">
            <v>其他权益工具（优先股）_上年年末余额</v>
          </cell>
          <cell r="F248">
            <v>0</v>
          </cell>
          <cell r="G248">
            <v>0</v>
          </cell>
          <cell r="H248">
            <v>0</v>
          </cell>
          <cell r="I248">
            <v>0</v>
          </cell>
          <cell r="J248">
            <v>0</v>
          </cell>
          <cell r="K248">
            <v>0</v>
          </cell>
          <cell r="L248">
            <v>0</v>
          </cell>
          <cell r="M248">
            <v>0</v>
          </cell>
          <cell r="T248" t="str">
            <v>8b01</v>
          </cell>
          <cell r="U248">
            <v>0</v>
          </cell>
        </row>
        <row r="249">
          <cell r="D249" t="str">
            <v>8b02</v>
          </cell>
          <cell r="E249" t="str">
            <v>其他权益工具（优先股）_会计政策变更调整上年年末余额</v>
          </cell>
          <cell r="F249">
            <v>0</v>
          </cell>
          <cell r="G249">
            <v>0</v>
          </cell>
          <cell r="H249">
            <v>0</v>
          </cell>
          <cell r="I249">
            <v>0</v>
          </cell>
          <cell r="J249">
            <v>0</v>
          </cell>
          <cell r="K249">
            <v>0</v>
          </cell>
          <cell r="L249">
            <v>0</v>
          </cell>
          <cell r="M249">
            <v>0</v>
          </cell>
          <cell r="T249" t="str">
            <v>8b02</v>
          </cell>
          <cell r="U249">
            <v>0</v>
          </cell>
        </row>
        <row r="250">
          <cell r="D250" t="str">
            <v>8b03</v>
          </cell>
          <cell r="E250" t="str">
            <v>其他权益工具（优先股）_前期差错更正调整上年年末余额</v>
          </cell>
          <cell r="F250">
            <v>0</v>
          </cell>
          <cell r="G250">
            <v>0</v>
          </cell>
          <cell r="H250">
            <v>0</v>
          </cell>
          <cell r="I250">
            <v>0</v>
          </cell>
          <cell r="J250">
            <v>0</v>
          </cell>
          <cell r="K250">
            <v>0</v>
          </cell>
          <cell r="L250">
            <v>0</v>
          </cell>
          <cell r="M250">
            <v>0</v>
          </cell>
          <cell r="T250" t="str">
            <v>8b03</v>
          </cell>
          <cell r="U250">
            <v>0</v>
          </cell>
        </row>
        <row r="251">
          <cell r="D251" t="str">
            <v>8b04</v>
          </cell>
          <cell r="E251" t="str">
            <v>其他权益工具（优先股）_同一控制下企业合并调整上年年末余额</v>
          </cell>
          <cell r="F251">
            <v>0</v>
          </cell>
          <cell r="G251">
            <v>0</v>
          </cell>
          <cell r="H251">
            <v>0</v>
          </cell>
          <cell r="I251">
            <v>0</v>
          </cell>
          <cell r="J251">
            <v>0</v>
          </cell>
          <cell r="K251">
            <v>0</v>
          </cell>
          <cell r="L251">
            <v>0</v>
          </cell>
          <cell r="M251">
            <v>0</v>
          </cell>
          <cell r="T251" t="str">
            <v>8b04</v>
          </cell>
          <cell r="U251">
            <v>0</v>
          </cell>
        </row>
        <row r="252">
          <cell r="D252" t="str">
            <v>8b09</v>
          </cell>
          <cell r="E252" t="str">
            <v>其他权益工具（优先股）_其他原因调整上年年末余额</v>
          </cell>
          <cell r="F252">
            <v>0</v>
          </cell>
          <cell r="G252">
            <v>0</v>
          </cell>
          <cell r="H252">
            <v>0</v>
          </cell>
          <cell r="I252">
            <v>0</v>
          </cell>
          <cell r="J252">
            <v>0</v>
          </cell>
          <cell r="K252">
            <v>0</v>
          </cell>
          <cell r="L252">
            <v>0</v>
          </cell>
          <cell r="M252">
            <v>0</v>
          </cell>
          <cell r="T252" t="str">
            <v>8b09</v>
          </cell>
          <cell r="U252">
            <v>0</v>
          </cell>
        </row>
        <row r="253">
          <cell r="D253" t="str">
            <v>8b10</v>
          </cell>
          <cell r="E253" t="str">
            <v>其他权益工具（优先股）_本年年初余额</v>
          </cell>
          <cell r="F253">
            <v>0</v>
          </cell>
          <cell r="G253">
            <v>0</v>
          </cell>
          <cell r="H253">
            <v>0</v>
          </cell>
          <cell r="I253">
            <v>0</v>
          </cell>
          <cell r="J253">
            <v>0</v>
          </cell>
          <cell r="K253">
            <v>0</v>
          </cell>
          <cell r="L253">
            <v>0</v>
          </cell>
          <cell r="M253">
            <v>0</v>
          </cell>
          <cell r="T253" t="str">
            <v>8b10</v>
          </cell>
          <cell r="U253">
            <v>0</v>
          </cell>
        </row>
        <row r="254">
          <cell r="D254" t="str">
            <v>8b90</v>
          </cell>
          <cell r="E254" t="str">
            <v>其他权益工具（优先股）_本期增减变动金额</v>
          </cell>
          <cell r="F254">
            <v>0</v>
          </cell>
          <cell r="G254">
            <v>0</v>
          </cell>
          <cell r="H254">
            <v>0</v>
          </cell>
          <cell r="I254">
            <v>0</v>
          </cell>
          <cell r="J254">
            <v>0</v>
          </cell>
          <cell r="K254">
            <v>0</v>
          </cell>
          <cell r="L254">
            <v>0</v>
          </cell>
          <cell r="M254">
            <v>0</v>
          </cell>
          <cell r="T254" t="str">
            <v>8b90</v>
          </cell>
          <cell r="U254">
            <v>0</v>
          </cell>
        </row>
        <row r="255">
          <cell r="D255" t="str">
            <v>8b40</v>
          </cell>
          <cell r="E255" t="str">
            <v>其他权益工具（优先股）_综合收益总额增加权益</v>
          </cell>
          <cell r="F255">
            <v>0</v>
          </cell>
          <cell r="G255">
            <v>0</v>
          </cell>
          <cell r="H255">
            <v>0</v>
          </cell>
          <cell r="I255">
            <v>0</v>
          </cell>
          <cell r="J255">
            <v>0</v>
          </cell>
          <cell r="K255">
            <v>0</v>
          </cell>
          <cell r="L255">
            <v>0</v>
          </cell>
          <cell r="M255">
            <v>0</v>
          </cell>
          <cell r="T255" t="str">
            <v>8b40</v>
          </cell>
          <cell r="U255">
            <v>0</v>
          </cell>
        </row>
        <row r="256">
          <cell r="D256" t="str">
            <v>8b50</v>
          </cell>
          <cell r="E256" t="str">
            <v>其他权益工具（优先股）_所有者投入和减少资本影响权益</v>
          </cell>
          <cell r="F256">
            <v>0</v>
          </cell>
          <cell r="G256">
            <v>0</v>
          </cell>
          <cell r="H256">
            <v>0</v>
          </cell>
          <cell r="I256">
            <v>0</v>
          </cell>
          <cell r="J256">
            <v>0</v>
          </cell>
          <cell r="K256">
            <v>0</v>
          </cell>
          <cell r="L256">
            <v>0</v>
          </cell>
          <cell r="M256">
            <v>0</v>
          </cell>
          <cell r="T256" t="str">
            <v>8b50</v>
          </cell>
          <cell r="U256">
            <v>0</v>
          </cell>
        </row>
        <row r="257">
          <cell r="D257" t="str">
            <v>8b51</v>
          </cell>
          <cell r="E257" t="str">
            <v>其他权益工具（优先股）_所有者投入资本</v>
          </cell>
          <cell r="F257">
            <v>0</v>
          </cell>
          <cell r="G257">
            <v>0</v>
          </cell>
          <cell r="H257">
            <v>0</v>
          </cell>
          <cell r="I257">
            <v>0</v>
          </cell>
          <cell r="J257">
            <v>0</v>
          </cell>
          <cell r="K257">
            <v>0</v>
          </cell>
          <cell r="L257">
            <v>0</v>
          </cell>
          <cell r="M257">
            <v>0</v>
          </cell>
          <cell r="T257" t="str">
            <v>8b51</v>
          </cell>
          <cell r="U257">
            <v>0</v>
          </cell>
        </row>
        <row r="258">
          <cell r="D258" t="str">
            <v>8b53</v>
          </cell>
          <cell r="E258" t="str">
            <v>其他权益工具（优先股）_其他权益工具持有者投入资本</v>
          </cell>
          <cell r="F258">
            <v>0</v>
          </cell>
          <cell r="G258">
            <v>0</v>
          </cell>
          <cell r="H258">
            <v>0</v>
          </cell>
          <cell r="I258">
            <v>0</v>
          </cell>
          <cell r="J258">
            <v>0</v>
          </cell>
          <cell r="K258">
            <v>0</v>
          </cell>
          <cell r="L258">
            <v>0</v>
          </cell>
          <cell r="M258">
            <v>0</v>
          </cell>
          <cell r="T258" t="str">
            <v>8b53</v>
          </cell>
          <cell r="U258">
            <v>0</v>
          </cell>
        </row>
        <row r="259">
          <cell r="D259" t="str">
            <v>8b52</v>
          </cell>
          <cell r="E259" t="str">
            <v>其他权益工具（优先股）_股份支付</v>
          </cell>
          <cell r="F259">
            <v>0</v>
          </cell>
          <cell r="G259">
            <v>0</v>
          </cell>
          <cell r="H259">
            <v>0</v>
          </cell>
          <cell r="I259">
            <v>0</v>
          </cell>
          <cell r="J259">
            <v>0</v>
          </cell>
          <cell r="K259">
            <v>0</v>
          </cell>
          <cell r="L259">
            <v>0</v>
          </cell>
          <cell r="M259">
            <v>0</v>
          </cell>
          <cell r="T259" t="str">
            <v>8b52</v>
          </cell>
          <cell r="U259">
            <v>0</v>
          </cell>
        </row>
        <row r="260">
          <cell r="D260" t="str">
            <v>8b56</v>
          </cell>
          <cell r="E260" t="str">
            <v>其他权益工具（优先股）_所有者其他投入和减少资本</v>
          </cell>
          <cell r="F260">
            <v>0</v>
          </cell>
          <cell r="G260">
            <v>0</v>
          </cell>
          <cell r="H260">
            <v>0</v>
          </cell>
          <cell r="I260">
            <v>0</v>
          </cell>
          <cell r="J260">
            <v>0</v>
          </cell>
          <cell r="K260">
            <v>0</v>
          </cell>
          <cell r="L260">
            <v>0</v>
          </cell>
          <cell r="M260">
            <v>0</v>
          </cell>
          <cell r="T260" t="str">
            <v>8b56</v>
          </cell>
          <cell r="U260">
            <v>0</v>
          </cell>
        </row>
        <row r="261">
          <cell r="D261" t="str">
            <v>8b60</v>
          </cell>
          <cell r="E261" t="str">
            <v>其他权益工具（优先股）_利润分配影响权益</v>
          </cell>
          <cell r="F261">
            <v>0</v>
          </cell>
          <cell r="G261">
            <v>0</v>
          </cell>
          <cell r="H261">
            <v>0</v>
          </cell>
          <cell r="I261">
            <v>0</v>
          </cell>
          <cell r="J261">
            <v>0</v>
          </cell>
          <cell r="K261">
            <v>0</v>
          </cell>
          <cell r="L261">
            <v>0</v>
          </cell>
          <cell r="M261">
            <v>0</v>
          </cell>
          <cell r="T261" t="str">
            <v>8b60</v>
          </cell>
          <cell r="U261">
            <v>0</v>
          </cell>
        </row>
        <row r="262">
          <cell r="D262" t="str">
            <v>8b61</v>
          </cell>
          <cell r="E262" t="str">
            <v>其他权益工具（优先股）_提取盈余公积</v>
          </cell>
          <cell r="F262">
            <v>0</v>
          </cell>
          <cell r="G262">
            <v>0</v>
          </cell>
          <cell r="H262">
            <v>0</v>
          </cell>
          <cell r="I262">
            <v>0</v>
          </cell>
          <cell r="J262">
            <v>0</v>
          </cell>
          <cell r="K262">
            <v>0</v>
          </cell>
          <cell r="L262">
            <v>0</v>
          </cell>
          <cell r="M262">
            <v>0</v>
          </cell>
          <cell r="T262" t="str">
            <v>8b61</v>
          </cell>
          <cell r="U262">
            <v>0</v>
          </cell>
        </row>
        <row r="263">
          <cell r="D263" t="str">
            <v>8b62</v>
          </cell>
          <cell r="E263" t="str">
            <v>其他权益工具（优先股）_提取一般风险准备</v>
          </cell>
          <cell r="F263">
            <v>0</v>
          </cell>
          <cell r="G263">
            <v>0</v>
          </cell>
          <cell r="H263">
            <v>0</v>
          </cell>
          <cell r="I263">
            <v>0</v>
          </cell>
          <cell r="J263">
            <v>0</v>
          </cell>
          <cell r="K263">
            <v>0</v>
          </cell>
          <cell r="L263">
            <v>0</v>
          </cell>
          <cell r="M263">
            <v>0</v>
          </cell>
          <cell r="T263" t="str">
            <v>8b62</v>
          </cell>
          <cell r="U263">
            <v>0</v>
          </cell>
        </row>
        <row r="264">
          <cell r="D264" t="str">
            <v>8b63</v>
          </cell>
          <cell r="E264" t="str">
            <v>其他权益工具（优先股）_对所有者的分配</v>
          </cell>
          <cell r="F264">
            <v>0</v>
          </cell>
          <cell r="G264">
            <v>0</v>
          </cell>
          <cell r="H264">
            <v>0</v>
          </cell>
          <cell r="I264">
            <v>0</v>
          </cell>
          <cell r="J264">
            <v>0</v>
          </cell>
          <cell r="K264">
            <v>0</v>
          </cell>
          <cell r="L264">
            <v>0</v>
          </cell>
          <cell r="M264">
            <v>0</v>
          </cell>
          <cell r="T264" t="str">
            <v>8b63</v>
          </cell>
          <cell r="U264">
            <v>0</v>
          </cell>
        </row>
        <row r="265">
          <cell r="D265" t="str">
            <v>8b66</v>
          </cell>
          <cell r="E265" t="str">
            <v>其他权益工具（优先股）_其他利润分配</v>
          </cell>
          <cell r="F265">
            <v>0</v>
          </cell>
          <cell r="G265">
            <v>0</v>
          </cell>
          <cell r="H265">
            <v>0</v>
          </cell>
          <cell r="I265">
            <v>0</v>
          </cell>
          <cell r="J265">
            <v>0</v>
          </cell>
          <cell r="K265">
            <v>0</v>
          </cell>
          <cell r="L265">
            <v>0</v>
          </cell>
          <cell r="M265">
            <v>0</v>
          </cell>
          <cell r="T265" t="str">
            <v>8b66</v>
          </cell>
          <cell r="U265">
            <v>0</v>
          </cell>
        </row>
        <row r="266">
          <cell r="D266" t="str">
            <v>8b70</v>
          </cell>
          <cell r="E266" t="str">
            <v>其他权益工具（优先股）_所有者权益内部结转</v>
          </cell>
          <cell r="F266">
            <v>0</v>
          </cell>
          <cell r="G266">
            <v>0</v>
          </cell>
          <cell r="H266">
            <v>0</v>
          </cell>
          <cell r="I266">
            <v>0</v>
          </cell>
          <cell r="J266">
            <v>0</v>
          </cell>
          <cell r="K266">
            <v>0</v>
          </cell>
          <cell r="L266">
            <v>0</v>
          </cell>
          <cell r="M266">
            <v>0</v>
          </cell>
          <cell r="T266" t="str">
            <v>8b70</v>
          </cell>
          <cell r="U266">
            <v>0</v>
          </cell>
        </row>
        <row r="267">
          <cell r="D267" t="str">
            <v>8b71</v>
          </cell>
          <cell r="E267" t="str">
            <v>其他权益工具（优先股）_资本公积转增资本</v>
          </cell>
          <cell r="F267">
            <v>0</v>
          </cell>
          <cell r="G267">
            <v>0</v>
          </cell>
          <cell r="H267">
            <v>0</v>
          </cell>
          <cell r="I267">
            <v>0</v>
          </cell>
          <cell r="J267">
            <v>0</v>
          </cell>
          <cell r="K267">
            <v>0</v>
          </cell>
          <cell r="L267">
            <v>0</v>
          </cell>
          <cell r="M267">
            <v>0</v>
          </cell>
          <cell r="T267" t="str">
            <v>8b71</v>
          </cell>
          <cell r="U267">
            <v>0</v>
          </cell>
        </row>
        <row r="268">
          <cell r="D268" t="str">
            <v>8b72</v>
          </cell>
          <cell r="E268" t="str">
            <v>其他权益工具（优先股）_盈余公积转增资本</v>
          </cell>
          <cell r="F268">
            <v>0</v>
          </cell>
          <cell r="G268">
            <v>0</v>
          </cell>
          <cell r="H268">
            <v>0</v>
          </cell>
          <cell r="I268">
            <v>0</v>
          </cell>
          <cell r="J268">
            <v>0</v>
          </cell>
          <cell r="K268">
            <v>0</v>
          </cell>
          <cell r="L268">
            <v>0</v>
          </cell>
          <cell r="M268">
            <v>0</v>
          </cell>
          <cell r="T268" t="str">
            <v>8b72</v>
          </cell>
          <cell r="U268">
            <v>0</v>
          </cell>
        </row>
        <row r="269">
          <cell r="D269" t="str">
            <v>8b73</v>
          </cell>
          <cell r="E269" t="str">
            <v>其他权益工具（优先股）_盈余公积弥补亏损</v>
          </cell>
          <cell r="F269">
            <v>0</v>
          </cell>
          <cell r="G269">
            <v>0</v>
          </cell>
          <cell r="H269">
            <v>0</v>
          </cell>
          <cell r="I269">
            <v>0</v>
          </cell>
          <cell r="J269">
            <v>0</v>
          </cell>
          <cell r="K269">
            <v>0</v>
          </cell>
          <cell r="L269">
            <v>0</v>
          </cell>
          <cell r="M269">
            <v>0</v>
          </cell>
          <cell r="T269" t="str">
            <v>8b73</v>
          </cell>
          <cell r="U269">
            <v>0</v>
          </cell>
        </row>
        <row r="270">
          <cell r="D270" t="str">
            <v>8b75</v>
          </cell>
          <cell r="E270" t="str">
            <v>其他权益工具（优先股）_设定受益计划变动额结转留存收益</v>
          </cell>
          <cell r="F270">
            <v>0</v>
          </cell>
          <cell r="G270">
            <v>0</v>
          </cell>
          <cell r="H270">
            <v>0</v>
          </cell>
          <cell r="I270">
            <v>0</v>
          </cell>
          <cell r="J270">
            <v>0</v>
          </cell>
          <cell r="K270">
            <v>0</v>
          </cell>
          <cell r="L270">
            <v>0</v>
          </cell>
          <cell r="M270">
            <v>0</v>
          </cell>
          <cell r="T270" t="str">
            <v>8b75</v>
          </cell>
          <cell r="U270">
            <v>0</v>
          </cell>
        </row>
        <row r="271">
          <cell r="D271" t="str">
            <v>8b76</v>
          </cell>
          <cell r="E271" t="str">
            <v>其他权益工具（优先股）_所有者权益其他内部结转</v>
          </cell>
          <cell r="F271">
            <v>0</v>
          </cell>
          <cell r="G271">
            <v>0</v>
          </cell>
          <cell r="H271">
            <v>0</v>
          </cell>
          <cell r="I271">
            <v>0</v>
          </cell>
          <cell r="J271">
            <v>0</v>
          </cell>
          <cell r="K271">
            <v>0</v>
          </cell>
          <cell r="L271">
            <v>0</v>
          </cell>
          <cell r="M271">
            <v>0</v>
          </cell>
          <cell r="T271" t="str">
            <v>8b76</v>
          </cell>
          <cell r="U271">
            <v>0</v>
          </cell>
        </row>
        <row r="272">
          <cell r="D272" t="str">
            <v>8b80</v>
          </cell>
          <cell r="E272" t="str">
            <v>其他权益工具（优先股）_专项储备影响权益</v>
          </cell>
          <cell r="F272">
            <v>0</v>
          </cell>
          <cell r="G272">
            <v>0</v>
          </cell>
          <cell r="H272">
            <v>0</v>
          </cell>
          <cell r="I272">
            <v>0</v>
          </cell>
          <cell r="J272">
            <v>0</v>
          </cell>
          <cell r="K272">
            <v>0</v>
          </cell>
          <cell r="L272">
            <v>0</v>
          </cell>
          <cell r="M272">
            <v>0</v>
          </cell>
          <cell r="T272" t="str">
            <v>8b80</v>
          </cell>
          <cell r="U272">
            <v>0</v>
          </cell>
        </row>
        <row r="273">
          <cell r="D273" t="str">
            <v>8b81</v>
          </cell>
          <cell r="E273" t="str">
            <v>其他权益工具（优先股）_专项储备本期提取</v>
          </cell>
          <cell r="F273">
            <v>0</v>
          </cell>
          <cell r="G273">
            <v>0</v>
          </cell>
          <cell r="H273">
            <v>0</v>
          </cell>
          <cell r="I273">
            <v>0</v>
          </cell>
          <cell r="J273">
            <v>0</v>
          </cell>
          <cell r="K273">
            <v>0</v>
          </cell>
          <cell r="L273">
            <v>0</v>
          </cell>
          <cell r="M273">
            <v>0</v>
          </cell>
          <cell r="T273" t="str">
            <v>8b81</v>
          </cell>
          <cell r="U273">
            <v>0</v>
          </cell>
        </row>
        <row r="274">
          <cell r="D274" t="str">
            <v>8b82</v>
          </cell>
          <cell r="E274" t="str">
            <v>其他权益工具（优先股）_专项储备本期使用</v>
          </cell>
          <cell r="F274">
            <v>0</v>
          </cell>
          <cell r="G274">
            <v>0</v>
          </cell>
          <cell r="H274">
            <v>0</v>
          </cell>
          <cell r="I274">
            <v>0</v>
          </cell>
          <cell r="J274">
            <v>0</v>
          </cell>
          <cell r="K274">
            <v>0</v>
          </cell>
          <cell r="L274">
            <v>0</v>
          </cell>
          <cell r="M274">
            <v>0</v>
          </cell>
          <cell r="T274" t="str">
            <v>8b82</v>
          </cell>
          <cell r="U274">
            <v>0</v>
          </cell>
        </row>
        <row r="275">
          <cell r="D275" t="str">
            <v>8b96</v>
          </cell>
          <cell r="E275" t="str">
            <v>其他权益工具（优先股）_本期其他增减变动</v>
          </cell>
          <cell r="F275">
            <v>0</v>
          </cell>
          <cell r="G275">
            <v>0</v>
          </cell>
          <cell r="H275">
            <v>0</v>
          </cell>
          <cell r="I275">
            <v>0</v>
          </cell>
          <cell r="J275">
            <v>0</v>
          </cell>
          <cell r="K275">
            <v>0</v>
          </cell>
          <cell r="L275">
            <v>0</v>
          </cell>
          <cell r="M275">
            <v>0</v>
          </cell>
          <cell r="T275" t="str">
            <v>8b96</v>
          </cell>
          <cell r="U275">
            <v>0</v>
          </cell>
        </row>
        <row r="276">
          <cell r="D276" t="str">
            <v>8b99</v>
          </cell>
          <cell r="E276" t="str">
            <v>其他权益工具（优先股）_本期期末余额</v>
          </cell>
          <cell r="F276">
            <v>0</v>
          </cell>
          <cell r="G276">
            <v>0</v>
          </cell>
          <cell r="H276">
            <v>0</v>
          </cell>
          <cell r="I276">
            <v>0</v>
          </cell>
          <cell r="J276">
            <v>0</v>
          </cell>
          <cell r="K276">
            <v>0</v>
          </cell>
          <cell r="L276">
            <v>0</v>
          </cell>
          <cell r="M276">
            <v>0</v>
          </cell>
          <cell r="T276" t="str">
            <v>8b99</v>
          </cell>
          <cell r="U276">
            <v>0</v>
          </cell>
        </row>
        <row r="277">
          <cell r="D277" t="str">
            <v>8c00</v>
          </cell>
          <cell r="E277" t="str">
            <v>其他权益工具（永续债）增减变动</v>
          </cell>
          <cell r="T277" t="str">
            <v>8c00</v>
          </cell>
        </row>
        <row r="278">
          <cell r="D278" t="str">
            <v>8c01</v>
          </cell>
          <cell r="E278" t="str">
            <v>其他权益工具（永续债）_上年年末余额</v>
          </cell>
          <cell r="F278">
            <v>0</v>
          </cell>
          <cell r="G278">
            <v>0</v>
          </cell>
          <cell r="H278">
            <v>0</v>
          </cell>
          <cell r="I278">
            <v>0</v>
          </cell>
          <cell r="J278">
            <v>0</v>
          </cell>
          <cell r="K278">
            <v>0</v>
          </cell>
          <cell r="L278">
            <v>0</v>
          </cell>
          <cell r="M278">
            <v>0</v>
          </cell>
          <cell r="T278" t="str">
            <v>8c01</v>
          </cell>
          <cell r="U278">
            <v>0</v>
          </cell>
        </row>
        <row r="279">
          <cell r="D279" t="str">
            <v>8c02</v>
          </cell>
          <cell r="E279" t="str">
            <v>其他权益工具（永续债）_会计政策变更调整上年年末余额</v>
          </cell>
          <cell r="F279">
            <v>0</v>
          </cell>
          <cell r="G279">
            <v>0</v>
          </cell>
          <cell r="H279">
            <v>0</v>
          </cell>
          <cell r="I279">
            <v>0</v>
          </cell>
          <cell r="J279">
            <v>0</v>
          </cell>
          <cell r="K279">
            <v>0</v>
          </cell>
          <cell r="L279">
            <v>0</v>
          </cell>
          <cell r="M279">
            <v>0</v>
          </cell>
          <cell r="T279" t="str">
            <v>8c02</v>
          </cell>
          <cell r="U279">
            <v>0</v>
          </cell>
        </row>
        <row r="280">
          <cell r="D280" t="str">
            <v>8c03</v>
          </cell>
          <cell r="E280" t="str">
            <v>其他权益工具（永续债）_前期差错更正调整上年年末余额</v>
          </cell>
          <cell r="F280">
            <v>0</v>
          </cell>
          <cell r="G280">
            <v>0</v>
          </cell>
          <cell r="H280">
            <v>0</v>
          </cell>
          <cell r="I280">
            <v>0</v>
          </cell>
          <cell r="J280">
            <v>0</v>
          </cell>
          <cell r="K280">
            <v>0</v>
          </cell>
          <cell r="L280">
            <v>0</v>
          </cell>
          <cell r="M280">
            <v>0</v>
          </cell>
          <cell r="T280" t="str">
            <v>8c03</v>
          </cell>
          <cell r="U280">
            <v>0</v>
          </cell>
        </row>
        <row r="281">
          <cell r="D281" t="str">
            <v>8c04</v>
          </cell>
          <cell r="E281" t="str">
            <v>其他权益工具（永续债）_同一控制下企业合并调整上年年末余额</v>
          </cell>
          <cell r="F281">
            <v>0</v>
          </cell>
          <cell r="G281">
            <v>0</v>
          </cell>
          <cell r="H281">
            <v>0</v>
          </cell>
          <cell r="I281">
            <v>0</v>
          </cell>
          <cell r="J281">
            <v>0</v>
          </cell>
          <cell r="K281">
            <v>0</v>
          </cell>
          <cell r="L281">
            <v>0</v>
          </cell>
          <cell r="M281">
            <v>0</v>
          </cell>
          <cell r="T281" t="str">
            <v>8c04</v>
          </cell>
          <cell r="U281">
            <v>0</v>
          </cell>
        </row>
        <row r="282">
          <cell r="D282" t="str">
            <v>8c09</v>
          </cell>
          <cell r="E282" t="str">
            <v>其他权益工具（永续债）_其他原因调整上年年末余额</v>
          </cell>
          <cell r="F282">
            <v>0</v>
          </cell>
          <cell r="G282">
            <v>0</v>
          </cell>
          <cell r="H282">
            <v>0</v>
          </cell>
          <cell r="I282">
            <v>0</v>
          </cell>
          <cell r="J282">
            <v>0</v>
          </cell>
          <cell r="K282">
            <v>0</v>
          </cell>
          <cell r="L282">
            <v>0</v>
          </cell>
          <cell r="M282">
            <v>0</v>
          </cell>
          <cell r="T282" t="str">
            <v>8c09</v>
          </cell>
          <cell r="U282">
            <v>0</v>
          </cell>
        </row>
        <row r="283">
          <cell r="D283" t="str">
            <v>8c10</v>
          </cell>
          <cell r="E283" t="str">
            <v>其他权益工具（永续债）_本年年初余额</v>
          </cell>
          <cell r="F283">
            <v>0</v>
          </cell>
          <cell r="G283">
            <v>0</v>
          </cell>
          <cell r="H283">
            <v>0</v>
          </cell>
          <cell r="I283">
            <v>0</v>
          </cell>
          <cell r="J283">
            <v>0</v>
          </cell>
          <cell r="K283">
            <v>0</v>
          </cell>
          <cell r="L283">
            <v>0</v>
          </cell>
          <cell r="M283">
            <v>0</v>
          </cell>
          <cell r="T283" t="str">
            <v>8c10</v>
          </cell>
          <cell r="U283">
            <v>0</v>
          </cell>
        </row>
        <row r="284">
          <cell r="D284" t="str">
            <v>8c90</v>
          </cell>
          <cell r="E284" t="str">
            <v>其他权益工具（永续债）_本期增减变动金额</v>
          </cell>
          <cell r="F284">
            <v>0</v>
          </cell>
          <cell r="G284">
            <v>0</v>
          </cell>
          <cell r="H284">
            <v>0</v>
          </cell>
          <cell r="I284">
            <v>0</v>
          </cell>
          <cell r="J284">
            <v>0</v>
          </cell>
          <cell r="K284">
            <v>0</v>
          </cell>
          <cell r="L284">
            <v>0</v>
          </cell>
          <cell r="M284">
            <v>0</v>
          </cell>
          <cell r="T284" t="str">
            <v>8c90</v>
          </cell>
          <cell r="U284">
            <v>0</v>
          </cell>
        </row>
        <row r="285">
          <cell r="D285" t="str">
            <v>8c40</v>
          </cell>
          <cell r="E285" t="str">
            <v>其他权益工具（永续债）_综合收益总额增加权益</v>
          </cell>
          <cell r="F285">
            <v>0</v>
          </cell>
          <cell r="G285">
            <v>0</v>
          </cell>
          <cell r="H285">
            <v>0</v>
          </cell>
          <cell r="I285">
            <v>0</v>
          </cell>
          <cell r="J285">
            <v>0</v>
          </cell>
          <cell r="K285">
            <v>0</v>
          </cell>
          <cell r="L285">
            <v>0</v>
          </cell>
          <cell r="M285">
            <v>0</v>
          </cell>
          <cell r="T285" t="str">
            <v>8c40</v>
          </cell>
          <cell r="U285">
            <v>0</v>
          </cell>
        </row>
        <row r="286">
          <cell r="D286" t="str">
            <v>8c50</v>
          </cell>
          <cell r="E286" t="str">
            <v>其他权益工具（永续债）_所有者投入和减少资本影响权益</v>
          </cell>
          <cell r="F286">
            <v>0</v>
          </cell>
          <cell r="G286">
            <v>0</v>
          </cell>
          <cell r="H286">
            <v>0</v>
          </cell>
          <cell r="I286">
            <v>0</v>
          </cell>
          <cell r="J286">
            <v>0</v>
          </cell>
          <cell r="K286">
            <v>0</v>
          </cell>
          <cell r="L286">
            <v>0</v>
          </cell>
          <cell r="M286">
            <v>0</v>
          </cell>
          <cell r="T286" t="str">
            <v>8c50</v>
          </cell>
          <cell r="U286">
            <v>0</v>
          </cell>
        </row>
        <row r="287">
          <cell r="D287" t="str">
            <v>8c51</v>
          </cell>
          <cell r="E287" t="str">
            <v>其他权益工具（永续债）_所有者投入资本</v>
          </cell>
          <cell r="F287">
            <v>0</v>
          </cell>
          <cell r="G287">
            <v>0</v>
          </cell>
          <cell r="H287">
            <v>0</v>
          </cell>
          <cell r="I287">
            <v>0</v>
          </cell>
          <cell r="J287">
            <v>0</v>
          </cell>
          <cell r="K287">
            <v>0</v>
          </cell>
          <cell r="L287">
            <v>0</v>
          </cell>
          <cell r="M287">
            <v>0</v>
          </cell>
          <cell r="T287" t="str">
            <v>8c51</v>
          </cell>
          <cell r="U287">
            <v>0</v>
          </cell>
        </row>
        <row r="288">
          <cell r="D288" t="str">
            <v>8c53</v>
          </cell>
          <cell r="E288" t="str">
            <v>其他权益工具（永续债）_其他权益工具持有者投入资本</v>
          </cell>
          <cell r="F288">
            <v>0</v>
          </cell>
          <cell r="G288">
            <v>0</v>
          </cell>
          <cell r="H288">
            <v>0</v>
          </cell>
          <cell r="I288">
            <v>0</v>
          </cell>
          <cell r="J288">
            <v>0</v>
          </cell>
          <cell r="K288">
            <v>0</v>
          </cell>
          <cell r="L288">
            <v>0</v>
          </cell>
          <cell r="M288">
            <v>0</v>
          </cell>
          <cell r="T288" t="str">
            <v>8c53</v>
          </cell>
          <cell r="U288">
            <v>0</v>
          </cell>
        </row>
        <row r="289">
          <cell r="D289" t="str">
            <v>8c52</v>
          </cell>
          <cell r="E289" t="str">
            <v>其他权益工具（永续债）_股份支付</v>
          </cell>
          <cell r="F289">
            <v>0</v>
          </cell>
          <cell r="G289">
            <v>0</v>
          </cell>
          <cell r="H289">
            <v>0</v>
          </cell>
          <cell r="I289">
            <v>0</v>
          </cell>
          <cell r="J289">
            <v>0</v>
          </cell>
          <cell r="K289">
            <v>0</v>
          </cell>
          <cell r="L289">
            <v>0</v>
          </cell>
          <cell r="M289">
            <v>0</v>
          </cell>
          <cell r="T289" t="str">
            <v>8c52</v>
          </cell>
          <cell r="U289">
            <v>0</v>
          </cell>
        </row>
        <row r="290">
          <cell r="D290" t="str">
            <v>8c56</v>
          </cell>
          <cell r="E290" t="str">
            <v>其他权益工具（永续债）_所有者其他投入和减少资本</v>
          </cell>
          <cell r="F290">
            <v>0</v>
          </cell>
          <cell r="G290">
            <v>0</v>
          </cell>
          <cell r="H290">
            <v>0</v>
          </cell>
          <cell r="I290">
            <v>0</v>
          </cell>
          <cell r="J290">
            <v>0</v>
          </cell>
          <cell r="K290">
            <v>0</v>
          </cell>
          <cell r="L290">
            <v>0</v>
          </cell>
          <cell r="M290">
            <v>0</v>
          </cell>
          <cell r="T290" t="str">
            <v>8c56</v>
          </cell>
          <cell r="U290">
            <v>0</v>
          </cell>
        </row>
        <row r="291">
          <cell r="D291" t="str">
            <v>8c60</v>
          </cell>
          <cell r="E291" t="str">
            <v>其他权益工具（永续债）_利润分配影响权益</v>
          </cell>
          <cell r="F291">
            <v>0</v>
          </cell>
          <cell r="G291">
            <v>0</v>
          </cell>
          <cell r="H291">
            <v>0</v>
          </cell>
          <cell r="I291">
            <v>0</v>
          </cell>
          <cell r="J291">
            <v>0</v>
          </cell>
          <cell r="K291">
            <v>0</v>
          </cell>
          <cell r="L291">
            <v>0</v>
          </cell>
          <cell r="M291">
            <v>0</v>
          </cell>
          <cell r="T291" t="str">
            <v>8c60</v>
          </cell>
          <cell r="U291">
            <v>0</v>
          </cell>
        </row>
        <row r="292">
          <cell r="D292" t="str">
            <v>8c61</v>
          </cell>
          <cell r="E292" t="str">
            <v>其他权益工具（永续债）_提取盈余公积</v>
          </cell>
          <cell r="F292">
            <v>0</v>
          </cell>
          <cell r="G292">
            <v>0</v>
          </cell>
          <cell r="H292">
            <v>0</v>
          </cell>
          <cell r="I292">
            <v>0</v>
          </cell>
          <cell r="J292">
            <v>0</v>
          </cell>
          <cell r="K292">
            <v>0</v>
          </cell>
          <cell r="L292">
            <v>0</v>
          </cell>
          <cell r="M292">
            <v>0</v>
          </cell>
          <cell r="T292" t="str">
            <v>8c61</v>
          </cell>
          <cell r="U292">
            <v>0</v>
          </cell>
        </row>
        <row r="293">
          <cell r="D293" t="str">
            <v>8c62</v>
          </cell>
          <cell r="E293" t="str">
            <v>其他权益工具（永续债）_提取一般风险准备</v>
          </cell>
          <cell r="F293">
            <v>0</v>
          </cell>
          <cell r="G293">
            <v>0</v>
          </cell>
          <cell r="H293">
            <v>0</v>
          </cell>
          <cell r="I293">
            <v>0</v>
          </cell>
          <cell r="J293">
            <v>0</v>
          </cell>
          <cell r="K293">
            <v>0</v>
          </cell>
          <cell r="L293">
            <v>0</v>
          </cell>
          <cell r="M293">
            <v>0</v>
          </cell>
          <cell r="T293" t="str">
            <v>8c62</v>
          </cell>
          <cell r="U293">
            <v>0</v>
          </cell>
        </row>
        <row r="294">
          <cell r="D294" t="str">
            <v>8c63</v>
          </cell>
          <cell r="E294" t="str">
            <v>其他权益工具（永续债）_对所有者的分配</v>
          </cell>
          <cell r="F294">
            <v>0</v>
          </cell>
          <cell r="G294">
            <v>0</v>
          </cell>
          <cell r="H294">
            <v>0</v>
          </cell>
          <cell r="I294">
            <v>0</v>
          </cell>
          <cell r="J294">
            <v>0</v>
          </cell>
          <cell r="K294">
            <v>0</v>
          </cell>
          <cell r="L294">
            <v>0</v>
          </cell>
          <cell r="M294">
            <v>0</v>
          </cell>
          <cell r="T294" t="str">
            <v>8c63</v>
          </cell>
          <cell r="U294">
            <v>0</v>
          </cell>
        </row>
        <row r="295">
          <cell r="D295" t="str">
            <v>8c66</v>
          </cell>
          <cell r="E295" t="str">
            <v>其他权益工具（永续债）_其他利润分配</v>
          </cell>
          <cell r="F295">
            <v>0</v>
          </cell>
          <cell r="G295">
            <v>0</v>
          </cell>
          <cell r="H295">
            <v>0</v>
          </cell>
          <cell r="I295">
            <v>0</v>
          </cell>
          <cell r="J295">
            <v>0</v>
          </cell>
          <cell r="K295">
            <v>0</v>
          </cell>
          <cell r="L295">
            <v>0</v>
          </cell>
          <cell r="M295">
            <v>0</v>
          </cell>
          <cell r="T295" t="str">
            <v>8c66</v>
          </cell>
          <cell r="U295">
            <v>0</v>
          </cell>
        </row>
        <row r="296">
          <cell r="D296" t="str">
            <v>8c70</v>
          </cell>
          <cell r="E296" t="str">
            <v>其他权益工具（永续债）_所有者权益内部结转</v>
          </cell>
          <cell r="F296">
            <v>0</v>
          </cell>
          <cell r="G296">
            <v>0</v>
          </cell>
          <cell r="H296">
            <v>0</v>
          </cell>
          <cell r="I296">
            <v>0</v>
          </cell>
          <cell r="J296">
            <v>0</v>
          </cell>
          <cell r="K296">
            <v>0</v>
          </cell>
          <cell r="L296">
            <v>0</v>
          </cell>
          <cell r="M296">
            <v>0</v>
          </cell>
          <cell r="T296" t="str">
            <v>8c70</v>
          </cell>
          <cell r="U296">
            <v>0</v>
          </cell>
        </row>
        <row r="297">
          <cell r="D297" t="str">
            <v>8c71</v>
          </cell>
          <cell r="E297" t="str">
            <v>其他权益工具（永续债）_资本公积转增资本</v>
          </cell>
          <cell r="F297">
            <v>0</v>
          </cell>
          <cell r="G297">
            <v>0</v>
          </cell>
          <cell r="H297">
            <v>0</v>
          </cell>
          <cell r="I297">
            <v>0</v>
          </cell>
          <cell r="J297">
            <v>0</v>
          </cell>
          <cell r="K297">
            <v>0</v>
          </cell>
          <cell r="L297">
            <v>0</v>
          </cell>
          <cell r="M297">
            <v>0</v>
          </cell>
          <cell r="T297" t="str">
            <v>8c71</v>
          </cell>
          <cell r="U297">
            <v>0</v>
          </cell>
        </row>
        <row r="298">
          <cell r="D298" t="str">
            <v>8c72</v>
          </cell>
          <cell r="E298" t="str">
            <v>其他权益工具（永续债）_盈余公积转增资本</v>
          </cell>
          <cell r="F298">
            <v>0</v>
          </cell>
          <cell r="G298">
            <v>0</v>
          </cell>
          <cell r="H298">
            <v>0</v>
          </cell>
          <cell r="I298">
            <v>0</v>
          </cell>
          <cell r="J298">
            <v>0</v>
          </cell>
          <cell r="K298">
            <v>0</v>
          </cell>
          <cell r="L298">
            <v>0</v>
          </cell>
          <cell r="M298">
            <v>0</v>
          </cell>
          <cell r="T298" t="str">
            <v>8c72</v>
          </cell>
          <cell r="U298">
            <v>0</v>
          </cell>
        </row>
        <row r="299">
          <cell r="D299" t="str">
            <v>8c73</v>
          </cell>
          <cell r="E299" t="str">
            <v>其他权益工具（永续债）_盈余公积弥补亏损</v>
          </cell>
          <cell r="F299">
            <v>0</v>
          </cell>
          <cell r="G299">
            <v>0</v>
          </cell>
          <cell r="H299">
            <v>0</v>
          </cell>
          <cell r="I299">
            <v>0</v>
          </cell>
          <cell r="J299">
            <v>0</v>
          </cell>
          <cell r="K299">
            <v>0</v>
          </cell>
          <cell r="L299">
            <v>0</v>
          </cell>
          <cell r="M299">
            <v>0</v>
          </cell>
          <cell r="T299" t="str">
            <v>8c73</v>
          </cell>
          <cell r="U299">
            <v>0</v>
          </cell>
        </row>
        <row r="300">
          <cell r="D300" t="str">
            <v>8c75</v>
          </cell>
          <cell r="E300" t="str">
            <v>其他权益工具（永续债）_设定受益计划变动额结转留存收益</v>
          </cell>
          <cell r="F300">
            <v>0</v>
          </cell>
          <cell r="G300">
            <v>0</v>
          </cell>
          <cell r="H300">
            <v>0</v>
          </cell>
          <cell r="I300">
            <v>0</v>
          </cell>
          <cell r="J300">
            <v>0</v>
          </cell>
          <cell r="K300">
            <v>0</v>
          </cell>
          <cell r="L300">
            <v>0</v>
          </cell>
          <cell r="M300">
            <v>0</v>
          </cell>
          <cell r="T300" t="str">
            <v>8c75</v>
          </cell>
          <cell r="U300">
            <v>0</v>
          </cell>
        </row>
        <row r="301">
          <cell r="D301" t="str">
            <v>8c76</v>
          </cell>
          <cell r="E301" t="str">
            <v>其他权益工具（永续债）_所有者权益其他内部结转</v>
          </cell>
          <cell r="F301">
            <v>0</v>
          </cell>
          <cell r="G301">
            <v>0</v>
          </cell>
          <cell r="H301">
            <v>0</v>
          </cell>
          <cell r="I301">
            <v>0</v>
          </cell>
          <cell r="J301">
            <v>0</v>
          </cell>
          <cell r="K301">
            <v>0</v>
          </cell>
          <cell r="L301">
            <v>0</v>
          </cell>
          <cell r="M301">
            <v>0</v>
          </cell>
          <cell r="T301" t="str">
            <v>8c76</v>
          </cell>
          <cell r="U301">
            <v>0</v>
          </cell>
        </row>
        <row r="302">
          <cell r="D302" t="str">
            <v>8c80</v>
          </cell>
          <cell r="E302" t="str">
            <v>其他权益工具（永续债）_专项储备影响权益</v>
          </cell>
          <cell r="F302">
            <v>0</v>
          </cell>
          <cell r="G302">
            <v>0</v>
          </cell>
          <cell r="H302">
            <v>0</v>
          </cell>
          <cell r="I302">
            <v>0</v>
          </cell>
          <cell r="J302">
            <v>0</v>
          </cell>
          <cell r="K302">
            <v>0</v>
          </cell>
          <cell r="L302">
            <v>0</v>
          </cell>
          <cell r="M302">
            <v>0</v>
          </cell>
          <cell r="T302" t="str">
            <v>8c80</v>
          </cell>
          <cell r="U302">
            <v>0</v>
          </cell>
        </row>
        <row r="303">
          <cell r="D303" t="str">
            <v>8c81</v>
          </cell>
          <cell r="E303" t="str">
            <v>其他权益工具（永续债）_专项储备本期提取</v>
          </cell>
          <cell r="F303">
            <v>0</v>
          </cell>
          <cell r="G303">
            <v>0</v>
          </cell>
          <cell r="H303">
            <v>0</v>
          </cell>
          <cell r="I303">
            <v>0</v>
          </cell>
          <cell r="J303">
            <v>0</v>
          </cell>
          <cell r="K303">
            <v>0</v>
          </cell>
          <cell r="L303">
            <v>0</v>
          </cell>
          <cell r="M303">
            <v>0</v>
          </cell>
          <cell r="T303" t="str">
            <v>8c81</v>
          </cell>
          <cell r="U303">
            <v>0</v>
          </cell>
        </row>
        <row r="304">
          <cell r="D304" t="str">
            <v>8c82</v>
          </cell>
          <cell r="E304" t="str">
            <v>其他权益工具（永续债）_专项储备本期使用</v>
          </cell>
          <cell r="F304">
            <v>0</v>
          </cell>
          <cell r="G304">
            <v>0</v>
          </cell>
          <cell r="H304">
            <v>0</v>
          </cell>
          <cell r="I304">
            <v>0</v>
          </cell>
          <cell r="J304">
            <v>0</v>
          </cell>
          <cell r="K304">
            <v>0</v>
          </cell>
          <cell r="L304">
            <v>0</v>
          </cell>
          <cell r="M304">
            <v>0</v>
          </cell>
          <cell r="T304" t="str">
            <v>8c82</v>
          </cell>
          <cell r="U304">
            <v>0</v>
          </cell>
        </row>
        <row r="305">
          <cell r="D305" t="str">
            <v>8c96</v>
          </cell>
          <cell r="E305" t="str">
            <v>其他权益工具（永续债）_本期其他增减变动</v>
          </cell>
          <cell r="F305">
            <v>0</v>
          </cell>
          <cell r="G305">
            <v>0</v>
          </cell>
          <cell r="H305">
            <v>0</v>
          </cell>
          <cell r="I305">
            <v>0</v>
          </cell>
          <cell r="J305">
            <v>0</v>
          </cell>
          <cell r="K305">
            <v>0</v>
          </cell>
          <cell r="L305">
            <v>0</v>
          </cell>
          <cell r="M305">
            <v>0</v>
          </cell>
          <cell r="T305" t="str">
            <v>8c96</v>
          </cell>
          <cell r="U305">
            <v>0</v>
          </cell>
        </row>
        <row r="306">
          <cell r="D306" t="str">
            <v>8c99</v>
          </cell>
          <cell r="E306" t="str">
            <v>其他权益工具（永续债）_本期期末余额</v>
          </cell>
          <cell r="F306">
            <v>0</v>
          </cell>
          <cell r="G306">
            <v>0</v>
          </cell>
          <cell r="H306">
            <v>0</v>
          </cell>
          <cell r="I306">
            <v>0</v>
          </cell>
          <cell r="J306">
            <v>0</v>
          </cell>
          <cell r="K306">
            <v>0</v>
          </cell>
          <cell r="L306">
            <v>0</v>
          </cell>
          <cell r="M306">
            <v>0</v>
          </cell>
          <cell r="T306" t="str">
            <v>8c99</v>
          </cell>
          <cell r="U306">
            <v>0</v>
          </cell>
        </row>
        <row r="307">
          <cell r="D307" t="str">
            <v>8d00</v>
          </cell>
          <cell r="E307" t="str">
            <v>其他权益工具（其他）增减变动</v>
          </cell>
          <cell r="T307" t="str">
            <v>8d00</v>
          </cell>
        </row>
        <row r="308">
          <cell r="D308" t="str">
            <v>8d01</v>
          </cell>
          <cell r="E308" t="str">
            <v>其他权益工具（其他）_上年年末余额</v>
          </cell>
          <cell r="F308">
            <v>0</v>
          </cell>
          <cell r="G308">
            <v>0</v>
          </cell>
          <cell r="H308">
            <v>0</v>
          </cell>
          <cell r="I308">
            <v>0</v>
          </cell>
          <cell r="J308">
            <v>0</v>
          </cell>
          <cell r="K308">
            <v>0</v>
          </cell>
          <cell r="L308">
            <v>0</v>
          </cell>
          <cell r="M308">
            <v>0</v>
          </cell>
          <cell r="T308" t="str">
            <v>8d01</v>
          </cell>
          <cell r="U308">
            <v>0</v>
          </cell>
        </row>
        <row r="309">
          <cell r="D309" t="str">
            <v>8d02</v>
          </cell>
          <cell r="E309" t="str">
            <v>其他权益工具（其他）_会计政策变更调整上年年末余额</v>
          </cell>
          <cell r="F309">
            <v>0</v>
          </cell>
          <cell r="G309">
            <v>0</v>
          </cell>
          <cell r="H309">
            <v>0</v>
          </cell>
          <cell r="I309">
            <v>0</v>
          </cell>
          <cell r="J309">
            <v>0</v>
          </cell>
          <cell r="K309">
            <v>0</v>
          </cell>
          <cell r="L309">
            <v>0</v>
          </cell>
          <cell r="M309">
            <v>0</v>
          </cell>
          <cell r="T309" t="str">
            <v>8d02</v>
          </cell>
          <cell r="U309">
            <v>0</v>
          </cell>
        </row>
        <row r="310">
          <cell r="D310" t="str">
            <v>8d03</v>
          </cell>
          <cell r="E310" t="str">
            <v>其他权益工具（其他）_前期差错更正调整上年年末余额</v>
          </cell>
          <cell r="F310">
            <v>0</v>
          </cell>
          <cell r="G310">
            <v>0</v>
          </cell>
          <cell r="H310">
            <v>0</v>
          </cell>
          <cell r="I310">
            <v>0</v>
          </cell>
          <cell r="J310">
            <v>0</v>
          </cell>
          <cell r="K310">
            <v>0</v>
          </cell>
          <cell r="L310">
            <v>0</v>
          </cell>
          <cell r="M310">
            <v>0</v>
          </cell>
          <cell r="T310" t="str">
            <v>8d03</v>
          </cell>
          <cell r="U310">
            <v>0</v>
          </cell>
        </row>
        <row r="311">
          <cell r="D311" t="str">
            <v>8d04</v>
          </cell>
          <cell r="E311" t="str">
            <v>其他权益工具（其他）_同一控制下企业合并调整上年年末余额</v>
          </cell>
          <cell r="F311">
            <v>0</v>
          </cell>
          <cell r="G311">
            <v>0</v>
          </cell>
          <cell r="H311">
            <v>0</v>
          </cell>
          <cell r="I311">
            <v>0</v>
          </cell>
          <cell r="J311">
            <v>0</v>
          </cell>
          <cell r="K311">
            <v>0</v>
          </cell>
          <cell r="L311">
            <v>0</v>
          </cell>
          <cell r="M311">
            <v>0</v>
          </cell>
          <cell r="T311" t="str">
            <v>8d04</v>
          </cell>
          <cell r="U311">
            <v>0</v>
          </cell>
        </row>
        <row r="312">
          <cell r="D312" t="str">
            <v>8d09</v>
          </cell>
          <cell r="E312" t="str">
            <v>其他权益工具（其他）_其他原因调整上年年末余额</v>
          </cell>
          <cell r="F312">
            <v>0</v>
          </cell>
          <cell r="G312">
            <v>0</v>
          </cell>
          <cell r="H312">
            <v>0</v>
          </cell>
          <cell r="I312">
            <v>0</v>
          </cell>
          <cell r="J312">
            <v>0</v>
          </cell>
          <cell r="K312">
            <v>0</v>
          </cell>
          <cell r="L312">
            <v>0</v>
          </cell>
          <cell r="M312">
            <v>0</v>
          </cell>
          <cell r="T312" t="str">
            <v>8d09</v>
          </cell>
          <cell r="U312">
            <v>0</v>
          </cell>
        </row>
        <row r="313">
          <cell r="D313" t="str">
            <v>8d10</v>
          </cell>
          <cell r="E313" t="str">
            <v>其他权益工具（其他）_本年年初余额</v>
          </cell>
          <cell r="F313">
            <v>0</v>
          </cell>
          <cell r="G313">
            <v>0</v>
          </cell>
          <cell r="H313">
            <v>0</v>
          </cell>
          <cell r="I313">
            <v>0</v>
          </cell>
          <cell r="J313">
            <v>0</v>
          </cell>
          <cell r="K313">
            <v>0</v>
          </cell>
          <cell r="L313">
            <v>0</v>
          </cell>
          <cell r="M313">
            <v>0</v>
          </cell>
          <cell r="T313" t="str">
            <v>8d10</v>
          </cell>
          <cell r="U313">
            <v>0</v>
          </cell>
        </row>
        <row r="314">
          <cell r="D314" t="str">
            <v>8d90</v>
          </cell>
          <cell r="E314" t="str">
            <v>其他权益工具（其他）_本期增减变动金额</v>
          </cell>
          <cell r="F314">
            <v>0</v>
          </cell>
          <cell r="G314">
            <v>0</v>
          </cell>
          <cell r="H314">
            <v>0</v>
          </cell>
          <cell r="I314">
            <v>0</v>
          </cell>
          <cell r="J314">
            <v>0</v>
          </cell>
          <cell r="K314">
            <v>0</v>
          </cell>
          <cell r="L314">
            <v>0</v>
          </cell>
          <cell r="M314">
            <v>0</v>
          </cell>
          <cell r="T314" t="str">
            <v>8d90</v>
          </cell>
          <cell r="U314">
            <v>0</v>
          </cell>
        </row>
        <row r="315">
          <cell r="D315" t="str">
            <v>8d40</v>
          </cell>
          <cell r="E315" t="str">
            <v>其他权益工具（其他）_综合收益总额增加权益</v>
          </cell>
          <cell r="F315">
            <v>0</v>
          </cell>
          <cell r="G315">
            <v>0</v>
          </cell>
          <cell r="H315">
            <v>0</v>
          </cell>
          <cell r="I315">
            <v>0</v>
          </cell>
          <cell r="J315">
            <v>0</v>
          </cell>
          <cell r="K315">
            <v>0</v>
          </cell>
          <cell r="L315">
            <v>0</v>
          </cell>
          <cell r="M315">
            <v>0</v>
          </cell>
          <cell r="T315" t="str">
            <v>8d40</v>
          </cell>
          <cell r="U315">
            <v>0</v>
          </cell>
        </row>
        <row r="316">
          <cell r="D316" t="str">
            <v>8d50</v>
          </cell>
          <cell r="E316" t="str">
            <v>其他权益工具（其他）_所有者投入和减少资本影响权益</v>
          </cell>
          <cell r="F316">
            <v>0</v>
          </cell>
          <cell r="G316">
            <v>0</v>
          </cell>
          <cell r="H316">
            <v>0</v>
          </cell>
          <cell r="I316">
            <v>0</v>
          </cell>
          <cell r="J316">
            <v>0</v>
          </cell>
          <cell r="K316">
            <v>0</v>
          </cell>
          <cell r="L316">
            <v>0</v>
          </cell>
          <cell r="M316">
            <v>0</v>
          </cell>
          <cell r="T316" t="str">
            <v>8d50</v>
          </cell>
          <cell r="U316">
            <v>0</v>
          </cell>
        </row>
        <row r="317">
          <cell r="D317" t="str">
            <v>8d51</v>
          </cell>
          <cell r="E317" t="str">
            <v>其他权益工具（其他）_所有者投入资本</v>
          </cell>
          <cell r="F317">
            <v>0</v>
          </cell>
          <cell r="G317">
            <v>0</v>
          </cell>
          <cell r="H317">
            <v>0</v>
          </cell>
          <cell r="I317">
            <v>0</v>
          </cell>
          <cell r="J317">
            <v>0</v>
          </cell>
          <cell r="K317">
            <v>0</v>
          </cell>
          <cell r="L317">
            <v>0</v>
          </cell>
          <cell r="M317">
            <v>0</v>
          </cell>
          <cell r="T317" t="str">
            <v>8d51</v>
          </cell>
          <cell r="U317">
            <v>0</v>
          </cell>
        </row>
        <row r="318">
          <cell r="D318" t="str">
            <v>8d53</v>
          </cell>
          <cell r="E318" t="str">
            <v>其他权益工具（其他）_其他权益工具持有者投入资本</v>
          </cell>
          <cell r="F318">
            <v>0</v>
          </cell>
          <cell r="G318">
            <v>0</v>
          </cell>
          <cell r="H318">
            <v>0</v>
          </cell>
          <cell r="I318">
            <v>0</v>
          </cell>
          <cell r="J318">
            <v>0</v>
          </cell>
          <cell r="K318">
            <v>0</v>
          </cell>
          <cell r="L318">
            <v>0</v>
          </cell>
          <cell r="M318">
            <v>0</v>
          </cell>
          <cell r="T318" t="str">
            <v>8d53</v>
          </cell>
          <cell r="U318">
            <v>0</v>
          </cell>
        </row>
        <row r="319">
          <cell r="D319" t="str">
            <v>8d52</v>
          </cell>
          <cell r="E319" t="str">
            <v>其他权益工具（其他）_股份支付</v>
          </cell>
          <cell r="F319">
            <v>0</v>
          </cell>
          <cell r="G319">
            <v>0</v>
          </cell>
          <cell r="H319">
            <v>0</v>
          </cell>
          <cell r="I319">
            <v>0</v>
          </cell>
          <cell r="J319">
            <v>0</v>
          </cell>
          <cell r="K319">
            <v>0</v>
          </cell>
          <cell r="L319">
            <v>0</v>
          </cell>
          <cell r="M319">
            <v>0</v>
          </cell>
          <cell r="T319" t="str">
            <v>8d52</v>
          </cell>
          <cell r="U319">
            <v>0</v>
          </cell>
        </row>
        <row r="320">
          <cell r="D320" t="str">
            <v>8d56</v>
          </cell>
          <cell r="E320" t="str">
            <v>其他权益工具（其他）_所有者其他投入和减少资本</v>
          </cell>
          <cell r="F320">
            <v>0</v>
          </cell>
          <cell r="G320">
            <v>0</v>
          </cell>
          <cell r="H320">
            <v>0</v>
          </cell>
          <cell r="I320">
            <v>0</v>
          </cell>
          <cell r="J320">
            <v>0</v>
          </cell>
          <cell r="K320">
            <v>0</v>
          </cell>
          <cell r="L320">
            <v>0</v>
          </cell>
          <cell r="M320">
            <v>0</v>
          </cell>
          <cell r="T320" t="str">
            <v>8d56</v>
          </cell>
          <cell r="U320">
            <v>0</v>
          </cell>
        </row>
        <row r="321">
          <cell r="D321" t="str">
            <v>8d60</v>
          </cell>
          <cell r="E321" t="str">
            <v>其他权益工具（其他）_利润分配影响权益</v>
          </cell>
          <cell r="F321">
            <v>0</v>
          </cell>
          <cell r="G321">
            <v>0</v>
          </cell>
          <cell r="H321">
            <v>0</v>
          </cell>
          <cell r="I321">
            <v>0</v>
          </cell>
          <cell r="J321">
            <v>0</v>
          </cell>
          <cell r="K321">
            <v>0</v>
          </cell>
          <cell r="L321">
            <v>0</v>
          </cell>
          <cell r="M321">
            <v>0</v>
          </cell>
          <cell r="T321" t="str">
            <v>8d60</v>
          </cell>
          <cell r="U321">
            <v>0</v>
          </cell>
        </row>
        <row r="322">
          <cell r="D322" t="str">
            <v>8d61</v>
          </cell>
          <cell r="E322" t="str">
            <v>其他权益工具（其他）_提取盈余公积</v>
          </cell>
          <cell r="F322">
            <v>0</v>
          </cell>
          <cell r="G322">
            <v>0</v>
          </cell>
          <cell r="H322">
            <v>0</v>
          </cell>
          <cell r="I322">
            <v>0</v>
          </cell>
          <cell r="J322">
            <v>0</v>
          </cell>
          <cell r="K322">
            <v>0</v>
          </cell>
          <cell r="L322">
            <v>0</v>
          </cell>
          <cell r="M322">
            <v>0</v>
          </cell>
          <cell r="T322" t="str">
            <v>8d61</v>
          </cell>
          <cell r="U322">
            <v>0</v>
          </cell>
        </row>
        <row r="323">
          <cell r="D323" t="str">
            <v>8d62</v>
          </cell>
          <cell r="E323" t="str">
            <v>其他权益工具（其他）_提取一般风险准备</v>
          </cell>
          <cell r="F323">
            <v>0</v>
          </cell>
          <cell r="G323">
            <v>0</v>
          </cell>
          <cell r="H323">
            <v>0</v>
          </cell>
          <cell r="I323">
            <v>0</v>
          </cell>
          <cell r="J323">
            <v>0</v>
          </cell>
          <cell r="K323">
            <v>0</v>
          </cell>
          <cell r="L323">
            <v>0</v>
          </cell>
          <cell r="M323">
            <v>0</v>
          </cell>
          <cell r="T323" t="str">
            <v>8d62</v>
          </cell>
          <cell r="U323">
            <v>0</v>
          </cell>
        </row>
        <row r="324">
          <cell r="D324" t="str">
            <v>8d63</v>
          </cell>
          <cell r="E324" t="str">
            <v>其他权益工具（其他）_对所有者的分配</v>
          </cell>
          <cell r="F324">
            <v>0</v>
          </cell>
          <cell r="G324">
            <v>0</v>
          </cell>
          <cell r="H324">
            <v>0</v>
          </cell>
          <cell r="I324">
            <v>0</v>
          </cell>
          <cell r="J324">
            <v>0</v>
          </cell>
          <cell r="K324">
            <v>0</v>
          </cell>
          <cell r="L324">
            <v>0</v>
          </cell>
          <cell r="M324">
            <v>0</v>
          </cell>
          <cell r="T324" t="str">
            <v>8d63</v>
          </cell>
          <cell r="U324">
            <v>0</v>
          </cell>
        </row>
        <row r="325">
          <cell r="D325" t="str">
            <v>8d66</v>
          </cell>
          <cell r="E325" t="str">
            <v>其他权益工具（其他）_其他利润分配</v>
          </cell>
          <cell r="F325">
            <v>0</v>
          </cell>
          <cell r="G325">
            <v>0</v>
          </cell>
          <cell r="H325">
            <v>0</v>
          </cell>
          <cell r="I325">
            <v>0</v>
          </cell>
          <cell r="J325">
            <v>0</v>
          </cell>
          <cell r="K325">
            <v>0</v>
          </cell>
          <cell r="L325">
            <v>0</v>
          </cell>
          <cell r="M325">
            <v>0</v>
          </cell>
          <cell r="T325" t="str">
            <v>8d66</v>
          </cell>
          <cell r="U325">
            <v>0</v>
          </cell>
        </row>
        <row r="326">
          <cell r="D326" t="str">
            <v>8d70</v>
          </cell>
          <cell r="E326" t="str">
            <v>其他权益工具（其他）_所有者权益内部结转</v>
          </cell>
          <cell r="F326">
            <v>0</v>
          </cell>
          <cell r="G326">
            <v>0</v>
          </cell>
          <cell r="H326">
            <v>0</v>
          </cell>
          <cell r="I326">
            <v>0</v>
          </cell>
          <cell r="J326">
            <v>0</v>
          </cell>
          <cell r="K326">
            <v>0</v>
          </cell>
          <cell r="L326">
            <v>0</v>
          </cell>
          <cell r="M326">
            <v>0</v>
          </cell>
          <cell r="T326" t="str">
            <v>8d70</v>
          </cell>
          <cell r="U326">
            <v>0</v>
          </cell>
        </row>
        <row r="327">
          <cell r="D327" t="str">
            <v>8d71</v>
          </cell>
          <cell r="E327" t="str">
            <v>其他权益工具（其他）_资本公积转增资本</v>
          </cell>
          <cell r="F327">
            <v>0</v>
          </cell>
          <cell r="G327">
            <v>0</v>
          </cell>
          <cell r="H327">
            <v>0</v>
          </cell>
          <cell r="I327">
            <v>0</v>
          </cell>
          <cell r="J327">
            <v>0</v>
          </cell>
          <cell r="K327">
            <v>0</v>
          </cell>
          <cell r="L327">
            <v>0</v>
          </cell>
          <cell r="M327">
            <v>0</v>
          </cell>
          <cell r="T327" t="str">
            <v>8d71</v>
          </cell>
          <cell r="U327">
            <v>0</v>
          </cell>
        </row>
        <row r="328">
          <cell r="D328" t="str">
            <v>8d72</v>
          </cell>
          <cell r="E328" t="str">
            <v>其他权益工具（其他）_盈余公积转增资本</v>
          </cell>
          <cell r="F328">
            <v>0</v>
          </cell>
          <cell r="G328">
            <v>0</v>
          </cell>
          <cell r="H328">
            <v>0</v>
          </cell>
          <cell r="I328">
            <v>0</v>
          </cell>
          <cell r="J328">
            <v>0</v>
          </cell>
          <cell r="K328">
            <v>0</v>
          </cell>
          <cell r="L328">
            <v>0</v>
          </cell>
          <cell r="M328">
            <v>0</v>
          </cell>
          <cell r="T328" t="str">
            <v>8d72</v>
          </cell>
          <cell r="U328">
            <v>0</v>
          </cell>
        </row>
        <row r="329">
          <cell r="D329" t="str">
            <v>8d73</v>
          </cell>
          <cell r="E329" t="str">
            <v>其他权益工具（其他）_盈余公积弥补亏损</v>
          </cell>
          <cell r="F329">
            <v>0</v>
          </cell>
          <cell r="G329">
            <v>0</v>
          </cell>
          <cell r="H329">
            <v>0</v>
          </cell>
          <cell r="I329">
            <v>0</v>
          </cell>
          <cell r="J329">
            <v>0</v>
          </cell>
          <cell r="K329">
            <v>0</v>
          </cell>
          <cell r="L329">
            <v>0</v>
          </cell>
          <cell r="M329">
            <v>0</v>
          </cell>
          <cell r="T329" t="str">
            <v>8d73</v>
          </cell>
          <cell r="U329">
            <v>0</v>
          </cell>
        </row>
        <row r="330">
          <cell r="D330" t="str">
            <v>8d75</v>
          </cell>
          <cell r="E330" t="str">
            <v>其他权益工具（其他）_设定受益计划变动额结转留存收益</v>
          </cell>
          <cell r="F330">
            <v>0</v>
          </cell>
          <cell r="G330">
            <v>0</v>
          </cell>
          <cell r="H330">
            <v>0</v>
          </cell>
          <cell r="I330">
            <v>0</v>
          </cell>
          <cell r="J330">
            <v>0</v>
          </cell>
          <cell r="K330">
            <v>0</v>
          </cell>
          <cell r="L330">
            <v>0</v>
          </cell>
          <cell r="M330">
            <v>0</v>
          </cell>
          <cell r="T330" t="str">
            <v>8d75</v>
          </cell>
          <cell r="U330">
            <v>0</v>
          </cell>
        </row>
        <row r="331">
          <cell r="D331" t="str">
            <v>8d76</v>
          </cell>
          <cell r="E331" t="str">
            <v>其他权益工具（其他）_所有者权益其他内部结转</v>
          </cell>
          <cell r="F331">
            <v>0</v>
          </cell>
          <cell r="G331">
            <v>0</v>
          </cell>
          <cell r="H331">
            <v>0</v>
          </cell>
          <cell r="I331">
            <v>0</v>
          </cell>
          <cell r="J331">
            <v>0</v>
          </cell>
          <cell r="K331">
            <v>0</v>
          </cell>
          <cell r="L331">
            <v>0</v>
          </cell>
          <cell r="M331">
            <v>0</v>
          </cell>
          <cell r="T331" t="str">
            <v>8d76</v>
          </cell>
          <cell r="U331">
            <v>0</v>
          </cell>
        </row>
        <row r="332">
          <cell r="D332" t="str">
            <v>8d80</v>
          </cell>
          <cell r="E332" t="str">
            <v>其他权益工具（其他）_专项储备影响权益</v>
          </cell>
          <cell r="F332">
            <v>0</v>
          </cell>
          <cell r="G332">
            <v>0</v>
          </cell>
          <cell r="H332">
            <v>0</v>
          </cell>
          <cell r="I332">
            <v>0</v>
          </cell>
          <cell r="J332">
            <v>0</v>
          </cell>
          <cell r="K332">
            <v>0</v>
          </cell>
          <cell r="L332">
            <v>0</v>
          </cell>
          <cell r="M332">
            <v>0</v>
          </cell>
          <cell r="T332" t="str">
            <v>8d80</v>
          </cell>
          <cell r="U332">
            <v>0</v>
          </cell>
        </row>
        <row r="333">
          <cell r="D333" t="str">
            <v>8d81</v>
          </cell>
          <cell r="E333" t="str">
            <v>其他权益工具（其他）_专项储备本期提取</v>
          </cell>
          <cell r="F333">
            <v>0</v>
          </cell>
          <cell r="G333">
            <v>0</v>
          </cell>
          <cell r="H333">
            <v>0</v>
          </cell>
          <cell r="I333">
            <v>0</v>
          </cell>
          <cell r="J333">
            <v>0</v>
          </cell>
          <cell r="K333">
            <v>0</v>
          </cell>
          <cell r="L333">
            <v>0</v>
          </cell>
          <cell r="M333">
            <v>0</v>
          </cell>
          <cell r="T333" t="str">
            <v>8d81</v>
          </cell>
          <cell r="U333">
            <v>0</v>
          </cell>
        </row>
        <row r="334">
          <cell r="D334" t="str">
            <v>8d82</v>
          </cell>
          <cell r="E334" t="str">
            <v>其他权益工具（其他）_专项储备本期使用</v>
          </cell>
          <cell r="F334">
            <v>0</v>
          </cell>
          <cell r="G334">
            <v>0</v>
          </cell>
          <cell r="H334">
            <v>0</v>
          </cell>
          <cell r="I334">
            <v>0</v>
          </cell>
          <cell r="J334">
            <v>0</v>
          </cell>
          <cell r="K334">
            <v>0</v>
          </cell>
          <cell r="L334">
            <v>0</v>
          </cell>
          <cell r="M334">
            <v>0</v>
          </cell>
          <cell r="T334" t="str">
            <v>8d82</v>
          </cell>
          <cell r="U334">
            <v>0</v>
          </cell>
        </row>
        <row r="335">
          <cell r="D335" t="str">
            <v>8d96</v>
          </cell>
          <cell r="E335" t="str">
            <v>其他权益工具（其他）_本期其他增减变动</v>
          </cell>
          <cell r="F335">
            <v>0</v>
          </cell>
          <cell r="G335">
            <v>0</v>
          </cell>
          <cell r="H335">
            <v>0</v>
          </cell>
          <cell r="I335">
            <v>0</v>
          </cell>
          <cell r="J335">
            <v>0</v>
          </cell>
          <cell r="K335">
            <v>0</v>
          </cell>
          <cell r="L335">
            <v>0</v>
          </cell>
          <cell r="M335">
            <v>0</v>
          </cell>
          <cell r="T335" t="str">
            <v>8d96</v>
          </cell>
          <cell r="U335">
            <v>0</v>
          </cell>
        </row>
        <row r="336">
          <cell r="D336" t="str">
            <v>8d99</v>
          </cell>
          <cell r="E336" t="str">
            <v>其他权益工具（其他）_本期期末余额</v>
          </cell>
          <cell r="F336">
            <v>0</v>
          </cell>
          <cell r="G336">
            <v>0</v>
          </cell>
          <cell r="H336">
            <v>0</v>
          </cell>
          <cell r="I336">
            <v>0</v>
          </cell>
          <cell r="J336">
            <v>0</v>
          </cell>
          <cell r="K336">
            <v>0</v>
          </cell>
          <cell r="L336">
            <v>0</v>
          </cell>
          <cell r="M336">
            <v>0</v>
          </cell>
          <cell r="T336" t="str">
            <v>8d99</v>
          </cell>
          <cell r="U336">
            <v>0</v>
          </cell>
        </row>
        <row r="337">
          <cell r="D337">
            <v>8200</v>
          </cell>
          <cell r="E337" t="str">
            <v>资本公积增减变动</v>
          </cell>
          <cell r="F337">
            <v>0</v>
          </cell>
          <cell r="G337">
            <v>0</v>
          </cell>
          <cell r="H337">
            <v>0</v>
          </cell>
          <cell r="I337">
            <v>0</v>
          </cell>
          <cell r="J337">
            <v>0</v>
          </cell>
          <cell r="K337">
            <v>0</v>
          </cell>
          <cell r="L337">
            <v>0</v>
          </cell>
          <cell r="M337">
            <v>0</v>
          </cell>
          <cell r="T337">
            <v>8200</v>
          </cell>
          <cell r="U337">
            <v>0</v>
          </cell>
        </row>
        <row r="338">
          <cell r="D338">
            <v>8201</v>
          </cell>
          <cell r="E338" t="str">
            <v>资本公积_上年年末余额</v>
          </cell>
          <cell r="F338">
            <v>61861923.009999998</v>
          </cell>
          <cell r="G338">
            <v>1000000</v>
          </cell>
          <cell r="H338">
            <v>0</v>
          </cell>
          <cell r="I338">
            <v>60861923.009999998</v>
          </cell>
          <cell r="J338">
            <v>14277074.01</v>
          </cell>
          <cell r="K338">
            <v>0</v>
          </cell>
          <cell r="L338">
            <v>0</v>
          </cell>
          <cell r="M338">
            <v>14277074.01</v>
          </cell>
          <cell r="T338">
            <v>8201</v>
          </cell>
          <cell r="U338">
            <v>14277074.01</v>
          </cell>
        </row>
        <row r="339">
          <cell r="D339">
            <v>8202</v>
          </cell>
          <cell r="E339" t="str">
            <v>资本公积_会计政策变更调整上年年末余额</v>
          </cell>
          <cell r="F339">
            <v>0</v>
          </cell>
          <cell r="G339">
            <v>0</v>
          </cell>
          <cell r="H339">
            <v>0</v>
          </cell>
          <cell r="I339">
            <v>0</v>
          </cell>
          <cell r="J339">
            <v>0</v>
          </cell>
          <cell r="K339">
            <v>0</v>
          </cell>
          <cell r="L339">
            <v>0</v>
          </cell>
          <cell r="M339">
            <v>0</v>
          </cell>
          <cell r="T339">
            <v>8202</v>
          </cell>
          <cell r="U339">
            <v>0</v>
          </cell>
        </row>
        <row r="340">
          <cell r="D340">
            <v>8203</v>
          </cell>
          <cell r="E340" t="str">
            <v>资本公积_前期差错更正调整上年年末余额</v>
          </cell>
          <cell r="F340">
            <v>0</v>
          </cell>
          <cell r="G340">
            <v>0</v>
          </cell>
          <cell r="H340">
            <v>0</v>
          </cell>
          <cell r="I340">
            <v>0</v>
          </cell>
          <cell r="J340">
            <v>0</v>
          </cell>
          <cell r="K340">
            <v>0</v>
          </cell>
          <cell r="L340">
            <v>0</v>
          </cell>
          <cell r="M340">
            <v>0</v>
          </cell>
          <cell r="T340">
            <v>8203</v>
          </cell>
          <cell r="U340">
            <v>0</v>
          </cell>
        </row>
        <row r="341">
          <cell r="D341">
            <v>8204</v>
          </cell>
          <cell r="E341" t="str">
            <v>资本公积_同一控制下企业合并调整上年年末余额</v>
          </cell>
          <cell r="F341">
            <v>0</v>
          </cell>
          <cell r="G341">
            <v>0</v>
          </cell>
          <cell r="H341">
            <v>0</v>
          </cell>
          <cell r="I341">
            <v>0</v>
          </cell>
          <cell r="J341">
            <v>0</v>
          </cell>
          <cell r="K341">
            <v>0</v>
          </cell>
          <cell r="L341">
            <v>0</v>
          </cell>
          <cell r="M341">
            <v>0</v>
          </cell>
          <cell r="T341">
            <v>8204</v>
          </cell>
          <cell r="U341">
            <v>0</v>
          </cell>
        </row>
        <row r="342">
          <cell r="D342">
            <v>8209</v>
          </cell>
          <cell r="E342" t="str">
            <v>资本公积_其他原因调整上年年末余额</v>
          </cell>
          <cell r="F342">
            <v>-1000000</v>
          </cell>
          <cell r="G342">
            <v>0</v>
          </cell>
          <cell r="H342">
            <v>1000000</v>
          </cell>
          <cell r="I342">
            <v>0</v>
          </cell>
          <cell r="J342">
            <v>0</v>
          </cell>
          <cell r="K342">
            <v>0</v>
          </cell>
          <cell r="L342">
            <v>0</v>
          </cell>
          <cell r="M342">
            <v>0</v>
          </cell>
          <cell r="T342">
            <v>8209</v>
          </cell>
          <cell r="U342">
            <v>0</v>
          </cell>
        </row>
        <row r="343">
          <cell r="D343">
            <v>8210</v>
          </cell>
          <cell r="E343" t="str">
            <v>资本公积_本年年初余额</v>
          </cell>
          <cell r="F343">
            <v>60861923.009999998</v>
          </cell>
          <cell r="G343">
            <v>1000000</v>
          </cell>
          <cell r="H343">
            <v>1000000</v>
          </cell>
          <cell r="I343">
            <v>60861923.009999998</v>
          </cell>
          <cell r="J343">
            <v>14277074.01</v>
          </cell>
          <cell r="K343">
            <v>0</v>
          </cell>
          <cell r="L343">
            <v>0</v>
          </cell>
          <cell r="M343">
            <v>14277074.01</v>
          </cell>
          <cell r="T343">
            <v>8210</v>
          </cell>
          <cell r="U343">
            <v>14277074.01</v>
          </cell>
        </row>
        <row r="344">
          <cell r="D344">
            <v>8290</v>
          </cell>
          <cell r="E344" t="str">
            <v>资本公积_本期增减变动金额</v>
          </cell>
          <cell r="F344">
            <v>0</v>
          </cell>
          <cell r="G344">
            <v>0</v>
          </cell>
          <cell r="H344">
            <v>113000</v>
          </cell>
          <cell r="I344">
            <v>113000</v>
          </cell>
          <cell r="J344">
            <v>46584849</v>
          </cell>
          <cell r="K344">
            <v>0</v>
          </cell>
          <cell r="L344">
            <v>0</v>
          </cell>
          <cell r="M344">
            <v>46584849</v>
          </cell>
          <cell r="T344">
            <v>8290</v>
          </cell>
          <cell r="U344">
            <v>46584849</v>
          </cell>
        </row>
        <row r="345">
          <cell r="D345">
            <v>8221</v>
          </cell>
          <cell r="E345" t="str">
            <v>资本公积_净利润增加权益</v>
          </cell>
          <cell r="F345">
            <v>0</v>
          </cell>
          <cell r="G345">
            <v>0</v>
          </cell>
          <cell r="H345">
            <v>0</v>
          </cell>
          <cell r="I345">
            <v>0</v>
          </cell>
          <cell r="J345">
            <v>0</v>
          </cell>
          <cell r="K345">
            <v>0</v>
          </cell>
          <cell r="L345">
            <v>0</v>
          </cell>
          <cell r="M345">
            <v>0</v>
          </cell>
          <cell r="T345">
            <v>8221</v>
          </cell>
          <cell r="U345">
            <v>0</v>
          </cell>
        </row>
        <row r="346">
          <cell r="D346">
            <v>8230</v>
          </cell>
          <cell r="E346" t="str">
            <v>资本公积_其他综合收益</v>
          </cell>
          <cell r="F346">
            <v>0</v>
          </cell>
          <cell r="G346">
            <v>0</v>
          </cell>
          <cell r="H346">
            <v>0</v>
          </cell>
          <cell r="I346">
            <v>0</v>
          </cell>
          <cell r="J346">
            <v>0</v>
          </cell>
          <cell r="K346">
            <v>0</v>
          </cell>
          <cell r="L346">
            <v>0</v>
          </cell>
          <cell r="M346">
            <v>0</v>
          </cell>
          <cell r="T346">
            <v>8230</v>
          </cell>
          <cell r="U346">
            <v>0</v>
          </cell>
        </row>
        <row r="347">
          <cell r="D347">
            <v>8240</v>
          </cell>
          <cell r="E347" t="str">
            <v>资本公积_综合收益总额增加权益</v>
          </cell>
          <cell r="F347">
            <v>0</v>
          </cell>
          <cell r="G347">
            <v>0</v>
          </cell>
          <cell r="H347">
            <v>0</v>
          </cell>
          <cell r="I347">
            <v>0</v>
          </cell>
          <cell r="J347">
            <v>0</v>
          </cell>
          <cell r="K347">
            <v>0</v>
          </cell>
          <cell r="L347">
            <v>0</v>
          </cell>
          <cell r="M347">
            <v>0</v>
          </cell>
          <cell r="T347">
            <v>8240</v>
          </cell>
          <cell r="U347">
            <v>0</v>
          </cell>
        </row>
        <row r="348">
          <cell r="D348">
            <v>8250</v>
          </cell>
          <cell r="E348" t="str">
            <v>资本公积_所有者投入和减少资本影响权益</v>
          </cell>
          <cell r="F348">
            <v>0</v>
          </cell>
          <cell r="G348">
            <v>0</v>
          </cell>
          <cell r="H348">
            <v>113000</v>
          </cell>
          <cell r="I348">
            <v>113000</v>
          </cell>
          <cell r="J348">
            <v>46584849</v>
          </cell>
          <cell r="K348">
            <v>0</v>
          </cell>
          <cell r="L348">
            <v>0</v>
          </cell>
          <cell r="M348">
            <v>46584849</v>
          </cell>
          <cell r="T348">
            <v>8250</v>
          </cell>
          <cell r="U348">
            <v>46584849</v>
          </cell>
        </row>
        <row r="349">
          <cell r="D349">
            <v>8251</v>
          </cell>
          <cell r="E349" t="str">
            <v>资本公积_所有者投入资本</v>
          </cell>
          <cell r="F349">
            <v>0</v>
          </cell>
          <cell r="G349">
            <v>0</v>
          </cell>
          <cell r="H349">
            <v>0</v>
          </cell>
          <cell r="I349">
            <v>0</v>
          </cell>
          <cell r="J349">
            <v>46584849</v>
          </cell>
          <cell r="K349">
            <v>0</v>
          </cell>
          <cell r="L349">
            <v>0</v>
          </cell>
          <cell r="M349">
            <v>46584849</v>
          </cell>
          <cell r="T349">
            <v>8251</v>
          </cell>
          <cell r="U349">
            <v>46584849</v>
          </cell>
        </row>
        <row r="350">
          <cell r="D350">
            <v>8253</v>
          </cell>
          <cell r="E350" t="str">
            <v>资本公积_其他权益工具持有者投入资本</v>
          </cell>
          <cell r="F350">
            <v>0</v>
          </cell>
          <cell r="G350">
            <v>0</v>
          </cell>
          <cell r="H350">
            <v>0</v>
          </cell>
          <cell r="I350">
            <v>0</v>
          </cell>
          <cell r="J350">
            <v>0</v>
          </cell>
          <cell r="K350">
            <v>0</v>
          </cell>
          <cell r="L350">
            <v>0</v>
          </cell>
          <cell r="M350">
            <v>0</v>
          </cell>
          <cell r="T350">
            <v>8253</v>
          </cell>
          <cell r="U350">
            <v>0</v>
          </cell>
        </row>
        <row r="351">
          <cell r="D351">
            <v>8252</v>
          </cell>
          <cell r="E351" t="str">
            <v>资本公积_股份支付</v>
          </cell>
          <cell r="F351">
            <v>0</v>
          </cell>
          <cell r="G351">
            <v>0</v>
          </cell>
          <cell r="H351">
            <v>113000</v>
          </cell>
          <cell r="I351">
            <v>113000</v>
          </cell>
          <cell r="J351">
            <v>0</v>
          </cell>
          <cell r="K351">
            <v>0</v>
          </cell>
          <cell r="L351">
            <v>0</v>
          </cell>
          <cell r="M351">
            <v>0</v>
          </cell>
          <cell r="T351">
            <v>8252</v>
          </cell>
          <cell r="U351">
            <v>0</v>
          </cell>
        </row>
        <row r="352">
          <cell r="D352">
            <v>8256</v>
          </cell>
          <cell r="E352" t="str">
            <v>资本公积_所有者其他投入和减少资本</v>
          </cell>
          <cell r="F352">
            <v>0</v>
          </cell>
          <cell r="G352">
            <v>0</v>
          </cell>
          <cell r="H352">
            <v>0</v>
          </cell>
          <cell r="I352">
            <v>0</v>
          </cell>
          <cell r="J352">
            <v>0</v>
          </cell>
          <cell r="K352">
            <v>0</v>
          </cell>
          <cell r="L352">
            <v>0</v>
          </cell>
          <cell r="M352">
            <v>0</v>
          </cell>
          <cell r="T352">
            <v>8256</v>
          </cell>
          <cell r="U352">
            <v>0</v>
          </cell>
        </row>
        <row r="353">
          <cell r="D353">
            <v>8260</v>
          </cell>
          <cell r="E353" t="str">
            <v>资本公积_利润分配影响权益</v>
          </cell>
          <cell r="F353">
            <v>0</v>
          </cell>
          <cell r="G353">
            <v>0</v>
          </cell>
          <cell r="H353">
            <v>0</v>
          </cell>
          <cell r="I353">
            <v>0</v>
          </cell>
          <cell r="J353">
            <v>0</v>
          </cell>
          <cell r="K353">
            <v>0</v>
          </cell>
          <cell r="L353">
            <v>0</v>
          </cell>
          <cell r="M353">
            <v>0</v>
          </cell>
          <cell r="T353">
            <v>8260</v>
          </cell>
          <cell r="U353">
            <v>0</v>
          </cell>
        </row>
        <row r="354">
          <cell r="D354">
            <v>8261</v>
          </cell>
          <cell r="E354" t="str">
            <v>资本公积_提取盈余公积影响权益</v>
          </cell>
          <cell r="F354">
            <v>0</v>
          </cell>
          <cell r="G354">
            <v>0</v>
          </cell>
          <cell r="H354">
            <v>0</v>
          </cell>
          <cell r="I354">
            <v>0</v>
          </cell>
          <cell r="J354">
            <v>0</v>
          </cell>
          <cell r="K354">
            <v>0</v>
          </cell>
          <cell r="L354">
            <v>0</v>
          </cell>
          <cell r="M354">
            <v>0</v>
          </cell>
          <cell r="T354">
            <v>8261</v>
          </cell>
          <cell r="U354">
            <v>0</v>
          </cell>
        </row>
        <row r="355">
          <cell r="D355">
            <v>8262</v>
          </cell>
          <cell r="E355" t="str">
            <v>资本公积_提取一般风险准备影响权益</v>
          </cell>
          <cell r="F355">
            <v>0</v>
          </cell>
          <cell r="G355">
            <v>0</v>
          </cell>
          <cell r="H355">
            <v>0</v>
          </cell>
          <cell r="I355">
            <v>0</v>
          </cell>
          <cell r="J355">
            <v>0</v>
          </cell>
          <cell r="K355">
            <v>0</v>
          </cell>
          <cell r="L355">
            <v>0</v>
          </cell>
          <cell r="M355">
            <v>0</v>
          </cell>
          <cell r="T355">
            <v>8262</v>
          </cell>
          <cell r="U355">
            <v>0</v>
          </cell>
        </row>
        <row r="356">
          <cell r="D356">
            <v>8263</v>
          </cell>
          <cell r="E356" t="str">
            <v>资本公积_对所有者的分配影响权益</v>
          </cell>
          <cell r="F356">
            <v>0</v>
          </cell>
          <cell r="G356">
            <v>0</v>
          </cell>
          <cell r="H356">
            <v>0</v>
          </cell>
          <cell r="I356">
            <v>0</v>
          </cell>
          <cell r="J356">
            <v>0</v>
          </cell>
          <cell r="K356">
            <v>0</v>
          </cell>
          <cell r="L356">
            <v>0</v>
          </cell>
          <cell r="M356">
            <v>0</v>
          </cell>
          <cell r="T356">
            <v>8263</v>
          </cell>
          <cell r="U356">
            <v>0</v>
          </cell>
        </row>
        <row r="357">
          <cell r="D357">
            <v>8266</v>
          </cell>
          <cell r="E357" t="str">
            <v>资本公积_其他利润分配</v>
          </cell>
          <cell r="F357">
            <v>0</v>
          </cell>
          <cell r="G357">
            <v>0</v>
          </cell>
          <cell r="H357">
            <v>0</v>
          </cell>
          <cell r="I357">
            <v>0</v>
          </cell>
          <cell r="J357">
            <v>0</v>
          </cell>
          <cell r="K357">
            <v>0</v>
          </cell>
          <cell r="L357">
            <v>0</v>
          </cell>
          <cell r="M357">
            <v>0</v>
          </cell>
          <cell r="T357">
            <v>8266</v>
          </cell>
          <cell r="U357">
            <v>0</v>
          </cell>
        </row>
        <row r="358">
          <cell r="D358">
            <v>8270</v>
          </cell>
          <cell r="E358" t="str">
            <v>资本公积_所有者权益内部结转</v>
          </cell>
          <cell r="F358">
            <v>0</v>
          </cell>
          <cell r="G358">
            <v>0</v>
          </cell>
          <cell r="H358">
            <v>0</v>
          </cell>
          <cell r="I358">
            <v>0</v>
          </cell>
          <cell r="J358">
            <v>0</v>
          </cell>
          <cell r="K358">
            <v>0</v>
          </cell>
          <cell r="L358">
            <v>0</v>
          </cell>
          <cell r="M358">
            <v>0</v>
          </cell>
          <cell r="T358">
            <v>8270</v>
          </cell>
          <cell r="U358">
            <v>0</v>
          </cell>
        </row>
        <row r="359">
          <cell r="D359">
            <v>8271</v>
          </cell>
          <cell r="E359" t="str">
            <v>资本公积_转增资本</v>
          </cell>
          <cell r="F359">
            <v>0</v>
          </cell>
          <cell r="G359">
            <v>0</v>
          </cell>
          <cell r="H359">
            <v>0</v>
          </cell>
          <cell r="I359">
            <v>0</v>
          </cell>
          <cell r="J359">
            <v>0</v>
          </cell>
          <cell r="K359">
            <v>0</v>
          </cell>
          <cell r="L359">
            <v>0</v>
          </cell>
          <cell r="M359">
            <v>0</v>
          </cell>
          <cell r="T359">
            <v>8271</v>
          </cell>
          <cell r="U359">
            <v>0</v>
          </cell>
        </row>
        <row r="360">
          <cell r="D360">
            <v>8272</v>
          </cell>
          <cell r="E360" t="str">
            <v>资本公积_盈余公积转增资本影响权益</v>
          </cell>
          <cell r="F360">
            <v>0</v>
          </cell>
          <cell r="G360">
            <v>0</v>
          </cell>
          <cell r="H360">
            <v>0</v>
          </cell>
          <cell r="I360">
            <v>0</v>
          </cell>
          <cell r="J360">
            <v>0</v>
          </cell>
          <cell r="K360">
            <v>0</v>
          </cell>
          <cell r="L360">
            <v>0</v>
          </cell>
          <cell r="M360">
            <v>0</v>
          </cell>
          <cell r="T360">
            <v>8272</v>
          </cell>
          <cell r="U360">
            <v>0</v>
          </cell>
        </row>
        <row r="361">
          <cell r="D361">
            <v>8273</v>
          </cell>
          <cell r="E361" t="str">
            <v>资本公积_盈余公积弥补亏损影响权益</v>
          </cell>
          <cell r="F361">
            <v>0</v>
          </cell>
          <cell r="G361">
            <v>0</v>
          </cell>
          <cell r="H361">
            <v>0</v>
          </cell>
          <cell r="I361">
            <v>0</v>
          </cell>
          <cell r="J361">
            <v>0</v>
          </cell>
          <cell r="K361">
            <v>0</v>
          </cell>
          <cell r="L361">
            <v>0</v>
          </cell>
          <cell r="M361">
            <v>0</v>
          </cell>
          <cell r="T361">
            <v>8273</v>
          </cell>
          <cell r="U361">
            <v>0</v>
          </cell>
        </row>
        <row r="362">
          <cell r="D362">
            <v>8275</v>
          </cell>
          <cell r="E362" t="str">
            <v>资本公积_设定受益计划变动额结转留存收益</v>
          </cell>
          <cell r="F362">
            <v>0</v>
          </cell>
          <cell r="G362">
            <v>0</v>
          </cell>
          <cell r="H362">
            <v>0</v>
          </cell>
          <cell r="I362">
            <v>0</v>
          </cell>
          <cell r="J362">
            <v>0</v>
          </cell>
          <cell r="K362">
            <v>0</v>
          </cell>
          <cell r="L362">
            <v>0</v>
          </cell>
          <cell r="M362">
            <v>0</v>
          </cell>
          <cell r="T362">
            <v>8275</v>
          </cell>
          <cell r="U362">
            <v>0</v>
          </cell>
        </row>
        <row r="363">
          <cell r="D363">
            <v>8276</v>
          </cell>
          <cell r="E363" t="str">
            <v>资本公积_所有者权益其他内部结转</v>
          </cell>
          <cell r="F363">
            <v>0</v>
          </cell>
          <cell r="G363">
            <v>0</v>
          </cell>
          <cell r="H363">
            <v>0</v>
          </cell>
          <cell r="I363">
            <v>0</v>
          </cell>
          <cell r="J363">
            <v>0</v>
          </cell>
          <cell r="K363">
            <v>0</v>
          </cell>
          <cell r="L363">
            <v>0</v>
          </cell>
          <cell r="M363">
            <v>0</v>
          </cell>
          <cell r="T363">
            <v>8276</v>
          </cell>
          <cell r="U363">
            <v>0</v>
          </cell>
        </row>
        <row r="364">
          <cell r="D364">
            <v>8280</v>
          </cell>
          <cell r="E364" t="str">
            <v>资本公积_专项储备影响权益</v>
          </cell>
          <cell r="F364">
            <v>0</v>
          </cell>
          <cell r="G364">
            <v>0</v>
          </cell>
          <cell r="H364">
            <v>0</v>
          </cell>
          <cell r="I364">
            <v>0</v>
          </cell>
          <cell r="J364">
            <v>0</v>
          </cell>
          <cell r="K364">
            <v>0</v>
          </cell>
          <cell r="L364">
            <v>0</v>
          </cell>
          <cell r="M364">
            <v>0</v>
          </cell>
          <cell r="T364">
            <v>8280</v>
          </cell>
          <cell r="U364">
            <v>0</v>
          </cell>
        </row>
        <row r="365">
          <cell r="D365">
            <v>8281</v>
          </cell>
          <cell r="E365" t="str">
            <v>资本公积_专项储备本期提取</v>
          </cell>
          <cell r="F365">
            <v>0</v>
          </cell>
          <cell r="G365">
            <v>0</v>
          </cell>
          <cell r="H365">
            <v>0</v>
          </cell>
          <cell r="I365">
            <v>0</v>
          </cell>
          <cell r="J365">
            <v>0</v>
          </cell>
          <cell r="K365">
            <v>0</v>
          </cell>
          <cell r="L365">
            <v>0</v>
          </cell>
          <cell r="M365">
            <v>0</v>
          </cell>
          <cell r="T365">
            <v>8281</v>
          </cell>
          <cell r="U365">
            <v>0</v>
          </cell>
        </row>
        <row r="366">
          <cell r="D366">
            <v>8282</v>
          </cell>
          <cell r="E366" t="str">
            <v>资本公积_专项储备本期使用</v>
          </cell>
          <cell r="F366">
            <v>0</v>
          </cell>
          <cell r="G366">
            <v>0</v>
          </cell>
          <cell r="H366">
            <v>0</v>
          </cell>
          <cell r="I366">
            <v>0</v>
          </cell>
          <cell r="J366">
            <v>0</v>
          </cell>
          <cell r="K366">
            <v>0</v>
          </cell>
          <cell r="L366">
            <v>0</v>
          </cell>
          <cell r="M366">
            <v>0</v>
          </cell>
          <cell r="T366">
            <v>8282</v>
          </cell>
          <cell r="U366">
            <v>0</v>
          </cell>
        </row>
        <row r="367">
          <cell r="D367">
            <v>8296</v>
          </cell>
          <cell r="E367" t="str">
            <v>资本公积_本期其他增减变动</v>
          </cell>
          <cell r="F367">
            <v>0</v>
          </cell>
          <cell r="G367">
            <v>0</v>
          </cell>
          <cell r="H367">
            <v>0</v>
          </cell>
          <cell r="I367">
            <v>0</v>
          </cell>
          <cell r="J367">
            <v>0</v>
          </cell>
          <cell r="K367">
            <v>0</v>
          </cell>
          <cell r="L367">
            <v>0</v>
          </cell>
          <cell r="M367">
            <v>0</v>
          </cell>
          <cell r="T367">
            <v>8296</v>
          </cell>
          <cell r="U367">
            <v>0</v>
          </cell>
        </row>
        <row r="368">
          <cell r="D368">
            <v>8299</v>
          </cell>
          <cell r="E368" t="str">
            <v>资本公积_本期期末余额</v>
          </cell>
          <cell r="F368">
            <v>60861923.009999998</v>
          </cell>
          <cell r="G368">
            <v>1000000</v>
          </cell>
          <cell r="H368">
            <v>1113000</v>
          </cell>
          <cell r="I368">
            <v>60974923.009999998</v>
          </cell>
          <cell r="J368">
            <v>60861923.009999998</v>
          </cell>
          <cell r="K368">
            <v>0</v>
          </cell>
          <cell r="L368">
            <v>0</v>
          </cell>
          <cell r="M368">
            <v>60861923.009999998</v>
          </cell>
          <cell r="T368">
            <v>8299</v>
          </cell>
          <cell r="U368">
            <v>60861923.009999998</v>
          </cell>
        </row>
        <row r="369">
          <cell r="D369">
            <v>8300</v>
          </cell>
          <cell r="E369" t="str">
            <v>库存股增减变动</v>
          </cell>
          <cell r="F369">
            <v>0</v>
          </cell>
          <cell r="G369">
            <v>0</v>
          </cell>
          <cell r="H369">
            <v>0</v>
          </cell>
          <cell r="I369">
            <v>0</v>
          </cell>
          <cell r="J369">
            <v>0</v>
          </cell>
          <cell r="K369">
            <v>0</v>
          </cell>
          <cell r="L369">
            <v>0</v>
          </cell>
          <cell r="M369">
            <v>0</v>
          </cell>
          <cell r="T369">
            <v>8300</v>
          </cell>
          <cell r="U369">
            <v>0</v>
          </cell>
        </row>
        <row r="370">
          <cell r="D370">
            <v>8301</v>
          </cell>
          <cell r="E370" t="str">
            <v>库存股_上年年末余额</v>
          </cell>
          <cell r="F370">
            <v>0</v>
          </cell>
          <cell r="G370">
            <v>0</v>
          </cell>
          <cell r="H370">
            <v>0</v>
          </cell>
          <cell r="I370">
            <v>0</v>
          </cell>
          <cell r="J370">
            <v>0</v>
          </cell>
          <cell r="K370">
            <v>0</v>
          </cell>
          <cell r="L370">
            <v>0</v>
          </cell>
          <cell r="M370">
            <v>0</v>
          </cell>
          <cell r="T370">
            <v>8301</v>
          </cell>
          <cell r="U370">
            <v>0</v>
          </cell>
        </row>
        <row r="371">
          <cell r="D371">
            <v>8302</v>
          </cell>
          <cell r="E371" t="str">
            <v>库存股_会计政策变更调整上年年末余额</v>
          </cell>
          <cell r="F371">
            <v>0</v>
          </cell>
          <cell r="G371">
            <v>0</v>
          </cell>
          <cell r="H371">
            <v>0</v>
          </cell>
          <cell r="I371">
            <v>0</v>
          </cell>
          <cell r="J371">
            <v>0</v>
          </cell>
          <cell r="K371">
            <v>0</v>
          </cell>
          <cell r="L371">
            <v>0</v>
          </cell>
          <cell r="M371">
            <v>0</v>
          </cell>
          <cell r="T371">
            <v>8302</v>
          </cell>
          <cell r="U371">
            <v>0</v>
          </cell>
        </row>
        <row r="372">
          <cell r="D372">
            <v>8303</v>
          </cell>
          <cell r="E372" t="str">
            <v>库存股_前期差错更正调整上年年末余额</v>
          </cell>
          <cell r="F372">
            <v>0</v>
          </cell>
          <cell r="G372">
            <v>0</v>
          </cell>
          <cell r="H372">
            <v>0</v>
          </cell>
          <cell r="I372">
            <v>0</v>
          </cell>
          <cell r="J372">
            <v>0</v>
          </cell>
          <cell r="K372">
            <v>0</v>
          </cell>
          <cell r="L372">
            <v>0</v>
          </cell>
          <cell r="M372">
            <v>0</v>
          </cell>
          <cell r="T372">
            <v>8303</v>
          </cell>
          <cell r="U372">
            <v>0</v>
          </cell>
        </row>
        <row r="373">
          <cell r="D373">
            <v>8304</v>
          </cell>
          <cell r="E373" t="str">
            <v>库存股_同一控制下企业合并调整上年年末余额</v>
          </cell>
          <cell r="F373">
            <v>0</v>
          </cell>
          <cell r="G373">
            <v>0</v>
          </cell>
          <cell r="H373">
            <v>0</v>
          </cell>
          <cell r="I373">
            <v>0</v>
          </cell>
          <cell r="J373">
            <v>0</v>
          </cell>
          <cell r="K373">
            <v>0</v>
          </cell>
          <cell r="L373">
            <v>0</v>
          </cell>
          <cell r="M373">
            <v>0</v>
          </cell>
          <cell r="T373">
            <v>8304</v>
          </cell>
          <cell r="U373">
            <v>0</v>
          </cell>
        </row>
        <row r="374">
          <cell r="D374">
            <v>8309</v>
          </cell>
          <cell r="E374" t="str">
            <v>库存股_其他原因调整上年年末余额</v>
          </cell>
          <cell r="F374">
            <v>0</v>
          </cell>
          <cell r="G374">
            <v>0</v>
          </cell>
          <cell r="H374">
            <v>0</v>
          </cell>
          <cell r="I374">
            <v>0</v>
          </cell>
          <cell r="J374">
            <v>0</v>
          </cell>
          <cell r="K374">
            <v>0</v>
          </cell>
          <cell r="L374">
            <v>0</v>
          </cell>
          <cell r="M374">
            <v>0</v>
          </cell>
          <cell r="T374">
            <v>8309</v>
          </cell>
          <cell r="U374">
            <v>0</v>
          </cell>
        </row>
        <row r="375">
          <cell r="D375">
            <v>8310</v>
          </cell>
          <cell r="E375" t="str">
            <v>库存股_本年年初余额</v>
          </cell>
          <cell r="F375">
            <v>0</v>
          </cell>
          <cell r="G375">
            <v>0</v>
          </cell>
          <cell r="H375">
            <v>0</v>
          </cell>
          <cell r="I375">
            <v>0</v>
          </cell>
          <cell r="J375">
            <v>0</v>
          </cell>
          <cell r="K375">
            <v>0</v>
          </cell>
          <cell r="L375">
            <v>0</v>
          </cell>
          <cell r="M375">
            <v>0</v>
          </cell>
          <cell r="T375">
            <v>8310</v>
          </cell>
          <cell r="U375">
            <v>0</v>
          </cell>
        </row>
        <row r="376">
          <cell r="D376">
            <v>8390</v>
          </cell>
          <cell r="E376" t="str">
            <v>库存股_本期增减变动金额</v>
          </cell>
          <cell r="F376">
            <v>0</v>
          </cell>
          <cell r="G376">
            <v>0</v>
          </cell>
          <cell r="H376">
            <v>0</v>
          </cell>
          <cell r="I376">
            <v>0</v>
          </cell>
          <cell r="J376">
            <v>0</v>
          </cell>
          <cell r="K376">
            <v>0</v>
          </cell>
          <cell r="L376">
            <v>0</v>
          </cell>
          <cell r="M376">
            <v>0</v>
          </cell>
          <cell r="T376">
            <v>8390</v>
          </cell>
          <cell r="U376">
            <v>0</v>
          </cell>
        </row>
        <row r="377">
          <cell r="D377">
            <v>8321</v>
          </cell>
          <cell r="E377" t="str">
            <v>库存股_净利润增加权益</v>
          </cell>
          <cell r="F377">
            <v>0</v>
          </cell>
          <cell r="G377">
            <v>0</v>
          </cell>
          <cell r="H377">
            <v>0</v>
          </cell>
          <cell r="I377">
            <v>0</v>
          </cell>
          <cell r="J377">
            <v>0</v>
          </cell>
          <cell r="K377">
            <v>0</v>
          </cell>
          <cell r="L377">
            <v>0</v>
          </cell>
          <cell r="M377">
            <v>0</v>
          </cell>
          <cell r="T377">
            <v>8321</v>
          </cell>
          <cell r="U377">
            <v>0</v>
          </cell>
        </row>
        <row r="378">
          <cell r="D378">
            <v>8330</v>
          </cell>
          <cell r="E378" t="str">
            <v>库存股_其他综合收益增加权益</v>
          </cell>
          <cell r="F378">
            <v>0</v>
          </cell>
          <cell r="G378">
            <v>0</v>
          </cell>
          <cell r="H378">
            <v>0</v>
          </cell>
          <cell r="I378">
            <v>0</v>
          </cell>
          <cell r="J378">
            <v>0</v>
          </cell>
          <cell r="K378">
            <v>0</v>
          </cell>
          <cell r="L378">
            <v>0</v>
          </cell>
          <cell r="M378">
            <v>0</v>
          </cell>
          <cell r="T378">
            <v>8330</v>
          </cell>
          <cell r="U378">
            <v>0</v>
          </cell>
        </row>
        <row r="379">
          <cell r="D379">
            <v>8340</v>
          </cell>
          <cell r="E379" t="str">
            <v>库存股_综合收益总额增加权益</v>
          </cell>
          <cell r="F379">
            <v>0</v>
          </cell>
          <cell r="G379">
            <v>0</v>
          </cell>
          <cell r="H379">
            <v>0</v>
          </cell>
          <cell r="I379">
            <v>0</v>
          </cell>
          <cell r="J379">
            <v>0</v>
          </cell>
          <cell r="K379">
            <v>0</v>
          </cell>
          <cell r="L379">
            <v>0</v>
          </cell>
          <cell r="M379">
            <v>0</v>
          </cell>
          <cell r="T379">
            <v>8340</v>
          </cell>
          <cell r="U379">
            <v>0</v>
          </cell>
        </row>
        <row r="380">
          <cell r="D380">
            <v>8350</v>
          </cell>
          <cell r="E380" t="str">
            <v>库存股_所有者投入和减少资本影响权益</v>
          </cell>
          <cell r="F380">
            <v>0</v>
          </cell>
          <cell r="G380">
            <v>0</v>
          </cell>
          <cell r="H380">
            <v>0</v>
          </cell>
          <cell r="I380">
            <v>0</v>
          </cell>
          <cell r="J380">
            <v>0</v>
          </cell>
          <cell r="K380">
            <v>0</v>
          </cell>
          <cell r="L380">
            <v>0</v>
          </cell>
          <cell r="M380">
            <v>0</v>
          </cell>
          <cell r="T380">
            <v>8350</v>
          </cell>
          <cell r="U380">
            <v>0</v>
          </cell>
        </row>
        <row r="381">
          <cell r="D381">
            <v>8351</v>
          </cell>
          <cell r="E381" t="str">
            <v>库存股_所有者投入资本</v>
          </cell>
          <cell r="F381">
            <v>0</v>
          </cell>
          <cell r="G381">
            <v>0</v>
          </cell>
          <cell r="H381">
            <v>0</v>
          </cell>
          <cell r="I381">
            <v>0</v>
          </cell>
          <cell r="J381">
            <v>0</v>
          </cell>
          <cell r="K381">
            <v>0</v>
          </cell>
          <cell r="L381">
            <v>0</v>
          </cell>
          <cell r="M381">
            <v>0</v>
          </cell>
          <cell r="T381">
            <v>8351</v>
          </cell>
          <cell r="U381">
            <v>0</v>
          </cell>
        </row>
        <row r="382">
          <cell r="D382">
            <v>8353</v>
          </cell>
          <cell r="E382" t="str">
            <v>库存股_其他权益工具持有者投入资本</v>
          </cell>
          <cell r="F382">
            <v>0</v>
          </cell>
          <cell r="G382">
            <v>0</v>
          </cell>
          <cell r="H382">
            <v>0</v>
          </cell>
          <cell r="I382">
            <v>0</v>
          </cell>
          <cell r="J382">
            <v>0</v>
          </cell>
          <cell r="K382">
            <v>0</v>
          </cell>
          <cell r="L382">
            <v>0</v>
          </cell>
          <cell r="M382">
            <v>0</v>
          </cell>
          <cell r="T382">
            <v>8353</v>
          </cell>
          <cell r="U382">
            <v>0</v>
          </cell>
        </row>
        <row r="383">
          <cell r="D383">
            <v>8352</v>
          </cell>
          <cell r="E383" t="str">
            <v>库存股_股份支付</v>
          </cell>
          <cell r="F383">
            <v>0</v>
          </cell>
          <cell r="G383">
            <v>0</v>
          </cell>
          <cell r="H383">
            <v>0</v>
          </cell>
          <cell r="I383">
            <v>0</v>
          </cell>
          <cell r="J383">
            <v>0</v>
          </cell>
          <cell r="K383">
            <v>0</v>
          </cell>
          <cell r="L383">
            <v>0</v>
          </cell>
          <cell r="M383">
            <v>0</v>
          </cell>
          <cell r="T383">
            <v>8352</v>
          </cell>
          <cell r="U383">
            <v>0</v>
          </cell>
        </row>
        <row r="384">
          <cell r="D384">
            <v>8356</v>
          </cell>
          <cell r="E384" t="str">
            <v>库存股_所有者其他投入和减少资本</v>
          </cell>
          <cell r="F384">
            <v>0</v>
          </cell>
          <cell r="G384">
            <v>0</v>
          </cell>
          <cell r="H384">
            <v>0</v>
          </cell>
          <cell r="I384">
            <v>0</v>
          </cell>
          <cell r="J384">
            <v>0</v>
          </cell>
          <cell r="K384">
            <v>0</v>
          </cell>
          <cell r="L384">
            <v>0</v>
          </cell>
          <cell r="M384">
            <v>0</v>
          </cell>
          <cell r="T384">
            <v>8356</v>
          </cell>
          <cell r="U384">
            <v>0</v>
          </cell>
        </row>
        <row r="385">
          <cell r="D385">
            <v>8360</v>
          </cell>
          <cell r="E385" t="str">
            <v>库存股_利润分配影响权益</v>
          </cell>
          <cell r="F385">
            <v>0</v>
          </cell>
          <cell r="G385">
            <v>0</v>
          </cell>
          <cell r="H385">
            <v>0</v>
          </cell>
          <cell r="I385">
            <v>0</v>
          </cell>
          <cell r="J385">
            <v>0</v>
          </cell>
          <cell r="K385">
            <v>0</v>
          </cell>
          <cell r="L385">
            <v>0</v>
          </cell>
          <cell r="M385">
            <v>0</v>
          </cell>
          <cell r="T385">
            <v>8360</v>
          </cell>
          <cell r="U385">
            <v>0</v>
          </cell>
        </row>
        <row r="386">
          <cell r="D386">
            <v>8361</v>
          </cell>
          <cell r="E386" t="str">
            <v>库存股_提取盈余公积影响权益</v>
          </cell>
          <cell r="F386">
            <v>0</v>
          </cell>
          <cell r="G386">
            <v>0</v>
          </cell>
          <cell r="H386">
            <v>0</v>
          </cell>
          <cell r="I386">
            <v>0</v>
          </cell>
          <cell r="J386">
            <v>0</v>
          </cell>
          <cell r="K386">
            <v>0</v>
          </cell>
          <cell r="L386">
            <v>0</v>
          </cell>
          <cell r="M386">
            <v>0</v>
          </cell>
          <cell r="T386">
            <v>8361</v>
          </cell>
          <cell r="U386">
            <v>0</v>
          </cell>
        </row>
        <row r="387">
          <cell r="D387">
            <v>8362</v>
          </cell>
          <cell r="E387" t="str">
            <v>库存股_提取一般风险准备影响权益</v>
          </cell>
          <cell r="F387">
            <v>0</v>
          </cell>
          <cell r="G387">
            <v>0</v>
          </cell>
          <cell r="H387">
            <v>0</v>
          </cell>
          <cell r="I387">
            <v>0</v>
          </cell>
          <cell r="J387">
            <v>0</v>
          </cell>
          <cell r="K387">
            <v>0</v>
          </cell>
          <cell r="L387">
            <v>0</v>
          </cell>
          <cell r="M387">
            <v>0</v>
          </cell>
          <cell r="T387">
            <v>8362</v>
          </cell>
          <cell r="U387">
            <v>0</v>
          </cell>
        </row>
        <row r="388">
          <cell r="D388">
            <v>8363</v>
          </cell>
          <cell r="E388" t="str">
            <v>库存股_对所有者的分配</v>
          </cell>
          <cell r="F388">
            <v>0</v>
          </cell>
          <cell r="G388">
            <v>0</v>
          </cell>
          <cell r="H388">
            <v>0</v>
          </cell>
          <cell r="I388">
            <v>0</v>
          </cell>
          <cell r="J388">
            <v>0</v>
          </cell>
          <cell r="K388">
            <v>0</v>
          </cell>
          <cell r="L388">
            <v>0</v>
          </cell>
          <cell r="M388">
            <v>0</v>
          </cell>
          <cell r="T388">
            <v>8363</v>
          </cell>
          <cell r="U388">
            <v>0</v>
          </cell>
        </row>
        <row r="389">
          <cell r="D389">
            <v>8366</v>
          </cell>
          <cell r="E389" t="str">
            <v>库存股_其他利润分配</v>
          </cell>
          <cell r="F389">
            <v>0</v>
          </cell>
          <cell r="G389">
            <v>0</v>
          </cell>
          <cell r="H389">
            <v>0</v>
          </cell>
          <cell r="I389">
            <v>0</v>
          </cell>
          <cell r="J389">
            <v>0</v>
          </cell>
          <cell r="K389">
            <v>0</v>
          </cell>
          <cell r="L389">
            <v>0</v>
          </cell>
          <cell r="M389">
            <v>0</v>
          </cell>
          <cell r="T389">
            <v>8366</v>
          </cell>
          <cell r="U389">
            <v>0</v>
          </cell>
        </row>
        <row r="390">
          <cell r="D390">
            <v>8370</v>
          </cell>
          <cell r="E390" t="str">
            <v>库存股_所有者权益内部结转</v>
          </cell>
          <cell r="F390">
            <v>0</v>
          </cell>
          <cell r="G390">
            <v>0</v>
          </cell>
          <cell r="H390">
            <v>0</v>
          </cell>
          <cell r="I390">
            <v>0</v>
          </cell>
          <cell r="J390">
            <v>0</v>
          </cell>
          <cell r="K390">
            <v>0</v>
          </cell>
          <cell r="L390">
            <v>0</v>
          </cell>
          <cell r="M390">
            <v>0</v>
          </cell>
          <cell r="T390">
            <v>8370</v>
          </cell>
          <cell r="U390">
            <v>0</v>
          </cell>
        </row>
        <row r="391">
          <cell r="D391">
            <v>8371</v>
          </cell>
          <cell r="E391" t="str">
            <v>库存股_资本公积转增资本影响权益</v>
          </cell>
          <cell r="F391">
            <v>0</v>
          </cell>
          <cell r="G391">
            <v>0</v>
          </cell>
          <cell r="H391">
            <v>0</v>
          </cell>
          <cell r="I391">
            <v>0</v>
          </cell>
          <cell r="J391">
            <v>0</v>
          </cell>
          <cell r="K391">
            <v>0</v>
          </cell>
          <cell r="L391">
            <v>0</v>
          </cell>
          <cell r="M391">
            <v>0</v>
          </cell>
          <cell r="T391">
            <v>8371</v>
          </cell>
          <cell r="U391">
            <v>0</v>
          </cell>
        </row>
        <row r="392">
          <cell r="D392">
            <v>8372</v>
          </cell>
          <cell r="E392" t="str">
            <v>库存股_盈余公积转增资本影响权益</v>
          </cell>
          <cell r="F392">
            <v>0</v>
          </cell>
          <cell r="G392">
            <v>0</v>
          </cell>
          <cell r="H392">
            <v>0</v>
          </cell>
          <cell r="I392">
            <v>0</v>
          </cell>
          <cell r="J392">
            <v>0</v>
          </cell>
          <cell r="K392">
            <v>0</v>
          </cell>
          <cell r="L392">
            <v>0</v>
          </cell>
          <cell r="M392">
            <v>0</v>
          </cell>
          <cell r="T392">
            <v>8372</v>
          </cell>
          <cell r="U392">
            <v>0</v>
          </cell>
        </row>
        <row r="393">
          <cell r="D393">
            <v>8373</v>
          </cell>
          <cell r="E393" t="str">
            <v>库存股_盈余公积弥补亏损影响权益</v>
          </cell>
          <cell r="F393">
            <v>0</v>
          </cell>
          <cell r="G393">
            <v>0</v>
          </cell>
          <cell r="H393">
            <v>0</v>
          </cell>
          <cell r="I393">
            <v>0</v>
          </cell>
          <cell r="J393">
            <v>0</v>
          </cell>
          <cell r="K393">
            <v>0</v>
          </cell>
          <cell r="L393">
            <v>0</v>
          </cell>
          <cell r="M393">
            <v>0</v>
          </cell>
          <cell r="T393">
            <v>8373</v>
          </cell>
          <cell r="U393">
            <v>0</v>
          </cell>
        </row>
        <row r="394">
          <cell r="D394">
            <v>8375</v>
          </cell>
          <cell r="E394" t="str">
            <v>库存股_设定受益计划变动额结转留存收益</v>
          </cell>
          <cell r="F394">
            <v>0</v>
          </cell>
          <cell r="G394">
            <v>0</v>
          </cell>
          <cell r="H394">
            <v>0</v>
          </cell>
          <cell r="I394">
            <v>0</v>
          </cell>
          <cell r="J394">
            <v>0</v>
          </cell>
          <cell r="K394">
            <v>0</v>
          </cell>
          <cell r="L394">
            <v>0</v>
          </cell>
          <cell r="M394">
            <v>0</v>
          </cell>
          <cell r="T394">
            <v>8375</v>
          </cell>
          <cell r="U394">
            <v>0</v>
          </cell>
        </row>
        <row r="395">
          <cell r="D395">
            <v>8376</v>
          </cell>
          <cell r="E395" t="str">
            <v>库存股_所有者权益其他内部结转</v>
          </cell>
          <cell r="F395">
            <v>0</v>
          </cell>
          <cell r="G395">
            <v>0</v>
          </cell>
          <cell r="H395">
            <v>0</v>
          </cell>
          <cell r="I395">
            <v>0</v>
          </cell>
          <cell r="J395">
            <v>0</v>
          </cell>
          <cell r="K395">
            <v>0</v>
          </cell>
          <cell r="L395">
            <v>0</v>
          </cell>
          <cell r="M395">
            <v>0</v>
          </cell>
          <cell r="T395">
            <v>8376</v>
          </cell>
          <cell r="U395">
            <v>0</v>
          </cell>
        </row>
        <row r="396">
          <cell r="D396">
            <v>8380</v>
          </cell>
          <cell r="E396" t="str">
            <v>库存股_专项储备影响权益</v>
          </cell>
          <cell r="F396">
            <v>0</v>
          </cell>
          <cell r="G396">
            <v>0</v>
          </cell>
          <cell r="H396">
            <v>0</v>
          </cell>
          <cell r="I396">
            <v>0</v>
          </cell>
          <cell r="J396">
            <v>0</v>
          </cell>
          <cell r="K396">
            <v>0</v>
          </cell>
          <cell r="L396">
            <v>0</v>
          </cell>
          <cell r="M396">
            <v>0</v>
          </cell>
          <cell r="T396">
            <v>8380</v>
          </cell>
          <cell r="U396">
            <v>0</v>
          </cell>
        </row>
        <row r="397">
          <cell r="D397">
            <v>8381</v>
          </cell>
          <cell r="E397" t="str">
            <v>库存股_专项储备本期提取</v>
          </cell>
          <cell r="F397">
            <v>0</v>
          </cell>
          <cell r="G397">
            <v>0</v>
          </cell>
          <cell r="H397">
            <v>0</v>
          </cell>
          <cell r="I397">
            <v>0</v>
          </cell>
          <cell r="J397">
            <v>0</v>
          </cell>
          <cell r="K397">
            <v>0</v>
          </cell>
          <cell r="L397">
            <v>0</v>
          </cell>
          <cell r="M397">
            <v>0</v>
          </cell>
          <cell r="T397">
            <v>8381</v>
          </cell>
          <cell r="U397">
            <v>0</v>
          </cell>
        </row>
        <row r="398">
          <cell r="D398">
            <v>8382</v>
          </cell>
          <cell r="E398" t="str">
            <v>库存股_专项储备本期使用</v>
          </cell>
          <cell r="F398">
            <v>0</v>
          </cell>
          <cell r="G398">
            <v>0</v>
          </cell>
          <cell r="H398">
            <v>0</v>
          </cell>
          <cell r="I398">
            <v>0</v>
          </cell>
          <cell r="J398">
            <v>0</v>
          </cell>
          <cell r="K398">
            <v>0</v>
          </cell>
          <cell r="L398">
            <v>0</v>
          </cell>
          <cell r="M398">
            <v>0</v>
          </cell>
          <cell r="T398">
            <v>8382</v>
          </cell>
          <cell r="U398">
            <v>0</v>
          </cell>
        </row>
        <row r="399">
          <cell r="D399">
            <v>8396</v>
          </cell>
          <cell r="E399" t="str">
            <v>库存股_本期其他增减变动</v>
          </cell>
          <cell r="F399">
            <v>0</v>
          </cell>
          <cell r="G399">
            <v>0</v>
          </cell>
          <cell r="H399">
            <v>0</v>
          </cell>
          <cell r="I399">
            <v>0</v>
          </cell>
          <cell r="J399">
            <v>0</v>
          </cell>
          <cell r="K399">
            <v>0</v>
          </cell>
          <cell r="L399">
            <v>0</v>
          </cell>
          <cell r="M399">
            <v>0</v>
          </cell>
          <cell r="T399">
            <v>8396</v>
          </cell>
          <cell r="U399">
            <v>0</v>
          </cell>
        </row>
        <row r="400">
          <cell r="D400">
            <v>8399</v>
          </cell>
          <cell r="E400" t="str">
            <v>库存股_本期期末余额</v>
          </cell>
          <cell r="F400">
            <v>0</v>
          </cell>
          <cell r="G400">
            <v>0</v>
          </cell>
          <cell r="H400">
            <v>0</v>
          </cell>
          <cell r="I400">
            <v>0</v>
          </cell>
          <cell r="J400">
            <v>0</v>
          </cell>
          <cell r="K400">
            <v>0</v>
          </cell>
          <cell r="L400">
            <v>0</v>
          </cell>
          <cell r="M400">
            <v>0</v>
          </cell>
          <cell r="T400">
            <v>8399</v>
          </cell>
          <cell r="U400">
            <v>0</v>
          </cell>
        </row>
        <row r="401">
          <cell r="D401" t="str">
            <v>8g00</v>
          </cell>
          <cell r="E401" t="str">
            <v>其他综合收益增减变动</v>
          </cell>
          <cell r="T401" t="str">
            <v>8g00</v>
          </cell>
        </row>
        <row r="402">
          <cell r="D402" t="str">
            <v>8g01</v>
          </cell>
          <cell r="E402" t="str">
            <v>其他综合收益_上年年末余额</v>
          </cell>
          <cell r="F402">
            <v>0</v>
          </cell>
          <cell r="G402">
            <v>0</v>
          </cell>
          <cell r="H402">
            <v>0</v>
          </cell>
          <cell r="I402">
            <v>0</v>
          </cell>
          <cell r="J402">
            <v>0</v>
          </cell>
          <cell r="K402">
            <v>0</v>
          </cell>
          <cell r="L402">
            <v>0</v>
          </cell>
          <cell r="M402">
            <v>0</v>
          </cell>
          <cell r="T402" t="str">
            <v>8g01</v>
          </cell>
          <cell r="U402">
            <v>0</v>
          </cell>
        </row>
        <row r="403">
          <cell r="D403" t="str">
            <v>8g02</v>
          </cell>
          <cell r="E403" t="str">
            <v>其他综合收益_会计政策变更调整上年年末余额</v>
          </cell>
          <cell r="F403">
            <v>0</v>
          </cell>
          <cell r="G403">
            <v>0</v>
          </cell>
          <cell r="H403">
            <v>0</v>
          </cell>
          <cell r="I403">
            <v>0</v>
          </cell>
          <cell r="J403">
            <v>0</v>
          </cell>
          <cell r="K403">
            <v>0</v>
          </cell>
          <cell r="L403">
            <v>0</v>
          </cell>
          <cell r="M403">
            <v>0</v>
          </cell>
          <cell r="T403" t="str">
            <v>8g02</v>
          </cell>
          <cell r="U403">
            <v>0</v>
          </cell>
        </row>
        <row r="404">
          <cell r="D404" t="str">
            <v>8g03</v>
          </cell>
          <cell r="E404" t="str">
            <v>其他综合收益_前期差错更正调整上年年末余额</v>
          </cell>
          <cell r="F404">
            <v>0</v>
          </cell>
          <cell r="G404">
            <v>0</v>
          </cell>
          <cell r="H404">
            <v>0</v>
          </cell>
          <cell r="I404">
            <v>0</v>
          </cell>
          <cell r="J404">
            <v>0</v>
          </cell>
          <cell r="K404">
            <v>0</v>
          </cell>
          <cell r="L404">
            <v>0</v>
          </cell>
          <cell r="M404">
            <v>0</v>
          </cell>
          <cell r="T404" t="str">
            <v>8g03</v>
          </cell>
          <cell r="U404">
            <v>0</v>
          </cell>
        </row>
        <row r="405">
          <cell r="D405" t="str">
            <v>8g04</v>
          </cell>
          <cell r="E405" t="str">
            <v>其他综合收益_同一控制下企业合并调整上年年末余额</v>
          </cell>
          <cell r="F405">
            <v>0</v>
          </cell>
          <cell r="G405">
            <v>0</v>
          </cell>
          <cell r="H405">
            <v>0</v>
          </cell>
          <cell r="I405">
            <v>0</v>
          </cell>
          <cell r="J405">
            <v>0</v>
          </cell>
          <cell r="K405">
            <v>0</v>
          </cell>
          <cell r="L405">
            <v>0</v>
          </cell>
          <cell r="M405">
            <v>0</v>
          </cell>
          <cell r="T405" t="str">
            <v>8g04</v>
          </cell>
          <cell r="U405">
            <v>0</v>
          </cell>
        </row>
        <row r="406">
          <cell r="D406" t="str">
            <v>8g09</v>
          </cell>
          <cell r="E406" t="str">
            <v>其他综合收益_其他原因调整上年年末余额</v>
          </cell>
          <cell r="F406">
            <v>0</v>
          </cell>
          <cell r="G406">
            <v>0</v>
          </cell>
          <cell r="H406">
            <v>0</v>
          </cell>
          <cell r="I406">
            <v>0</v>
          </cell>
          <cell r="J406">
            <v>0</v>
          </cell>
          <cell r="K406">
            <v>0</v>
          </cell>
          <cell r="L406">
            <v>0</v>
          </cell>
          <cell r="M406">
            <v>0</v>
          </cell>
          <cell r="T406" t="str">
            <v>8g09</v>
          </cell>
          <cell r="U406">
            <v>0</v>
          </cell>
        </row>
        <row r="407">
          <cell r="D407" t="str">
            <v>8g10</v>
          </cell>
          <cell r="E407" t="str">
            <v>其他综合收益_本年年初余额</v>
          </cell>
          <cell r="F407">
            <v>0</v>
          </cell>
          <cell r="G407">
            <v>0</v>
          </cell>
          <cell r="H407">
            <v>0</v>
          </cell>
          <cell r="I407">
            <v>0</v>
          </cell>
          <cell r="J407">
            <v>0</v>
          </cell>
          <cell r="K407">
            <v>0</v>
          </cell>
          <cell r="L407">
            <v>0</v>
          </cell>
          <cell r="M407">
            <v>0</v>
          </cell>
          <cell r="T407" t="str">
            <v>8g10</v>
          </cell>
          <cell r="U407">
            <v>0</v>
          </cell>
        </row>
        <row r="408">
          <cell r="D408" t="str">
            <v>8g90</v>
          </cell>
          <cell r="E408" t="str">
            <v>其他综合收益_本期增减变动金额</v>
          </cell>
          <cell r="F408">
            <v>0</v>
          </cell>
          <cell r="G408">
            <v>0</v>
          </cell>
          <cell r="H408">
            <v>0</v>
          </cell>
          <cell r="I408">
            <v>0</v>
          </cell>
          <cell r="J408">
            <v>0</v>
          </cell>
          <cell r="K408">
            <v>0</v>
          </cell>
          <cell r="L408">
            <v>0</v>
          </cell>
          <cell r="M408">
            <v>0</v>
          </cell>
          <cell r="T408" t="str">
            <v>8g90</v>
          </cell>
          <cell r="U408">
            <v>0</v>
          </cell>
        </row>
        <row r="409">
          <cell r="D409" t="str">
            <v>8g40</v>
          </cell>
          <cell r="E409" t="str">
            <v>其他综合收益_综合收益总额增加权益</v>
          </cell>
          <cell r="F409">
            <v>0</v>
          </cell>
          <cell r="G409">
            <v>0</v>
          </cell>
          <cell r="H409">
            <v>0</v>
          </cell>
          <cell r="I409">
            <v>0</v>
          </cell>
          <cell r="J409">
            <v>0</v>
          </cell>
          <cell r="K409">
            <v>0</v>
          </cell>
          <cell r="L409">
            <v>0</v>
          </cell>
          <cell r="M409">
            <v>0</v>
          </cell>
          <cell r="T409" t="str">
            <v>8g40</v>
          </cell>
          <cell r="U409">
            <v>0</v>
          </cell>
        </row>
        <row r="410">
          <cell r="D410" t="str">
            <v>8g50</v>
          </cell>
          <cell r="E410" t="str">
            <v>其他综合收益_所有者投入和减少资本影响权益</v>
          </cell>
          <cell r="F410">
            <v>0</v>
          </cell>
          <cell r="G410">
            <v>0</v>
          </cell>
          <cell r="H410">
            <v>0</v>
          </cell>
          <cell r="I410">
            <v>0</v>
          </cell>
          <cell r="J410">
            <v>0</v>
          </cell>
          <cell r="K410">
            <v>0</v>
          </cell>
          <cell r="L410">
            <v>0</v>
          </cell>
          <cell r="M410">
            <v>0</v>
          </cell>
          <cell r="T410" t="str">
            <v>8g50</v>
          </cell>
          <cell r="U410">
            <v>0</v>
          </cell>
        </row>
        <row r="411">
          <cell r="D411" t="str">
            <v>8g51</v>
          </cell>
          <cell r="E411" t="str">
            <v>其他综合收益_所有者投入资本</v>
          </cell>
          <cell r="F411">
            <v>0</v>
          </cell>
          <cell r="G411">
            <v>0</v>
          </cell>
          <cell r="H411">
            <v>0</v>
          </cell>
          <cell r="I411">
            <v>0</v>
          </cell>
          <cell r="J411">
            <v>0</v>
          </cell>
          <cell r="K411">
            <v>0</v>
          </cell>
          <cell r="L411">
            <v>0</v>
          </cell>
          <cell r="M411">
            <v>0</v>
          </cell>
          <cell r="T411" t="str">
            <v>8g51</v>
          </cell>
          <cell r="U411">
            <v>0</v>
          </cell>
        </row>
        <row r="412">
          <cell r="D412" t="str">
            <v>8g53</v>
          </cell>
          <cell r="E412" t="str">
            <v>其他综合收益_其他权益工具持有者投入资本</v>
          </cell>
          <cell r="F412">
            <v>0</v>
          </cell>
          <cell r="G412">
            <v>0</v>
          </cell>
          <cell r="H412">
            <v>0</v>
          </cell>
          <cell r="I412">
            <v>0</v>
          </cell>
          <cell r="J412">
            <v>0</v>
          </cell>
          <cell r="K412">
            <v>0</v>
          </cell>
          <cell r="L412">
            <v>0</v>
          </cell>
          <cell r="M412">
            <v>0</v>
          </cell>
          <cell r="T412" t="str">
            <v>8g53</v>
          </cell>
          <cell r="U412">
            <v>0</v>
          </cell>
        </row>
        <row r="413">
          <cell r="D413" t="str">
            <v>8g52</v>
          </cell>
          <cell r="E413" t="str">
            <v>其他综合收益_股份支付</v>
          </cell>
          <cell r="F413">
            <v>0</v>
          </cell>
          <cell r="G413">
            <v>0</v>
          </cell>
          <cell r="H413">
            <v>0</v>
          </cell>
          <cell r="I413">
            <v>0</v>
          </cell>
          <cell r="J413">
            <v>0</v>
          </cell>
          <cell r="K413">
            <v>0</v>
          </cell>
          <cell r="L413">
            <v>0</v>
          </cell>
          <cell r="M413">
            <v>0</v>
          </cell>
          <cell r="T413" t="str">
            <v>8g52</v>
          </cell>
          <cell r="U413">
            <v>0</v>
          </cell>
        </row>
        <row r="414">
          <cell r="D414" t="str">
            <v>8g56</v>
          </cell>
          <cell r="E414" t="str">
            <v>其他综合收益_所有者其他投入和减少资本</v>
          </cell>
          <cell r="F414">
            <v>0</v>
          </cell>
          <cell r="G414">
            <v>0</v>
          </cell>
          <cell r="H414">
            <v>0</v>
          </cell>
          <cell r="I414">
            <v>0</v>
          </cell>
          <cell r="J414">
            <v>0</v>
          </cell>
          <cell r="K414">
            <v>0</v>
          </cell>
          <cell r="L414">
            <v>0</v>
          </cell>
          <cell r="M414">
            <v>0</v>
          </cell>
          <cell r="T414" t="str">
            <v>8g56</v>
          </cell>
          <cell r="U414">
            <v>0</v>
          </cell>
        </row>
        <row r="415">
          <cell r="D415" t="str">
            <v>8g60</v>
          </cell>
          <cell r="E415" t="str">
            <v>其他综合收益_利润分配影响权益</v>
          </cell>
          <cell r="F415">
            <v>0</v>
          </cell>
          <cell r="G415">
            <v>0</v>
          </cell>
          <cell r="H415">
            <v>0</v>
          </cell>
          <cell r="I415">
            <v>0</v>
          </cell>
          <cell r="J415">
            <v>0</v>
          </cell>
          <cell r="K415">
            <v>0</v>
          </cell>
          <cell r="L415">
            <v>0</v>
          </cell>
          <cell r="M415">
            <v>0</v>
          </cell>
          <cell r="T415" t="str">
            <v>8g60</v>
          </cell>
          <cell r="U415">
            <v>0</v>
          </cell>
        </row>
        <row r="416">
          <cell r="D416" t="str">
            <v>8g61</v>
          </cell>
          <cell r="E416" t="str">
            <v>其他综合收益_提取盈余公积</v>
          </cell>
          <cell r="F416">
            <v>0</v>
          </cell>
          <cell r="G416">
            <v>0</v>
          </cell>
          <cell r="H416">
            <v>0</v>
          </cell>
          <cell r="I416">
            <v>0</v>
          </cell>
          <cell r="J416">
            <v>0</v>
          </cell>
          <cell r="K416">
            <v>0</v>
          </cell>
          <cell r="L416">
            <v>0</v>
          </cell>
          <cell r="M416">
            <v>0</v>
          </cell>
          <cell r="T416" t="str">
            <v>8g61</v>
          </cell>
          <cell r="U416">
            <v>0</v>
          </cell>
        </row>
        <row r="417">
          <cell r="D417" t="str">
            <v>8g62</v>
          </cell>
          <cell r="E417" t="str">
            <v>其他综合收益_提取一般风险准备</v>
          </cell>
          <cell r="F417">
            <v>0</v>
          </cell>
          <cell r="G417">
            <v>0</v>
          </cell>
          <cell r="H417">
            <v>0</v>
          </cell>
          <cell r="I417">
            <v>0</v>
          </cell>
          <cell r="J417">
            <v>0</v>
          </cell>
          <cell r="K417">
            <v>0</v>
          </cell>
          <cell r="L417">
            <v>0</v>
          </cell>
          <cell r="M417">
            <v>0</v>
          </cell>
          <cell r="T417" t="str">
            <v>8g62</v>
          </cell>
          <cell r="U417">
            <v>0</v>
          </cell>
        </row>
        <row r="418">
          <cell r="D418" t="str">
            <v>8g63</v>
          </cell>
          <cell r="E418" t="str">
            <v>其他综合收益_对所有者的分配</v>
          </cell>
          <cell r="F418">
            <v>0</v>
          </cell>
          <cell r="G418">
            <v>0</v>
          </cell>
          <cell r="H418">
            <v>0</v>
          </cell>
          <cell r="I418">
            <v>0</v>
          </cell>
          <cell r="J418">
            <v>0</v>
          </cell>
          <cell r="K418">
            <v>0</v>
          </cell>
          <cell r="L418">
            <v>0</v>
          </cell>
          <cell r="M418">
            <v>0</v>
          </cell>
          <cell r="T418" t="str">
            <v>8g63</v>
          </cell>
          <cell r="U418">
            <v>0</v>
          </cell>
        </row>
        <row r="419">
          <cell r="D419" t="str">
            <v>8g66</v>
          </cell>
          <cell r="E419" t="str">
            <v>其他综合收益_其他利润分配</v>
          </cell>
          <cell r="F419">
            <v>0</v>
          </cell>
          <cell r="G419">
            <v>0</v>
          </cell>
          <cell r="H419">
            <v>0</v>
          </cell>
          <cell r="I419">
            <v>0</v>
          </cell>
          <cell r="J419">
            <v>0</v>
          </cell>
          <cell r="K419">
            <v>0</v>
          </cell>
          <cell r="L419">
            <v>0</v>
          </cell>
          <cell r="M419">
            <v>0</v>
          </cell>
          <cell r="T419" t="str">
            <v>8g66</v>
          </cell>
          <cell r="U419">
            <v>0</v>
          </cell>
        </row>
        <row r="420">
          <cell r="D420" t="str">
            <v>8g70</v>
          </cell>
          <cell r="E420" t="str">
            <v>其他综合收益_所有者权益内部结转</v>
          </cell>
          <cell r="F420">
            <v>0</v>
          </cell>
          <cell r="G420">
            <v>0</v>
          </cell>
          <cell r="H420">
            <v>0</v>
          </cell>
          <cell r="I420">
            <v>0</v>
          </cell>
          <cell r="J420">
            <v>0</v>
          </cell>
          <cell r="K420">
            <v>0</v>
          </cell>
          <cell r="L420">
            <v>0</v>
          </cell>
          <cell r="M420">
            <v>0</v>
          </cell>
          <cell r="T420" t="str">
            <v>8g70</v>
          </cell>
          <cell r="U420">
            <v>0</v>
          </cell>
        </row>
        <row r="421">
          <cell r="D421" t="str">
            <v>8g71</v>
          </cell>
          <cell r="E421" t="str">
            <v>其他综合收益_资本公积转增资本</v>
          </cell>
          <cell r="F421">
            <v>0</v>
          </cell>
          <cell r="G421">
            <v>0</v>
          </cell>
          <cell r="H421">
            <v>0</v>
          </cell>
          <cell r="I421">
            <v>0</v>
          </cell>
          <cell r="J421">
            <v>0</v>
          </cell>
          <cell r="K421">
            <v>0</v>
          </cell>
          <cell r="L421">
            <v>0</v>
          </cell>
          <cell r="M421">
            <v>0</v>
          </cell>
          <cell r="T421" t="str">
            <v>8g71</v>
          </cell>
          <cell r="U421">
            <v>0</v>
          </cell>
        </row>
        <row r="422">
          <cell r="D422" t="str">
            <v>8g72</v>
          </cell>
          <cell r="E422" t="str">
            <v>其他综合收益_盈余公积转增资本</v>
          </cell>
          <cell r="F422">
            <v>0</v>
          </cell>
          <cell r="G422">
            <v>0</v>
          </cell>
          <cell r="H422">
            <v>0</v>
          </cell>
          <cell r="I422">
            <v>0</v>
          </cell>
          <cell r="J422">
            <v>0</v>
          </cell>
          <cell r="K422">
            <v>0</v>
          </cell>
          <cell r="L422">
            <v>0</v>
          </cell>
          <cell r="M422">
            <v>0</v>
          </cell>
          <cell r="T422" t="str">
            <v>8g72</v>
          </cell>
          <cell r="U422">
            <v>0</v>
          </cell>
        </row>
        <row r="423">
          <cell r="D423" t="str">
            <v>8g73</v>
          </cell>
          <cell r="E423" t="str">
            <v>其他综合收益_盈余公积弥补亏损</v>
          </cell>
          <cell r="F423">
            <v>0</v>
          </cell>
          <cell r="G423">
            <v>0</v>
          </cell>
          <cell r="H423">
            <v>0</v>
          </cell>
          <cell r="I423">
            <v>0</v>
          </cell>
          <cell r="J423">
            <v>0</v>
          </cell>
          <cell r="K423">
            <v>0</v>
          </cell>
          <cell r="L423">
            <v>0</v>
          </cell>
          <cell r="M423">
            <v>0</v>
          </cell>
          <cell r="T423" t="str">
            <v>8g73</v>
          </cell>
          <cell r="U423">
            <v>0</v>
          </cell>
        </row>
        <row r="424">
          <cell r="D424" t="str">
            <v>8g75</v>
          </cell>
          <cell r="E424" t="str">
            <v>其他综合收益_设定受益计划变动额结转留存收益</v>
          </cell>
          <cell r="F424">
            <v>0</v>
          </cell>
          <cell r="G424">
            <v>0</v>
          </cell>
          <cell r="H424">
            <v>0</v>
          </cell>
          <cell r="I424">
            <v>0</v>
          </cell>
          <cell r="J424">
            <v>0</v>
          </cell>
          <cell r="K424">
            <v>0</v>
          </cell>
          <cell r="L424">
            <v>0</v>
          </cell>
          <cell r="M424">
            <v>0</v>
          </cell>
          <cell r="T424" t="str">
            <v>8g75</v>
          </cell>
          <cell r="U424">
            <v>0</v>
          </cell>
        </row>
        <row r="425">
          <cell r="D425" t="str">
            <v>8g76</v>
          </cell>
          <cell r="E425" t="str">
            <v>其他综合收益_所有者权益其他内部结转</v>
          </cell>
          <cell r="F425">
            <v>0</v>
          </cell>
          <cell r="G425">
            <v>0</v>
          </cell>
          <cell r="H425">
            <v>0</v>
          </cell>
          <cell r="I425">
            <v>0</v>
          </cell>
          <cell r="J425">
            <v>0</v>
          </cell>
          <cell r="K425">
            <v>0</v>
          </cell>
          <cell r="L425">
            <v>0</v>
          </cell>
          <cell r="M425">
            <v>0</v>
          </cell>
          <cell r="T425" t="str">
            <v>8g76</v>
          </cell>
          <cell r="U425">
            <v>0</v>
          </cell>
        </row>
        <row r="426">
          <cell r="D426" t="str">
            <v>8g80</v>
          </cell>
          <cell r="E426" t="str">
            <v>其他综合收益_专项储备影响权益</v>
          </cell>
          <cell r="F426">
            <v>0</v>
          </cell>
          <cell r="G426">
            <v>0</v>
          </cell>
          <cell r="H426">
            <v>0</v>
          </cell>
          <cell r="I426">
            <v>0</v>
          </cell>
          <cell r="J426">
            <v>0</v>
          </cell>
          <cell r="K426">
            <v>0</v>
          </cell>
          <cell r="L426">
            <v>0</v>
          </cell>
          <cell r="M426">
            <v>0</v>
          </cell>
          <cell r="T426" t="str">
            <v>8g80</v>
          </cell>
          <cell r="U426">
            <v>0</v>
          </cell>
        </row>
        <row r="427">
          <cell r="D427" t="str">
            <v>8g81</v>
          </cell>
          <cell r="E427" t="str">
            <v>其他综合收益_专项储备本期提取</v>
          </cell>
          <cell r="F427">
            <v>0</v>
          </cell>
          <cell r="G427">
            <v>0</v>
          </cell>
          <cell r="H427">
            <v>0</v>
          </cell>
          <cell r="I427">
            <v>0</v>
          </cell>
          <cell r="J427">
            <v>0</v>
          </cell>
          <cell r="K427">
            <v>0</v>
          </cell>
          <cell r="L427">
            <v>0</v>
          </cell>
          <cell r="M427">
            <v>0</v>
          </cell>
          <cell r="T427" t="str">
            <v>8g81</v>
          </cell>
          <cell r="U427">
            <v>0</v>
          </cell>
        </row>
        <row r="428">
          <cell r="D428" t="str">
            <v>8g82</v>
          </cell>
          <cell r="E428" t="str">
            <v>其他综合收益_专项储备本期使用</v>
          </cell>
          <cell r="F428">
            <v>0</v>
          </cell>
          <cell r="G428">
            <v>0</v>
          </cell>
          <cell r="H428">
            <v>0</v>
          </cell>
          <cell r="I428">
            <v>0</v>
          </cell>
          <cell r="J428">
            <v>0</v>
          </cell>
          <cell r="K428">
            <v>0</v>
          </cell>
          <cell r="L428">
            <v>0</v>
          </cell>
          <cell r="M428">
            <v>0</v>
          </cell>
          <cell r="T428" t="str">
            <v>8g82</v>
          </cell>
          <cell r="U428">
            <v>0</v>
          </cell>
        </row>
        <row r="429">
          <cell r="D429" t="str">
            <v>8g96</v>
          </cell>
          <cell r="E429" t="str">
            <v>其他综合收益_本期其他增减变动</v>
          </cell>
          <cell r="F429">
            <v>0</v>
          </cell>
          <cell r="G429">
            <v>0</v>
          </cell>
          <cell r="H429">
            <v>0</v>
          </cell>
          <cell r="I429">
            <v>0</v>
          </cell>
          <cell r="J429">
            <v>0</v>
          </cell>
          <cell r="K429">
            <v>0</v>
          </cell>
          <cell r="L429">
            <v>0</v>
          </cell>
          <cell r="M429">
            <v>0</v>
          </cell>
          <cell r="T429" t="str">
            <v>8g96</v>
          </cell>
          <cell r="U429">
            <v>0</v>
          </cell>
        </row>
        <row r="430">
          <cell r="D430" t="str">
            <v>8g99</v>
          </cell>
          <cell r="E430" t="str">
            <v>其他综合收益_本期期末余额</v>
          </cell>
          <cell r="F430">
            <v>0</v>
          </cell>
          <cell r="G430">
            <v>0</v>
          </cell>
          <cell r="H430">
            <v>0</v>
          </cell>
          <cell r="I430">
            <v>0</v>
          </cell>
          <cell r="J430">
            <v>0</v>
          </cell>
          <cell r="K430">
            <v>0</v>
          </cell>
          <cell r="L430">
            <v>0</v>
          </cell>
          <cell r="M430">
            <v>0</v>
          </cell>
          <cell r="T430" t="str">
            <v>8g99</v>
          </cell>
          <cell r="U430">
            <v>0</v>
          </cell>
        </row>
        <row r="431">
          <cell r="D431">
            <v>8400</v>
          </cell>
          <cell r="E431" t="str">
            <v>专项储备增减变动</v>
          </cell>
          <cell r="F431">
            <v>0</v>
          </cell>
          <cell r="G431">
            <v>0</v>
          </cell>
          <cell r="H431">
            <v>0</v>
          </cell>
          <cell r="I431">
            <v>0</v>
          </cell>
          <cell r="J431">
            <v>0</v>
          </cell>
          <cell r="K431">
            <v>0</v>
          </cell>
          <cell r="L431">
            <v>0</v>
          </cell>
          <cell r="M431">
            <v>0</v>
          </cell>
          <cell r="T431">
            <v>8400</v>
          </cell>
          <cell r="U431">
            <v>0</v>
          </cell>
        </row>
        <row r="432">
          <cell r="D432">
            <v>8401</v>
          </cell>
          <cell r="E432" t="str">
            <v>专项储备_上年年末余额</v>
          </cell>
          <cell r="F432">
            <v>7301705.1699999999</v>
          </cell>
          <cell r="G432">
            <v>191233.61</v>
          </cell>
          <cell r="H432">
            <v>0</v>
          </cell>
          <cell r="I432">
            <v>7110471.5599999996</v>
          </cell>
          <cell r="J432">
            <v>5551075.4500000002</v>
          </cell>
          <cell r="K432">
            <v>0</v>
          </cell>
          <cell r="L432">
            <v>0</v>
          </cell>
          <cell r="M432">
            <v>5551075.4500000002</v>
          </cell>
          <cell r="T432">
            <v>8401</v>
          </cell>
          <cell r="U432">
            <v>5551075.4500000002</v>
          </cell>
        </row>
        <row r="433">
          <cell r="D433">
            <v>8402</v>
          </cell>
          <cell r="E433" t="str">
            <v>专项储备_会计政策变更调整上年年末余额</v>
          </cell>
          <cell r="F433">
            <v>0</v>
          </cell>
          <cell r="G433">
            <v>0</v>
          </cell>
          <cell r="H433">
            <v>0</v>
          </cell>
          <cell r="I433">
            <v>0</v>
          </cell>
          <cell r="J433">
            <v>0</v>
          </cell>
          <cell r="K433">
            <v>0</v>
          </cell>
          <cell r="L433">
            <v>0</v>
          </cell>
          <cell r="M433">
            <v>0</v>
          </cell>
          <cell r="T433">
            <v>8402</v>
          </cell>
          <cell r="U433">
            <v>0</v>
          </cell>
        </row>
        <row r="434">
          <cell r="D434">
            <v>8403</v>
          </cell>
          <cell r="E434" t="str">
            <v>专项储备_前期差错更正调整上年年末余额</v>
          </cell>
          <cell r="F434">
            <v>0</v>
          </cell>
          <cell r="G434">
            <v>0</v>
          </cell>
          <cell r="H434">
            <v>0</v>
          </cell>
          <cell r="I434">
            <v>0</v>
          </cell>
          <cell r="J434">
            <v>0</v>
          </cell>
          <cell r="K434">
            <v>0</v>
          </cell>
          <cell r="L434">
            <v>0</v>
          </cell>
          <cell r="M434">
            <v>0</v>
          </cell>
          <cell r="T434">
            <v>8403</v>
          </cell>
          <cell r="U434">
            <v>0</v>
          </cell>
        </row>
        <row r="435">
          <cell r="D435">
            <v>8404</v>
          </cell>
          <cell r="E435" t="str">
            <v>专项储备_同一控制下企业合并调整上年年末余额</v>
          </cell>
          <cell r="F435">
            <v>0</v>
          </cell>
          <cell r="G435">
            <v>0</v>
          </cell>
          <cell r="H435">
            <v>0</v>
          </cell>
          <cell r="I435">
            <v>0</v>
          </cell>
          <cell r="J435">
            <v>0</v>
          </cell>
          <cell r="K435">
            <v>0</v>
          </cell>
          <cell r="L435">
            <v>0</v>
          </cell>
          <cell r="M435">
            <v>0</v>
          </cell>
          <cell r="T435">
            <v>8404</v>
          </cell>
          <cell r="U435">
            <v>0</v>
          </cell>
        </row>
        <row r="436">
          <cell r="D436">
            <v>8409</v>
          </cell>
          <cell r="E436" t="str">
            <v>专项储备_其他原因调整上年年末余额</v>
          </cell>
          <cell r="F436">
            <v>-191233.61</v>
          </cell>
          <cell r="G436">
            <v>0</v>
          </cell>
          <cell r="H436">
            <v>191233.61</v>
          </cell>
          <cell r="I436">
            <v>0</v>
          </cell>
          <cell r="J436">
            <v>0</v>
          </cell>
          <cell r="K436">
            <v>0</v>
          </cell>
          <cell r="L436">
            <v>0</v>
          </cell>
          <cell r="M436">
            <v>0</v>
          </cell>
          <cell r="T436">
            <v>8409</v>
          </cell>
          <cell r="U436">
            <v>0</v>
          </cell>
        </row>
        <row r="437">
          <cell r="D437">
            <v>8410</v>
          </cell>
          <cell r="E437" t="str">
            <v>专项储备_本年年初余额</v>
          </cell>
          <cell r="F437">
            <v>7110471.5599999996</v>
          </cell>
          <cell r="G437">
            <v>191233.61</v>
          </cell>
          <cell r="H437">
            <v>191233.61</v>
          </cell>
          <cell r="I437">
            <v>7110471.5599999996</v>
          </cell>
          <cell r="J437">
            <v>5551075.4500000002</v>
          </cell>
          <cell r="K437">
            <v>0</v>
          </cell>
          <cell r="L437">
            <v>0</v>
          </cell>
          <cell r="M437">
            <v>5551075.4500000002</v>
          </cell>
          <cell r="T437">
            <v>8410</v>
          </cell>
          <cell r="U437">
            <v>5551075.4500000002</v>
          </cell>
        </row>
        <row r="438">
          <cell r="D438">
            <v>8490</v>
          </cell>
          <cell r="E438" t="str">
            <v>专项储备_本期增减变动金额</v>
          </cell>
          <cell r="F438">
            <v>691641</v>
          </cell>
          <cell r="G438">
            <v>0</v>
          </cell>
          <cell r="H438">
            <v>144603.26</v>
          </cell>
          <cell r="I438">
            <v>836244.26</v>
          </cell>
          <cell r="J438">
            <v>1559396.11</v>
          </cell>
          <cell r="K438">
            <v>0</v>
          </cell>
          <cell r="L438">
            <v>0</v>
          </cell>
          <cell r="M438">
            <v>1559396.11</v>
          </cell>
          <cell r="T438">
            <v>8490</v>
          </cell>
          <cell r="U438">
            <v>1559396.11</v>
          </cell>
        </row>
        <row r="439">
          <cell r="D439">
            <v>8421</v>
          </cell>
          <cell r="E439" t="str">
            <v>专项储备_净利润增加权益</v>
          </cell>
          <cell r="F439">
            <v>0</v>
          </cell>
          <cell r="G439">
            <v>0</v>
          </cell>
          <cell r="H439">
            <v>0</v>
          </cell>
          <cell r="I439">
            <v>0</v>
          </cell>
          <cell r="J439">
            <v>0</v>
          </cell>
          <cell r="K439">
            <v>0</v>
          </cell>
          <cell r="L439">
            <v>0</v>
          </cell>
          <cell r="M439">
            <v>0</v>
          </cell>
          <cell r="T439">
            <v>8421</v>
          </cell>
          <cell r="U439">
            <v>0</v>
          </cell>
        </row>
        <row r="440">
          <cell r="D440">
            <v>8430</v>
          </cell>
          <cell r="E440" t="str">
            <v>专项储备_其他综合收益增加权益</v>
          </cell>
          <cell r="F440">
            <v>0</v>
          </cell>
          <cell r="G440">
            <v>0</v>
          </cell>
          <cell r="H440">
            <v>0</v>
          </cell>
          <cell r="I440">
            <v>0</v>
          </cell>
          <cell r="J440">
            <v>0</v>
          </cell>
          <cell r="K440">
            <v>0</v>
          </cell>
          <cell r="L440">
            <v>0</v>
          </cell>
          <cell r="M440">
            <v>0</v>
          </cell>
          <cell r="T440">
            <v>8430</v>
          </cell>
          <cell r="U440">
            <v>0</v>
          </cell>
        </row>
        <row r="441">
          <cell r="D441">
            <v>8440</v>
          </cell>
          <cell r="E441" t="str">
            <v>专项储备_综合收益总额增加权益</v>
          </cell>
          <cell r="F441">
            <v>0</v>
          </cell>
          <cell r="G441">
            <v>0</v>
          </cell>
          <cell r="H441">
            <v>0</v>
          </cell>
          <cell r="I441">
            <v>0</v>
          </cell>
          <cell r="J441">
            <v>0</v>
          </cell>
          <cell r="K441">
            <v>0</v>
          </cell>
          <cell r="L441">
            <v>0</v>
          </cell>
          <cell r="M441">
            <v>0</v>
          </cell>
          <cell r="T441">
            <v>8440</v>
          </cell>
          <cell r="U441">
            <v>0</v>
          </cell>
        </row>
        <row r="442">
          <cell r="D442">
            <v>8450</v>
          </cell>
          <cell r="E442" t="str">
            <v>专项储备_所有者投入和减少资本影响权益</v>
          </cell>
          <cell r="F442">
            <v>0</v>
          </cell>
          <cell r="G442">
            <v>0</v>
          </cell>
          <cell r="H442">
            <v>0</v>
          </cell>
          <cell r="I442">
            <v>0</v>
          </cell>
          <cell r="J442">
            <v>0</v>
          </cell>
          <cell r="K442">
            <v>0</v>
          </cell>
          <cell r="L442">
            <v>0</v>
          </cell>
          <cell r="M442">
            <v>0</v>
          </cell>
          <cell r="T442">
            <v>8450</v>
          </cell>
          <cell r="U442">
            <v>0</v>
          </cell>
        </row>
        <row r="443">
          <cell r="D443">
            <v>8451</v>
          </cell>
          <cell r="E443" t="str">
            <v>专项储备_所有者投入资本增加权益</v>
          </cell>
          <cell r="F443">
            <v>0</v>
          </cell>
          <cell r="G443">
            <v>0</v>
          </cell>
          <cell r="H443">
            <v>0</v>
          </cell>
          <cell r="I443">
            <v>0</v>
          </cell>
          <cell r="J443">
            <v>0</v>
          </cell>
          <cell r="K443">
            <v>0</v>
          </cell>
          <cell r="L443">
            <v>0</v>
          </cell>
          <cell r="M443">
            <v>0</v>
          </cell>
          <cell r="T443">
            <v>8451</v>
          </cell>
          <cell r="U443">
            <v>0</v>
          </cell>
        </row>
        <row r="444">
          <cell r="D444">
            <v>8453</v>
          </cell>
          <cell r="E444" t="str">
            <v>专项储备_其他权益工具持有者投入资本</v>
          </cell>
          <cell r="F444">
            <v>0</v>
          </cell>
          <cell r="G444">
            <v>0</v>
          </cell>
          <cell r="H444">
            <v>0</v>
          </cell>
          <cell r="I444">
            <v>0</v>
          </cell>
          <cell r="J444">
            <v>0</v>
          </cell>
          <cell r="K444">
            <v>0</v>
          </cell>
          <cell r="L444">
            <v>0</v>
          </cell>
          <cell r="M444">
            <v>0</v>
          </cell>
          <cell r="T444">
            <v>8453</v>
          </cell>
          <cell r="U444">
            <v>0</v>
          </cell>
        </row>
        <row r="445">
          <cell r="D445">
            <v>8452</v>
          </cell>
          <cell r="E445" t="str">
            <v>专项储备_股份支付计入所有者权益的金额</v>
          </cell>
          <cell r="F445">
            <v>0</v>
          </cell>
          <cell r="G445">
            <v>0</v>
          </cell>
          <cell r="H445">
            <v>0</v>
          </cell>
          <cell r="I445">
            <v>0</v>
          </cell>
          <cell r="J445">
            <v>0</v>
          </cell>
          <cell r="K445">
            <v>0</v>
          </cell>
          <cell r="L445">
            <v>0</v>
          </cell>
          <cell r="M445">
            <v>0</v>
          </cell>
          <cell r="T445">
            <v>8452</v>
          </cell>
          <cell r="U445">
            <v>0</v>
          </cell>
        </row>
        <row r="446">
          <cell r="D446">
            <v>8456</v>
          </cell>
          <cell r="E446" t="str">
            <v>专项储备_所有者其他投入和减少资本</v>
          </cell>
          <cell r="F446">
            <v>0</v>
          </cell>
          <cell r="G446">
            <v>0</v>
          </cell>
          <cell r="H446">
            <v>0</v>
          </cell>
          <cell r="I446">
            <v>0</v>
          </cell>
          <cell r="J446">
            <v>0</v>
          </cell>
          <cell r="K446">
            <v>0</v>
          </cell>
          <cell r="L446">
            <v>0</v>
          </cell>
          <cell r="M446">
            <v>0</v>
          </cell>
          <cell r="T446">
            <v>8456</v>
          </cell>
          <cell r="U446">
            <v>0</v>
          </cell>
        </row>
        <row r="447">
          <cell r="D447">
            <v>8460</v>
          </cell>
          <cell r="E447" t="str">
            <v>专项储备_利润分配影响权益</v>
          </cell>
          <cell r="F447">
            <v>0</v>
          </cell>
          <cell r="G447">
            <v>0</v>
          </cell>
          <cell r="H447">
            <v>0</v>
          </cell>
          <cell r="I447">
            <v>0</v>
          </cell>
          <cell r="J447">
            <v>0</v>
          </cell>
          <cell r="K447">
            <v>0</v>
          </cell>
          <cell r="L447">
            <v>0</v>
          </cell>
          <cell r="M447">
            <v>0</v>
          </cell>
          <cell r="T447">
            <v>8460</v>
          </cell>
          <cell r="U447">
            <v>0</v>
          </cell>
        </row>
        <row r="448">
          <cell r="D448">
            <v>8461</v>
          </cell>
          <cell r="E448" t="str">
            <v>专项储备_提取盈余公积影响权益</v>
          </cell>
          <cell r="F448">
            <v>0</v>
          </cell>
          <cell r="G448">
            <v>0</v>
          </cell>
          <cell r="H448">
            <v>0</v>
          </cell>
          <cell r="I448">
            <v>0</v>
          </cell>
          <cell r="J448">
            <v>0</v>
          </cell>
          <cell r="K448">
            <v>0</v>
          </cell>
          <cell r="L448">
            <v>0</v>
          </cell>
          <cell r="M448">
            <v>0</v>
          </cell>
          <cell r="T448">
            <v>8461</v>
          </cell>
          <cell r="U448">
            <v>0</v>
          </cell>
        </row>
        <row r="449">
          <cell r="D449">
            <v>8462</v>
          </cell>
          <cell r="E449" t="str">
            <v>专项储备_提取一般风险准备影响权益</v>
          </cell>
          <cell r="F449">
            <v>0</v>
          </cell>
          <cell r="G449">
            <v>0</v>
          </cell>
          <cell r="H449">
            <v>0</v>
          </cell>
          <cell r="I449">
            <v>0</v>
          </cell>
          <cell r="J449">
            <v>0</v>
          </cell>
          <cell r="K449">
            <v>0</v>
          </cell>
          <cell r="L449">
            <v>0</v>
          </cell>
          <cell r="M449">
            <v>0</v>
          </cell>
          <cell r="T449">
            <v>8462</v>
          </cell>
          <cell r="U449">
            <v>0</v>
          </cell>
        </row>
        <row r="450">
          <cell r="D450">
            <v>8463</v>
          </cell>
          <cell r="E450" t="str">
            <v>专项储备_对所有者的分配影响权益</v>
          </cell>
          <cell r="F450">
            <v>0</v>
          </cell>
          <cell r="G450">
            <v>0</v>
          </cell>
          <cell r="H450">
            <v>0</v>
          </cell>
          <cell r="I450">
            <v>0</v>
          </cell>
          <cell r="J450">
            <v>0</v>
          </cell>
          <cell r="K450">
            <v>0</v>
          </cell>
          <cell r="L450">
            <v>0</v>
          </cell>
          <cell r="M450">
            <v>0</v>
          </cell>
          <cell r="T450">
            <v>8463</v>
          </cell>
          <cell r="U450">
            <v>0</v>
          </cell>
        </row>
        <row r="451">
          <cell r="D451">
            <v>8466</v>
          </cell>
          <cell r="E451" t="str">
            <v>专项储备_其他利润分配影响权益</v>
          </cell>
          <cell r="F451">
            <v>0</v>
          </cell>
          <cell r="G451">
            <v>0</v>
          </cell>
          <cell r="H451">
            <v>0</v>
          </cell>
          <cell r="I451">
            <v>0</v>
          </cell>
          <cell r="J451">
            <v>0</v>
          </cell>
          <cell r="K451">
            <v>0</v>
          </cell>
          <cell r="L451">
            <v>0</v>
          </cell>
          <cell r="M451">
            <v>0</v>
          </cell>
          <cell r="T451">
            <v>8466</v>
          </cell>
          <cell r="U451">
            <v>0</v>
          </cell>
        </row>
        <row r="452">
          <cell r="D452">
            <v>8470</v>
          </cell>
          <cell r="E452" t="str">
            <v>专项储备_所有者权益内部结转</v>
          </cell>
          <cell r="F452">
            <v>0</v>
          </cell>
          <cell r="G452">
            <v>0</v>
          </cell>
          <cell r="H452">
            <v>0</v>
          </cell>
          <cell r="I452">
            <v>0</v>
          </cell>
          <cell r="J452">
            <v>0</v>
          </cell>
          <cell r="K452">
            <v>0</v>
          </cell>
          <cell r="L452">
            <v>0</v>
          </cell>
          <cell r="M452">
            <v>0</v>
          </cell>
          <cell r="T452">
            <v>8470</v>
          </cell>
          <cell r="U452">
            <v>0</v>
          </cell>
        </row>
        <row r="453">
          <cell r="D453">
            <v>8471</v>
          </cell>
          <cell r="E453" t="str">
            <v>专项储备_资本公积转增资本影响权益</v>
          </cell>
          <cell r="F453">
            <v>0</v>
          </cell>
          <cell r="G453">
            <v>0</v>
          </cell>
          <cell r="H453">
            <v>0</v>
          </cell>
          <cell r="I453">
            <v>0</v>
          </cell>
          <cell r="J453">
            <v>0</v>
          </cell>
          <cell r="K453">
            <v>0</v>
          </cell>
          <cell r="L453">
            <v>0</v>
          </cell>
          <cell r="M453">
            <v>0</v>
          </cell>
          <cell r="T453">
            <v>8471</v>
          </cell>
          <cell r="U453">
            <v>0</v>
          </cell>
        </row>
        <row r="454">
          <cell r="D454">
            <v>8472</v>
          </cell>
          <cell r="E454" t="str">
            <v>专项储备_盈余公积转增资本影响权益</v>
          </cell>
          <cell r="F454">
            <v>0</v>
          </cell>
          <cell r="G454">
            <v>0</v>
          </cell>
          <cell r="H454">
            <v>0</v>
          </cell>
          <cell r="I454">
            <v>0</v>
          </cell>
          <cell r="J454">
            <v>0</v>
          </cell>
          <cell r="K454">
            <v>0</v>
          </cell>
          <cell r="L454">
            <v>0</v>
          </cell>
          <cell r="M454">
            <v>0</v>
          </cell>
          <cell r="T454">
            <v>8472</v>
          </cell>
          <cell r="U454">
            <v>0</v>
          </cell>
        </row>
        <row r="455">
          <cell r="D455">
            <v>8473</v>
          </cell>
          <cell r="E455" t="str">
            <v>专项储备_盈余公积弥补亏损影响权益</v>
          </cell>
          <cell r="F455">
            <v>0</v>
          </cell>
          <cell r="G455">
            <v>0</v>
          </cell>
          <cell r="H455">
            <v>0</v>
          </cell>
          <cell r="I455">
            <v>0</v>
          </cell>
          <cell r="J455">
            <v>0</v>
          </cell>
          <cell r="K455">
            <v>0</v>
          </cell>
          <cell r="L455">
            <v>0</v>
          </cell>
          <cell r="M455">
            <v>0</v>
          </cell>
          <cell r="T455">
            <v>8473</v>
          </cell>
          <cell r="U455">
            <v>0</v>
          </cell>
        </row>
        <row r="456">
          <cell r="D456">
            <v>8475</v>
          </cell>
          <cell r="E456" t="str">
            <v>专项储备_设定受益计划变动额结转留存收益</v>
          </cell>
          <cell r="F456">
            <v>0</v>
          </cell>
          <cell r="G456">
            <v>0</v>
          </cell>
          <cell r="H456">
            <v>0</v>
          </cell>
          <cell r="I456">
            <v>0</v>
          </cell>
          <cell r="J456">
            <v>0</v>
          </cell>
          <cell r="K456">
            <v>0</v>
          </cell>
          <cell r="L456">
            <v>0</v>
          </cell>
          <cell r="M456">
            <v>0</v>
          </cell>
          <cell r="T456">
            <v>8475</v>
          </cell>
          <cell r="U456">
            <v>0</v>
          </cell>
        </row>
        <row r="457">
          <cell r="D457">
            <v>8476</v>
          </cell>
          <cell r="E457" t="str">
            <v>专项储备_所有者权益其他内部结转</v>
          </cell>
          <cell r="F457">
            <v>0</v>
          </cell>
          <cell r="G457">
            <v>0</v>
          </cell>
          <cell r="H457">
            <v>0</v>
          </cell>
          <cell r="I457">
            <v>0</v>
          </cell>
          <cell r="J457">
            <v>0</v>
          </cell>
          <cell r="K457">
            <v>0</v>
          </cell>
          <cell r="L457">
            <v>0</v>
          </cell>
          <cell r="M457">
            <v>0</v>
          </cell>
          <cell r="T457">
            <v>8476</v>
          </cell>
          <cell r="U457">
            <v>0</v>
          </cell>
        </row>
        <row r="458">
          <cell r="D458">
            <v>8480</v>
          </cell>
          <cell r="E458" t="str">
            <v>专项储备_专项储备影响权益</v>
          </cell>
          <cell r="F458">
            <v>691641</v>
          </cell>
          <cell r="G458">
            <v>0</v>
          </cell>
          <cell r="H458">
            <v>144603.26</v>
          </cell>
          <cell r="I458">
            <v>836244.26</v>
          </cell>
          <cell r="J458">
            <v>1559396.11</v>
          </cell>
          <cell r="K458">
            <v>0</v>
          </cell>
          <cell r="L458">
            <v>0</v>
          </cell>
          <cell r="M458">
            <v>1559396.11</v>
          </cell>
          <cell r="T458">
            <v>8480</v>
          </cell>
          <cell r="U458">
            <v>1559396.11</v>
          </cell>
        </row>
        <row r="459">
          <cell r="D459">
            <v>8481</v>
          </cell>
          <cell r="E459" t="str">
            <v>专项储备_本期提取</v>
          </cell>
          <cell r="F459">
            <v>691641</v>
          </cell>
          <cell r="G459">
            <v>0</v>
          </cell>
          <cell r="H459">
            <v>144603.26</v>
          </cell>
          <cell r="I459">
            <v>836244.26</v>
          </cell>
          <cell r="J459">
            <v>1559396.11</v>
          </cell>
          <cell r="K459">
            <v>0</v>
          </cell>
          <cell r="L459">
            <v>0</v>
          </cell>
          <cell r="M459">
            <v>1559396.11</v>
          </cell>
          <cell r="T459">
            <v>8481</v>
          </cell>
          <cell r="U459">
            <v>1559396.11</v>
          </cell>
        </row>
        <row r="460">
          <cell r="D460">
            <v>8482</v>
          </cell>
          <cell r="E460" t="str">
            <v>专项储备_本期使用</v>
          </cell>
          <cell r="F460">
            <v>0</v>
          </cell>
          <cell r="G460">
            <v>0</v>
          </cell>
          <cell r="H460">
            <v>0</v>
          </cell>
          <cell r="I460">
            <v>0</v>
          </cell>
          <cell r="J460">
            <v>0</v>
          </cell>
          <cell r="K460">
            <v>0</v>
          </cell>
          <cell r="L460">
            <v>0</v>
          </cell>
          <cell r="M460">
            <v>0</v>
          </cell>
          <cell r="T460">
            <v>8482</v>
          </cell>
          <cell r="U460">
            <v>0</v>
          </cell>
        </row>
        <row r="461">
          <cell r="D461">
            <v>8496</v>
          </cell>
          <cell r="E461" t="str">
            <v>专项储备_本期其他增减变动</v>
          </cell>
          <cell r="F461">
            <v>0</v>
          </cell>
          <cell r="G461">
            <v>0</v>
          </cell>
          <cell r="H461">
            <v>0</v>
          </cell>
          <cell r="I461">
            <v>0</v>
          </cell>
          <cell r="J461">
            <v>0</v>
          </cell>
          <cell r="K461">
            <v>0</v>
          </cell>
          <cell r="L461">
            <v>0</v>
          </cell>
          <cell r="M461">
            <v>0</v>
          </cell>
          <cell r="T461">
            <v>8496</v>
          </cell>
          <cell r="U461">
            <v>0</v>
          </cell>
        </row>
        <row r="462">
          <cell r="D462">
            <v>8499</v>
          </cell>
          <cell r="E462" t="str">
            <v>专项储备_本期期末余额</v>
          </cell>
          <cell r="F462">
            <v>7802112.5599999996</v>
          </cell>
          <cell r="G462">
            <v>191233.61</v>
          </cell>
          <cell r="H462">
            <v>335836.87</v>
          </cell>
          <cell r="I462">
            <v>7946715.8200000003</v>
          </cell>
          <cell r="J462">
            <v>7110471.5599999996</v>
          </cell>
          <cell r="K462">
            <v>0</v>
          </cell>
          <cell r="L462">
            <v>0</v>
          </cell>
          <cell r="M462">
            <v>7110471.5599999996</v>
          </cell>
          <cell r="T462">
            <v>8499</v>
          </cell>
          <cell r="U462">
            <v>7110471.5599999996</v>
          </cell>
        </row>
        <row r="463">
          <cell r="D463">
            <v>8500</v>
          </cell>
          <cell r="E463" t="str">
            <v>盈余公积增减变动</v>
          </cell>
          <cell r="F463">
            <v>0</v>
          </cell>
          <cell r="G463">
            <v>0</v>
          </cell>
          <cell r="H463">
            <v>0</v>
          </cell>
          <cell r="I463">
            <v>0</v>
          </cell>
          <cell r="J463">
            <v>0</v>
          </cell>
          <cell r="K463">
            <v>0</v>
          </cell>
          <cell r="L463">
            <v>0</v>
          </cell>
          <cell r="M463">
            <v>0</v>
          </cell>
          <cell r="T463">
            <v>8500</v>
          </cell>
          <cell r="U463">
            <v>0</v>
          </cell>
        </row>
        <row r="464">
          <cell r="D464">
            <v>8501</v>
          </cell>
          <cell r="E464" t="str">
            <v>盈余公积_上年年末余额</v>
          </cell>
          <cell r="F464">
            <v>17597029.559999999</v>
          </cell>
          <cell r="G464">
            <v>1252865.45</v>
          </cell>
          <cell r="H464">
            <v>0</v>
          </cell>
          <cell r="I464">
            <v>16344164.109999999</v>
          </cell>
          <cell r="J464">
            <v>13774458.859999999</v>
          </cell>
          <cell r="K464">
            <v>0</v>
          </cell>
          <cell r="L464">
            <v>0</v>
          </cell>
          <cell r="M464">
            <v>13774458.859999999</v>
          </cell>
          <cell r="T464">
            <v>8501</v>
          </cell>
          <cell r="U464">
            <v>13774458.859999999</v>
          </cell>
        </row>
        <row r="465">
          <cell r="D465">
            <v>8502</v>
          </cell>
          <cell r="E465" t="str">
            <v>盈余公积_会计政策变更调整上年年末余额</v>
          </cell>
          <cell r="F465">
            <v>0</v>
          </cell>
          <cell r="G465">
            <v>0</v>
          </cell>
          <cell r="H465">
            <v>0</v>
          </cell>
          <cell r="I465">
            <v>0</v>
          </cell>
          <cell r="J465">
            <v>0</v>
          </cell>
          <cell r="K465">
            <v>0</v>
          </cell>
          <cell r="L465">
            <v>0</v>
          </cell>
          <cell r="M465">
            <v>0</v>
          </cell>
          <cell r="T465">
            <v>8502</v>
          </cell>
          <cell r="U465">
            <v>0</v>
          </cell>
        </row>
        <row r="466">
          <cell r="D466">
            <v>8503</v>
          </cell>
          <cell r="E466" t="str">
            <v>盈余公积_前期差错更正调整上年年末余额</v>
          </cell>
          <cell r="F466">
            <v>0</v>
          </cell>
          <cell r="G466">
            <v>0</v>
          </cell>
          <cell r="H466">
            <v>0</v>
          </cell>
          <cell r="I466">
            <v>0</v>
          </cell>
          <cell r="J466">
            <v>0</v>
          </cell>
          <cell r="K466">
            <v>0</v>
          </cell>
          <cell r="L466">
            <v>0</v>
          </cell>
          <cell r="M466">
            <v>0</v>
          </cell>
          <cell r="T466">
            <v>8503</v>
          </cell>
          <cell r="U466">
            <v>0</v>
          </cell>
        </row>
        <row r="467">
          <cell r="D467">
            <v>8504</v>
          </cell>
          <cell r="E467" t="str">
            <v>盈余公积_同一控制下企业合并调整上年年末余额</v>
          </cell>
          <cell r="F467">
            <v>0</v>
          </cell>
          <cell r="G467">
            <v>0</v>
          </cell>
          <cell r="H467">
            <v>0</v>
          </cell>
          <cell r="I467">
            <v>0</v>
          </cell>
          <cell r="J467">
            <v>0</v>
          </cell>
          <cell r="K467">
            <v>0</v>
          </cell>
          <cell r="L467">
            <v>0</v>
          </cell>
          <cell r="M467">
            <v>0</v>
          </cell>
          <cell r="T467">
            <v>8504</v>
          </cell>
          <cell r="U467">
            <v>0</v>
          </cell>
        </row>
        <row r="468">
          <cell r="D468">
            <v>8509</v>
          </cell>
          <cell r="E468" t="str">
            <v>盈余公积_其他原因调整上年年末余额</v>
          </cell>
          <cell r="F468">
            <v>-800832.28</v>
          </cell>
          <cell r="G468">
            <v>0</v>
          </cell>
          <cell r="H468">
            <v>800832.28</v>
          </cell>
          <cell r="I468">
            <v>0</v>
          </cell>
          <cell r="J468">
            <v>0</v>
          </cell>
          <cell r="K468">
            <v>0</v>
          </cell>
          <cell r="L468">
            <v>0</v>
          </cell>
          <cell r="M468">
            <v>0</v>
          </cell>
          <cell r="T468">
            <v>8509</v>
          </cell>
          <cell r="U468">
            <v>0</v>
          </cell>
        </row>
        <row r="469">
          <cell r="D469">
            <v>8510</v>
          </cell>
          <cell r="E469" t="str">
            <v>盈余公积_本年年初余额</v>
          </cell>
          <cell r="F469">
            <v>16796197.280000001</v>
          </cell>
          <cell r="G469">
            <v>1252865.45</v>
          </cell>
          <cell r="H469">
            <v>800832.28</v>
          </cell>
          <cell r="I469">
            <v>16344164.109999999</v>
          </cell>
          <cell r="J469">
            <v>13774458.859999999</v>
          </cell>
          <cell r="K469">
            <v>0</v>
          </cell>
          <cell r="L469">
            <v>0</v>
          </cell>
          <cell r="M469">
            <v>13774458.859999999</v>
          </cell>
          <cell r="T469">
            <v>8510</v>
          </cell>
          <cell r="U469">
            <v>13774458.859999999</v>
          </cell>
        </row>
        <row r="470">
          <cell r="D470">
            <v>8590</v>
          </cell>
          <cell r="E470" t="str">
            <v>盈余公积_本期增减变动金额</v>
          </cell>
          <cell r="F470">
            <v>0</v>
          </cell>
          <cell r="G470">
            <v>0</v>
          </cell>
          <cell r="H470">
            <v>2330145.23</v>
          </cell>
          <cell r="I470">
            <v>2330145.23</v>
          </cell>
          <cell r="J470">
            <v>2569705.25</v>
          </cell>
          <cell r="K470">
            <v>0</v>
          </cell>
          <cell r="L470">
            <v>0</v>
          </cell>
          <cell r="M470">
            <v>2569705.25</v>
          </cell>
          <cell r="T470">
            <v>8590</v>
          </cell>
          <cell r="U470">
            <v>2569705.25</v>
          </cell>
        </row>
        <row r="471">
          <cell r="D471">
            <v>8521</v>
          </cell>
          <cell r="E471" t="str">
            <v>盈余公积_净利润增加权益</v>
          </cell>
          <cell r="F471">
            <v>0</v>
          </cell>
          <cell r="G471">
            <v>0</v>
          </cell>
          <cell r="H471">
            <v>0</v>
          </cell>
          <cell r="I471">
            <v>0</v>
          </cell>
          <cell r="J471">
            <v>0</v>
          </cell>
          <cell r="K471">
            <v>0</v>
          </cell>
          <cell r="L471">
            <v>0</v>
          </cell>
          <cell r="M471">
            <v>0</v>
          </cell>
          <cell r="T471">
            <v>8521</v>
          </cell>
          <cell r="U471">
            <v>0</v>
          </cell>
        </row>
        <row r="472">
          <cell r="D472">
            <v>8530</v>
          </cell>
          <cell r="E472" t="str">
            <v>盈余公积_其他综合收益增加权益</v>
          </cell>
          <cell r="F472">
            <v>0</v>
          </cell>
          <cell r="G472">
            <v>0</v>
          </cell>
          <cell r="H472">
            <v>0</v>
          </cell>
          <cell r="I472">
            <v>0</v>
          </cell>
          <cell r="J472">
            <v>0</v>
          </cell>
          <cell r="K472">
            <v>0</v>
          </cell>
          <cell r="L472">
            <v>0</v>
          </cell>
          <cell r="M472">
            <v>0</v>
          </cell>
          <cell r="T472">
            <v>8530</v>
          </cell>
          <cell r="U472">
            <v>0</v>
          </cell>
        </row>
        <row r="473">
          <cell r="D473">
            <v>8540</v>
          </cell>
          <cell r="E473" t="str">
            <v>盈余公积_综合收益总额增加权益</v>
          </cell>
          <cell r="F473">
            <v>0</v>
          </cell>
          <cell r="G473">
            <v>0</v>
          </cell>
          <cell r="H473">
            <v>0</v>
          </cell>
          <cell r="I473">
            <v>0</v>
          </cell>
          <cell r="J473">
            <v>0</v>
          </cell>
          <cell r="K473">
            <v>0</v>
          </cell>
          <cell r="L473">
            <v>0</v>
          </cell>
          <cell r="M473">
            <v>0</v>
          </cell>
          <cell r="T473">
            <v>8540</v>
          </cell>
          <cell r="U473">
            <v>0</v>
          </cell>
        </row>
        <row r="474">
          <cell r="D474">
            <v>8550</v>
          </cell>
          <cell r="E474" t="str">
            <v>盈余公积_所有者投入和减少资本影响权益</v>
          </cell>
          <cell r="F474">
            <v>0</v>
          </cell>
          <cell r="G474">
            <v>0</v>
          </cell>
          <cell r="H474">
            <v>0</v>
          </cell>
          <cell r="I474">
            <v>0</v>
          </cell>
          <cell r="J474">
            <v>0</v>
          </cell>
          <cell r="K474">
            <v>0</v>
          </cell>
          <cell r="L474">
            <v>0</v>
          </cell>
          <cell r="M474">
            <v>0</v>
          </cell>
          <cell r="T474">
            <v>8550</v>
          </cell>
          <cell r="U474">
            <v>0</v>
          </cell>
        </row>
        <row r="475">
          <cell r="D475">
            <v>8551</v>
          </cell>
          <cell r="E475" t="str">
            <v>盈余公积_所有者投入资本增加权益</v>
          </cell>
          <cell r="F475">
            <v>0</v>
          </cell>
          <cell r="G475">
            <v>0</v>
          </cell>
          <cell r="H475">
            <v>0</v>
          </cell>
          <cell r="I475">
            <v>0</v>
          </cell>
          <cell r="J475">
            <v>0</v>
          </cell>
          <cell r="K475">
            <v>0</v>
          </cell>
          <cell r="L475">
            <v>0</v>
          </cell>
          <cell r="M475">
            <v>0</v>
          </cell>
          <cell r="T475">
            <v>8551</v>
          </cell>
          <cell r="U475">
            <v>0</v>
          </cell>
        </row>
        <row r="476">
          <cell r="D476">
            <v>8553</v>
          </cell>
          <cell r="E476" t="str">
            <v>盈余公积_其他权益工具持有者投入资本</v>
          </cell>
          <cell r="F476">
            <v>0</v>
          </cell>
          <cell r="G476">
            <v>0</v>
          </cell>
          <cell r="H476">
            <v>0</v>
          </cell>
          <cell r="I476">
            <v>0</v>
          </cell>
          <cell r="J476">
            <v>0</v>
          </cell>
          <cell r="K476">
            <v>0</v>
          </cell>
          <cell r="L476">
            <v>0</v>
          </cell>
          <cell r="M476">
            <v>0</v>
          </cell>
          <cell r="T476">
            <v>8553</v>
          </cell>
          <cell r="U476">
            <v>0</v>
          </cell>
        </row>
        <row r="477">
          <cell r="D477">
            <v>8552</v>
          </cell>
          <cell r="E477" t="str">
            <v>盈余公积_股份支付计入所有者权益的金额</v>
          </cell>
          <cell r="F477">
            <v>0</v>
          </cell>
          <cell r="G477">
            <v>0</v>
          </cell>
          <cell r="H477">
            <v>0</v>
          </cell>
          <cell r="I477">
            <v>0</v>
          </cell>
          <cell r="J477">
            <v>0</v>
          </cell>
          <cell r="K477">
            <v>0</v>
          </cell>
          <cell r="L477">
            <v>0</v>
          </cell>
          <cell r="M477">
            <v>0</v>
          </cell>
          <cell r="T477">
            <v>8552</v>
          </cell>
          <cell r="U477">
            <v>0</v>
          </cell>
        </row>
        <row r="478">
          <cell r="D478">
            <v>8556</v>
          </cell>
          <cell r="E478" t="str">
            <v>盈余公积_所有者其他投入和减少资本</v>
          </cell>
          <cell r="F478">
            <v>0</v>
          </cell>
          <cell r="G478">
            <v>0</v>
          </cell>
          <cell r="H478">
            <v>0</v>
          </cell>
          <cell r="I478">
            <v>0</v>
          </cell>
          <cell r="J478">
            <v>0</v>
          </cell>
          <cell r="K478">
            <v>0</v>
          </cell>
          <cell r="L478">
            <v>0</v>
          </cell>
          <cell r="M478">
            <v>0</v>
          </cell>
          <cell r="T478">
            <v>8556</v>
          </cell>
          <cell r="U478">
            <v>0</v>
          </cell>
        </row>
        <row r="479">
          <cell r="D479">
            <v>8560</v>
          </cell>
          <cell r="E479" t="str">
            <v>盈余公积_利润分配影响权益</v>
          </cell>
          <cell r="F479">
            <v>0</v>
          </cell>
          <cell r="G479">
            <v>0</v>
          </cell>
          <cell r="H479">
            <v>2330145.23</v>
          </cell>
          <cell r="I479">
            <v>2330145.23</v>
          </cell>
          <cell r="J479">
            <v>2569705.25</v>
          </cell>
          <cell r="K479">
            <v>0</v>
          </cell>
          <cell r="L479">
            <v>0</v>
          </cell>
          <cell r="M479">
            <v>2569705.25</v>
          </cell>
          <cell r="T479">
            <v>8560</v>
          </cell>
          <cell r="U479">
            <v>2569705.25</v>
          </cell>
        </row>
        <row r="480">
          <cell r="D480">
            <v>8561</v>
          </cell>
          <cell r="E480" t="str">
            <v>盈余公积_提取</v>
          </cell>
          <cell r="F480">
            <v>0</v>
          </cell>
          <cell r="G480">
            <v>0</v>
          </cell>
          <cell r="H480">
            <v>2330145.23</v>
          </cell>
          <cell r="I480">
            <v>2330145.23</v>
          </cell>
          <cell r="J480">
            <v>2569705.25</v>
          </cell>
          <cell r="K480">
            <v>0</v>
          </cell>
          <cell r="L480">
            <v>0</v>
          </cell>
          <cell r="M480">
            <v>2569705.25</v>
          </cell>
          <cell r="T480">
            <v>8561</v>
          </cell>
          <cell r="U480">
            <v>2569705.25</v>
          </cell>
        </row>
        <row r="481">
          <cell r="D481">
            <v>8562</v>
          </cell>
          <cell r="E481" t="str">
            <v>盈余公积_提取一般风险准备影响权益</v>
          </cell>
          <cell r="F481">
            <v>0</v>
          </cell>
          <cell r="G481">
            <v>0</v>
          </cell>
          <cell r="H481">
            <v>0</v>
          </cell>
          <cell r="I481">
            <v>0</v>
          </cell>
          <cell r="J481">
            <v>0</v>
          </cell>
          <cell r="K481">
            <v>0</v>
          </cell>
          <cell r="L481">
            <v>0</v>
          </cell>
          <cell r="M481">
            <v>0</v>
          </cell>
          <cell r="T481">
            <v>8562</v>
          </cell>
          <cell r="U481">
            <v>0</v>
          </cell>
        </row>
        <row r="482">
          <cell r="D482">
            <v>8563</v>
          </cell>
          <cell r="E482" t="str">
            <v>盈余公积_对所有者的分配</v>
          </cell>
          <cell r="F482">
            <v>0</v>
          </cell>
          <cell r="G482">
            <v>0</v>
          </cell>
          <cell r="H482">
            <v>0</v>
          </cell>
          <cell r="I482">
            <v>0</v>
          </cell>
          <cell r="J482">
            <v>0</v>
          </cell>
          <cell r="K482">
            <v>0</v>
          </cell>
          <cell r="L482">
            <v>0</v>
          </cell>
          <cell r="M482">
            <v>0</v>
          </cell>
          <cell r="T482">
            <v>8563</v>
          </cell>
          <cell r="U482">
            <v>0</v>
          </cell>
        </row>
        <row r="483">
          <cell r="D483">
            <v>8566</v>
          </cell>
          <cell r="E483" t="str">
            <v>盈余公积_其他利润分配</v>
          </cell>
          <cell r="F483">
            <v>0</v>
          </cell>
          <cell r="G483">
            <v>0</v>
          </cell>
          <cell r="H483">
            <v>0</v>
          </cell>
          <cell r="I483">
            <v>0</v>
          </cell>
          <cell r="J483">
            <v>0</v>
          </cell>
          <cell r="K483">
            <v>0</v>
          </cell>
          <cell r="L483">
            <v>0</v>
          </cell>
          <cell r="M483">
            <v>0</v>
          </cell>
          <cell r="T483">
            <v>8566</v>
          </cell>
          <cell r="U483">
            <v>0</v>
          </cell>
        </row>
        <row r="484">
          <cell r="D484">
            <v>8570</v>
          </cell>
          <cell r="E484" t="str">
            <v>盈余公积_所有者权益内部结转</v>
          </cell>
          <cell r="F484">
            <v>0</v>
          </cell>
          <cell r="G484">
            <v>0</v>
          </cell>
          <cell r="H484">
            <v>0</v>
          </cell>
          <cell r="I484">
            <v>0</v>
          </cell>
          <cell r="J484">
            <v>0</v>
          </cell>
          <cell r="K484">
            <v>0</v>
          </cell>
          <cell r="L484">
            <v>0</v>
          </cell>
          <cell r="M484">
            <v>0</v>
          </cell>
          <cell r="T484">
            <v>8570</v>
          </cell>
          <cell r="U484">
            <v>0</v>
          </cell>
        </row>
        <row r="485">
          <cell r="D485">
            <v>8571</v>
          </cell>
          <cell r="E485" t="str">
            <v>盈余公积_资本公积转增资本影响权益</v>
          </cell>
          <cell r="F485">
            <v>0</v>
          </cell>
          <cell r="G485">
            <v>0</v>
          </cell>
          <cell r="H485">
            <v>0</v>
          </cell>
          <cell r="I485">
            <v>0</v>
          </cell>
          <cell r="J485">
            <v>0</v>
          </cell>
          <cell r="K485">
            <v>0</v>
          </cell>
          <cell r="L485">
            <v>0</v>
          </cell>
          <cell r="M485">
            <v>0</v>
          </cell>
          <cell r="T485">
            <v>8571</v>
          </cell>
          <cell r="U485">
            <v>0</v>
          </cell>
        </row>
        <row r="486">
          <cell r="D486">
            <v>8572</v>
          </cell>
          <cell r="E486" t="str">
            <v>盈余公积_转增资本</v>
          </cell>
          <cell r="F486">
            <v>0</v>
          </cell>
          <cell r="G486">
            <v>0</v>
          </cell>
          <cell r="H486">
            <v>0</v>
          </cell>
          <cell r="I486">
            <v>0</v>
          </cell>
          <cell r="J486">
            <v>0</v>
          </cell>
          <cell r="K486">
            <v>0</v>
          </cell>
          <cell r="L486">
            <v>0</v>
          </cell>
          <cell r="M486">
            <v>0</v>
          </cell>
          <cell r="T486">
            <v>8572</v>
          </cell>
          <cell r="U486">
            <v>0</v>
          </cell>
        </row>
        <row r="487">
          <cell r="D487">
            <v>8573</v>
          </cell>
          <cell r="E487" t="str">
            <v>盈余公积_弥补亏损</v>
          </cell>
          <cell r="F487">
            <v>0</v>
          </cell>
          <cell r="G487">
            <v>0</v>
          </cell>
          <cell r="H487">
            <v>0</v>
          </cell>
          <cell r="I487">
            <v>0</v>
          </cell>
          <cell r="J487">
            <v>0</v>
          </cell>
          <cell r="K487">
            <v>0</v>
          </cell>
          <cell r="L487">
            <v>0</v>
          </cell>
          <cell r="M487">
            <v>0</v>
          </cell>
          <cell r="T487">
            <v>8573</v>
          </cell>
          <cell r="U487">
            <v>0</v>
          </cell>
        </row>
        <row r="488">
          <cell r="D488">
            <v>8575</v>
          </cell>
          <cell r="E488" t="str">
            <v>盈余公积_设定受益计划变动额结转留存收益</v>
          </cell>
          <cell r="F488">
            <v>0</v>
          </cell>
          <cell r="G488">
            <v>0</v>
          </cell>
          <cell r="H488">
            <v>0</v>
          </cell>
          <cell r="I488">
            <v>0</v>
          </cell>
          <cell r="J488">
            <v>0</v>
          </cell>
          <cell r="K488">
            <v>0</v>
          </cell>
          <cell r="L488">
            <v>0</v>
          </cell>
          <cell r="M488">
            <v>0</v>
          </cell>
          <cell r="T488">
            <v>8575</v>
          </cell>
          <cell r="U488">
            <v>0</v>
          </cell>
        </row>
        <row r="489">
          <cell r="D489">
            <v>8576</v>
          </cell>
          <cell r="E489" t="str">
            <v>盈余公积_所有者权益其他内部结转</v>
          </cell>
          <cell r="F489">
            <v>0</v>
          </cell>
          <cell r="G489">
            <v>0</v>
          </cell>
          <cell r="H489">
            <v>0</v>
          </cell>
          <cell r="I489">
            <v>0</v>
          </cell>
          <cell r="J489">
            <v>0</v>
          </cell>
          <cell r="K489">
            <v>0</v>
          </cell>
          <cell r="L489">
            <v>0</v>
          </cell>
          <cell r="M489">
            <v>0</v>
          </cell>
          <cell r="T489">
            <v>8576</v>
          </cell>
          <cell r="U489">
            <v>0</v>
          </cell>
        </row>
        <row r="490">
          <cell r="D490">
            <v>8580</v>
          </cell>
          <cell r="E490" t="str">
            <v>盈余公积_专项储备影响权益</v>
          </cell>
          <cell r="F490">
            <v>0</v>
          </cell>
          <cell r="G490">
            <v>0</v>
          </cell>
          <cell r="H490">
            <v>0</v>
          </cell>
          <cell r="I490">
            <v>0</v>
          </cell>
          <cell r="J490">
            <v>0</v>
          </cell>
          <cell r="K490">
            <v>0</v>
          </cell>
          <cell r="L490">
            <v>0</v>
          </cell>
          <cell r="M490">
            <v>0</v>
          </cell>
          <cell r="T490">
            <v>8580</v>
          </cell>
          <cell r="U490">
            <v>0</v>
          </cell>
        </row>
        <row r="491">
          <cell r="D491">
            <v>8581</v>
          </cell>
          <cell r="E491" t="str">
            <v>盈余公积_专项储备本期提取</v>
          </cell>
          <cell r="F491">
            <v>0</v>
          </cell>
          <cell r="G491">
            <v>0</v>
          </cell>
          <cell r="H491">
            <v>0</v>
          </cell>
          <cell r="I491">
            <v>0</v>
          </cell>
          <cell r="J491">
            <v>0</v>
          </cell>
          <cell r="K491">
            <v>0</v>
          </cell>
          <cell r="L491">
            <v>0</v>
          </cell>
          <cell r="M491">
            <v>0</v>
          </cell>
          <cell r="T491">
            <v>8581</v>
          </cell>
          <cell r="U491">
            <v>0</v>
          </cell>
        </row>
        <row r="492">
          <cell r="D492">
            <v>8582</v>
          </cell>
          <cell r="E492" t="str">
            <v>盈余公积_专项储备本期使用</v>
          </cell>
          <cell r="F492">
            <v>0</v>
          </cell>
          <cell r="G492">
            <v>0</v>
          </cell>
          <cell r="H492">
            <v>0</v>
          </cell>
          <cell r="I492">
            <v>0</v>
          </cell>
          <cell r="J492">
            <v>0</v>
          </cell>
          <cell r="K492">
            <v>0</v>
          </cell>
          <cell r="L492">
            <v>0</v>
          </cell>
          <cell r="M492">
            <v>0</v>
          </cell>
          <cell r="T492">
            <v>8582</v>
          </cell>
          <cell r="U492">
            <v>0</v>
          </cell>
        </row>
        <row r="493">
          <cell r="D493">
            <v>8596</v>
          </cell>
          <cell r="E493" t="str">
            <v>盈余公积_本期其他增减变动</v>
          </cell>
          <cell r="F493">
            <v>0</v>
          </cell>
          <cell r="G493">
            <v>0</v>
          </cell>
          <cell r="H493">
            <v>0</v>
          </cell>
          <cell r="I493">
            <v>0</v>
          </cell>
          <cell r="J493">
            <v>0</v>
          </cell>
          <cell r="K493">
            <v>0</v>
          </cell>
          <cell r="L493">
            <v>0</v>
          </cell>
          <cell r="M493">
            <v>0</v>
          </cell>
          <cell r="T493">
            <v>8596</v>
          </cell>
          <cell r="U493">
            <v>0</v>
          </cell>
        </row>
        <row r="494">
          <cell r="D494">
            <v>8599</v>
          </cell>
          <cell r="E494" t="str">
            <v>盈余公积_本期期末余额</v>
          </cell>
          <cell r="F494">
            <v>16796197.280000001</v>
          </cell>
          <cell r="G494">
            <v>1252865.45</v>
          </cell>
          <cell r="H494">
            <v>3130977.51</v>
          </cell>
          <cell r="I494">
            <v>18674309.34</v>
          </cell>
          <cell r="J494">
            <v>16344164.109999999</v>
          </cell>
          <cell r="K494">
            <v>0</v>
          </cell>
          <cell r="L494">
            <v>0</v>
          </cell>
          <cell r="M494">
            <v>16344164.109999999</v>
          </cell>
          <cell r="T494">
            <v>8599</v>
          </cell>
          <cell r="U494">
            <v>16344164.109999999</v>
          </cell>
        </row>
        <row r="495">
          <cell r="D495">
            <v>8600</v>
          </cell>
          <cell r="E495" t="str">
            <v>一般风险准备增减变动</v>
          </cell>
          <cell r="F495">
            <v>0</v>
          </cell>
          <cell r="G495">
            <v>0</v>
          </cell>
          <cell r="H495">
            <v>0</v>
          </cell>
          <cell r="I495">
            <v>0</v>
          </cell>
          <cell r="J495">
            <v>0</v>
          </cell>
          <cell r="K495">
            <v>0</v>
          </cell>
          <cell r="L495">
            <v>0</v>
          </cell>
          <cell r="M495">
            <v>0</v>
          </cell>
          <cell r="T495">
            <v>8600</v>
          </cell>
          <cell r="U495">
            <v>0</v>
          </cell>
        </row>
        <row r="496">
          <cell r="D496">
            <v>8601</v>
          </cell>
          <cell r="E496" t="str">
            <v>一般风险准备_上年年末余额</v>
          </cell>
          <cell r="F496">
            <v>0</v>
          </cell>
          <cell r="G496">
            <v>0</v>
          </cell>
          <cell r="H496">
            <v>0</v>
          </cell>
          <cell r="I496">
            <v>0</v>
          </cell>
          <cell r="J496">
            <v>0</v>
          </cell>
          <cell r="K496">
            <v>0</v>
          </cell>
          <cell r="L496">
            <v>0</v>
          </cell>
          <cell r="M496">
            <v>0</v>
          </cell>
          <cell r="T496">
            <v>8601</v>
          </cell>
          <cell r="U496">
            <v>0</v>
          </cell>
        </row>
        <row r="497">
          <cell r="D497">
            <v>8602</v>
          </cell>
          <cell r="E497" t="str">
            <v>一般风险准备_会计政策变更调整上年年末余额</v>
          </cell>
          <cell r="F497">
            <v>0</v>
          </cell>
          <cell r="G497">
            <v>0</v>
          </cell>
          <cell r="H497">
            <v>0</v>
          </cell>
          <cell r="I497">
            <v>0</v>
          </cell>
          <cell r="J497">
            <v>0</v>
          </cell>
          <cell r="K497">
            <v>0</v>
          </cell>
          <cell r="L497">
            <v>0</v>
          </cell>
          <cell r="M497">
            <v>0</v>
          </cell>
          <cell r="T497">
            <v>8602</v>
          </cell>
          <cell r="U497">
            <v>0</v>
          </cell>
        </row>
        <row r="498">
          <cell r="D498">
            <v>8603</v>
          </cell>
          <cell r="E498" t="str">
            <v>一般风险准备_前期差错更正调整上年年末余额</v>
          </cell>
          <cell r="F498">
            <v>0</v>
          </cell>
          <cell r="G498">
            <v>0</v>
          </cell>
          <cell r="H498">
            <v>0</v>
          </cell>
          <cell r="I498">
            <v>0</v>
          </cell>
          <cell r="J498">
            <v>0</v>
          </cell>
          <cell r="K498">
            <v>0</v>
          </cell>
          <cell r="L498">
            <v>0</v>
          </cell>
          <cell r="M498">
            <v>0</v>
          </cell>
          <cell r="T498">
            <v>8603</v>
          </cell>
          <cell r="U498">
            <v>0</v>
          </cell>
        </row>
        <row r="499">
          <cell r="D499">
            <v>8604</v>
          </cell>
          <cell r="E499" t="str">
            <v>一般风险准备_同一控制下企业合并调整上年年末余额</v>
          </cell>
          <cell r="F499">
            <v>0</v>
          </cell>
          <cell r="G499">
            <v>0</v>
          </cell>
          <cell r="H499">
            <v>0</v>
          </cell>
          <cell r="I499">
            <v>0</v>
          </cell>
          <cell r="J499">
            <v>0</v>
          </cell>
          <cell r="K499">
            <v>0</v>
          </cell>
          <cell r="L499">
            <v>0</v>
          </cell>
          <cell r="M499">
            <v>0</v>
          </cell>
          <cell r="T499">
            <v>8604</v>
          </cell>
          <cell r="U499">
            <v>0</v>
          </cell>
        </row>
        <row r="500">
          <cell r="D500">
            <v>8609</v>
          </cell>
          <cell r="E500" t="str">
            <v>一般风险准备_其他原因调整上年年末余额</v>
          </cell>
          <cell r="F500">
            <v>0</v>
          </cell>
          <cell r="G500">
            <v>0</v>
          </cell>
          <cell r="H500">
            <v>0</v>
          </cell>
          <cell r="I500">
            <v>0</v>
          </cell>
          <cell r="J500">
            <v>0</v>
          </cell>
          <cell r="K500">
            <v>0</v>
          </cell>
          <cell r="L500">
            <v>0</v>
          </cell>
          <cell r="M500">
            <v>0</v>
          </cell>
          <cell r="T500">
            <v>8609</v>
          </cell>
          <cell r="U500">
            <v>0</v>
          </cell>
        </row>
        <row r="501">
          <cell r="D501">
            <v>8610</v>
          </cell>
          <cell r="E501" t="str">
            <v>一般风险准备_本年年初余额</v>
          </cell>
          <cell r="F501">
            <v>0</v>
          </cell>
          <cell r="G501">
            <v>0</v>
          </cell>
          <cell r="H501">
            <v>0</v>
          </cell>
          <cell r="I501">
            <v>0</v>
          </cell>
          <cell r="J501">
            <v>0</v>
          </cell>
          <cell r="K501">
            <v>0</v>
          </cell>
          <cell r="L501">
            <v>0</v>
          </cell>
          <cell r="M501">
            <v>0</v>
          </cell>
          <cell r="T501">
            <v>8610</v>
          </cell>
          <cell r="U501">
            <v>0</v>
          </cell>
        </row>
        <row r="502">
          <cell r="D502">
            <v>8690</v>
          </cell>
          <cell r="E502" t="str">
            <v>一般风险准备_本期增减变动金额</v>
          </cell>
          <cell r="F502">
            <v>0</v>
          </cell>
          <cell r="G502">
            <v>0</v>
          </cell>
          <cell r="H502">
            <v>0</v>
          </cell>
          <cell r="I502">
            <v>0</v>
          </cell>
          <cell r="J502">
            <v>0</v>
          </cell>
          <cell r="K502">
            <v>0</v>
          </cell>
          <cell r="L502">
            <v>0</v>
          </cell>
          <cell r="M502">
            <v>0</v>
          </cell>
          <cell r="T502">
            <v>8690</v>
          </cell>
          <cell r="U502">
            <v>0</v>
          </cell>
        </row>
        <row r="503">
          <cell r="D503">
            <v>8621</v>
          </cell>
          <cell r="E503" t="str">
            <v>一般风险准备_净利润增加权益</v>
          </cell>
          <cell r="F503">
            <v>0</v>
          </cell>
          <cell r="G503">
            <v>0</v>
          </cell>
          <cell r="H503">
            <v>0</v>
          </cell>
          <cell r="I503">
            <v>0</v>
          </cell>
          <cell r="J503">
            <v>0</v>
          </cell>
          <cell r="K503">
            <v>0</v>
          </cell>
          <cell r="L503">
            <v>0</v>
          </cell>
          <cell r="M503">
            <v>0</v>
          </cell>
          <cell r="T503">
            <v>8621</v>
          </cell>
          <cell r="U503">
            <v>0</v>
          </cell>
        </row>
        <row r="504">
          <cell r="D504">
            <v>8630</v>
          </cell>
          <cell r="E504" t="str">
            <v>一般风险准备_其他综合收益增加权益</v>
          </cell>
          <cell r="F504">
            <v>0</v>
          </cell>
          <cell r="G504">
            <v>0</v>
          </cell>
          <cell r="H504">
            <v>0</v>
          </cell>
          <cell r="I504">
            <v>0</v>
          </cell>
          <cell r="J504">
            <v>0</v>
          </cell>
          <cell r="K504">
            <v>0</v>
          </cell>
          <cell r="L504">
            <v>0</v>
          </cell>
          <cell r="M504">
            <v>0</v>
          </cell>
          <cell r="T504">
            <v>8630</v>
          </cell>
          <cell r="U504">
            <v>0</v>
          </cell>
        </row>
        <row r="505">
          <cell r="D505">
            <v>8640</v>
          </cell>
          <cell r="E505" t="str">
            <v>一般风险准备_综合收益总额增加权益</v>
          </cell>
          <cell r="F505">
            <v>0</v>
          </cell>
          <cell r="G505">
            <v>0</v>
          </cell>
          <cell r="H505">
            <v>0</v>
          </cell>
          <cell r="I505">
            <v>0</v>
          </cell>
          <cell r="J505">
            <v>0</v>
          </cell>
          <cell r="K505">
            <v>0</v>
          </cell>
          <cell r="L505">
            <v>0</v>
          </cell>
          <cell r="M505">
            <v>0</v>
          </cell>
          <cell r="T505">
            <v>8640</v>
          </cell>
          <cell r="U505">
            <v>0</v>
          </cell>
        </row>
        <row r="506">
          <cell r="D506">
            <v>8650</v>
          </cell>
          <cell r="E506" t="str">
            <v>一般风险准备_所有者投入和减少资本影响权益</v>
          </cell>
          <cell r="F506">
            <v>0</v>
          </cell>
          <cell r="G506">
            <v>0</v>
          </cell>
          <cell r="H506">
            <v>0</v>
          </cell>
          <cell r="I506">
            <v>0</v>
          </cell>
          <cell r="J506">
            <v>0</v>
          </cell>
          <cell r="K506">
            <v>0</v>
          </cell>
          <cell r="L506">
            <v>0</v>
          </cell>
          <cell r="M506">
            <v>0</v>
          </cell>
          <cell r="T506">
            <v>8650</v>
          </cell>
          <cell r="U506">
            <v>0</v>
          </cell>
        </row>
        <row r="507">
          <cell r="D507">
            <v>8651</v>
          </cell>
          <cell r="E507" t="str">
            <v>一般风险准备_所有者投入资本增加权益</v>
          </cell>
          <cell r="F507">
            <v>0</v>
          </cell>
          <cell r="G507">
            <v>0</v>
          </cell>
          <cell r="H507">
            <v>0</v>
          </cell>
          <cell r="I507">
            <v>0</v>
          </cell>
          <cell r="J507">
            <v>0</v>
          </cell>
          <cell r="K507">
            <v>0</v>
          </cell>
          <cell r="L507">
            <v>0</v>
          </cell>
          <cell r="M507">
            <v>0</v>
          </cell>
          <cell r="T507">
            <v>8651</v>
          </cell>
          <cell r="U507">
            <v>0</v>
          </cell>
        </row>
        <row r="508">
          <cell r="D508">
            <v>8653</v>
          </cell>
          <cell r="E508" t="str">
            <v>一般风险准备_其他权益工具持有者投入资本</v>
          </cell>
          <cell r="F508">
            <v>0</v>
          </cell>
          <cell r="G508">
            <v>0</v>
          </cell>
          <cell r="H508">
            <v>0</v>
          </cell>
          <cell r="I508">
            <v>0</v>
          </cell>
          <cell r="J508">
            <v>0</v>
          </cell>
          <cell r="K508">
            <v>0</v>
          </cell>
          <cell r="L508">
            <v>0</v>
          </cell>
          <cell r="M508">
            <v>0</v>
          </cell>
          <cell r="T508">
            <v>8653</v>
          </cell>
          <cell r="U508">
            <v>0</v>
          </cell>
        </row>
        <row r="509">
          <cell r="D509">
            <v>8652</v>
          </cell>
          <cell r="E509" t="str">
            <v>一般风险准备_股份支付计入所有者权益的金额</v>
          </cell>
          <cell r="F509">
            <v>0</v>
          </cell>
          <cell r="G509">
            <v>0</v>
          </cell>
          <cell r="H509">
            <v>0</v>
          </cell>
          <cell r="I509">
            <v>0</v>
          </cell>
          <cell r="J509">
            <v>0</v>
          </cell>
          <cell r="K509">
            <v>0</v>
          </cell>
          <cell r="L509">
            <v>0</v>
          </cell>
          <cell r="M509">
            <v>0</v>
          </cell>
          <cell r="T509">
            <v>8652</v>
          </cell>
          <cell r="U509">
            <v>0</v>
          </cell>
        </row>
        <row r="510">
          <cell r="D510">
            <v>8656</v>
          </cell>
          <cell r="E510" t="str">
            <v>一般风险准备_所有者其他投入和减少资本</v>
          </cell>
          <cell r="F510">
            <v>0</v>
          </cell>
          <cell r="G510">
            <v>0</v>
          </cell>
          <cell r="H510">
            <v>0</v>
          </cell>
          <cell r="I510">
            <v>0</v>
          </cell>
          <cell r="J510">
            <v>0</v>
          </cell>
          <cell r="K510">
            <v>0</v>
          </cell>
          <cell r="L510">
            <v>0</v>
          </cell>
          <cell r="M510">
            <v>0</v>
          </cell>
          <cell r="T510">
            <v>8656</v>
          </cell>
          <cell r="U510">
            <v>0</v>
          </cell>
        </row>
        <row r="511">
          <cell r="D511">
            <v>8660</v>
          </cell>
          <cell r="E511" t="str">
            <v>一般风险准备_利润分配影响权益</v>
          </cell>
          <cell r="F511">
            <v>0</v>
          </cell>
          <cell r="G511">
            <v>0</v>
          </cell>
          <cell r="H511">
            <v>0</v>
          </cell>
          <cell r="I511">
            <v>0</v>
          </cell>
          <cell r="J511">
            <v>0</v>
          </cell>
          <cell r="K511">
            <v>0</v>
          </cell>
          <cell r="L511">
            <v>0</v>
          </cell>
          <cell r="M511">
            <v>0</v>
          </cell>
          <cell r="T511">
            <v>8660</v>
          </cell>
          <cell r="U511">
            <v>0</v>
          </cell>
        </row>
        <row r="512">
          <cell r="D512">
            <v>8661</v>
          </cell>
          <cell r="E512" t="str">
            <v>一般风险准备_提取盈余公积影响权益</v>
          </cell>
          <cell r="F512">
            <v>0</v>
          </cell>
          <cell r="G512">
            <v>0</v>
          </cell>
          <cell r="H512">
            <v>0</v>
          </cell>
          <cell r="I512">
            <v>0</v>
          </cell>
          <cell r="J512">
            <v>0</v>
          </cell>
          <cell r="K512">
            <v>0</v>
          </cell>
          <cell r="L512">
            <v>0</v>
          </cell>
          <cell r="M512">
            <v>0</v>
          </cell>
          <cell r="T512">
            <v>8661</v>
          </cell>
          <cell r="U512">
            <v>0</v>
          </cell>
        </row>
        <row r="513">
          <cell r="D513">
            <v>8662</v>
          </cell>
          <cell r="E513" t="str">
            <v>一般风险准备_提取</v>
          </cell>
          <cell r="F513">
            <v>0</v>
          </cell>
          <cell r="G513">
            <v>0</v>
          </cell>
          <cell r="H513">
            <v>0</v>
          </cell>
          <cell r="I513">
            <v>0</v>
          </cell>
          <cell r="J513">
            <v>0</v>
          </cell>
          <cell r="K513">
            <v>0</v>
          </cell>
          <cell r="L513">
            <v>0</v>
          </cell>
          <cell r="M513">
            <v>0</v>
          </cell>
          <cell r="T513">
            <v>8662</v>
          </cell>
          <cell r="U513">
            <v>0</v>
          </cell>
        </row>
        <row r="514">
          <cell r="D514">
            <v>8663</v>
          </cell>
          <cell r="E514" t="str">
            <v>一般风险准备_对所有者的分配影响权益</v>
          </cell>
          <cell r="F514">
            <v>0</v>
          </cell>
          <cell r="G514">
            <v>0</v>
          </cell>
          <cell r="H514">
            <v>0</v>
          </cell>
          <cell r="I514">
            <v>0</v>
          </cell>
          <cell r="J514">
            <v>0</v>
          </cell>
          <cell r="K514">
            <v>0</v>
          </cell>
          <cell r="L514">
            <v>0</v>
          </cell>
          <cell r="M514">
            <v>0</v>
          </cell>
          <cell r="T514">
            <v>8663</v>
          </cell>
          <cell r="U514">
            <v>0</v>
          </cell>
        </row>
        <row r="515">
          <cell r="D515">
            <v>8666</v>
          </cell>
          <cell r="E515" t="str">
            <v>一般风险准备_其他利润分配</v>
          </cell>
          <cell r="F515">
            <v>0</v>
          </cell>
          <cell r="G515">
            <v>0</v>
          </cell>
          <cell r="H515">
            <v>0</v>
          </cell>
          <cell r="I515">
            <v>0</v>
          </cell>
          <cell r="J515">
            <v>0</v>
          </cell>
          <cell r="K515">
            <v>0</v>
          </cell>
          <cell r="L515">
            <v>0</v>
          </cell>
          <cell r="M515">
            <v>0</v>
          </cell>
          <cell r="T515">
            <v>8666</v>
          </cell>
          <cell r="U515">
            <v>0</v>
          </cell>
        </row>
        <row r="516">
          <cell r="D516">
            <v>8670</v>
          </cell>
          <cell r="E516" t="str">
            <v>一般风险准备_所有者权益内部结转</v>
          </cell>
          <cell r="F516">
            <v>0</v>
          </cell>
          <cell r="G516">
            <v>0</v>
          </cell>
          <cell r="H516">
            <v>0</v>
          </cell>
          <cell r="I516">
            <v>0</v>
          </cell>
          <cell r="J516">
            <v>0</v>
          </cell>
          <cell r="K516">
            <v>0</v>
          </cell>
          <cell r="L516">
            <v>0</v>
          </cell>
          <cell r="M516">
            <v>0</v>
          </cell>
          <cell r="T516">
            <v>8670</v>
          </cell>
          <cell r="U516">
            <v>0</v>
          </cell>
        </row>
        <row r="517">
          <cell r="D517">
            <v>8671</v>
          </cell>
          <cell r="E517" t="str">
            <v>一般风险准备_资本公积转增资本影响权益</v>
          </cell>
          <cell r="F517">
            <v>0</v>
          </cell>
          <cell r="G517">
            <v>0</v>
          </cell>
          <cell r="H517">
            <v>0</v>
          </cell>
          <cell r="I517">
            <v>0</v>
          </cell>
          <cell r="J517">
            <v>0</v>
          </cell>
          <cell r="K517">
            <v>0</v>
          </cell>
          <cell r="L517">
            <v>0</v>
          </cell>
          <cell r="M517">
            <v>0</v>
          </cell>
          <cell r="T517">
            <v>8671</v>
          </cell>
          <cell r="U517">
            <v>0</v>
          </cell>
        </row>
        <row r="518">
          <cell r="D518">
            <v>8672</v>
          </cell>
          <cell r="E518" t="str">
            <v>一般风险准备_盈余公积转增资本影响权益</v>
          </cell>
          <cell r="F518">
            <v>0</v>
          </cell>
          <cell r="G518">
            <v>0</v>
          </cell>
          <cell r="H518">
            <v>0</v>
          </cell>
          <cell r="I518">
            <v>0</v>
          </cell>
          <cell r="J518">
            <v>0</v>
          </cell>
          <cell r="K518">
            <v>0</v>
          </cell>
          <cell r="L518">
            <v>0</v>
          </cell>
          <cell r="M518">
            <v>0</v>
          </cell>
          <cell r="T518">
            <v>8672</v>
          </cell>
          <cell r="U518">
            <v>0</v>
          </cell>
        </row>
        <row r="519">
          <cell r="D519">
            <v>8673</v>
          </cell>
          <cell r="E519" t="str">
            <v>一般风险准备_盈余公积弥补亏损影响权益</v>
          </cell>
          <cell r="F519">
            <v>0</v>
          </cell>
          <cell r="G519">
            <v>0</v>
          </cell>
          <cell r="H519">
            <v>0</v>
          </cell>
          <cell r="I519">
            <v>0</v>
          </cell>
          <cell r="J519">
            <v>0</v>
          </cell>
          <cell r="K519">
            <v>0</v>
          </cell>
          <cell r="L519">
            <v>0</v>
          </cell>
          <cell r="M519">
            <v>0</v>
          </cell>
          <cell r="T519">
            <v>8673</v>
          </cell>
          <cell r="U519">
            <v>0</v>
          </cell>
        </row>
        <row r="520">
          <cell r="D520">
            <v>8675</v>
          </cell>
          <cell r="E520" t="str">
            <v>一般风险准备_设定受益计划变动额结转留存收益</v>
          </cell>
          <cell r="F520">
            <v>0</v>
          </cell>
          <cell r="G520">
            <v>0</v>
          </cell>
          <cell r="H520">
            <v>0</v>
          </cell>
          <cell r="I520">
            <v>0</v>
          </cell>
          <cell r="J520">
            <v>0</v>
          </cell>
          <cell r="K520">
            <v>0</v>
          </cell>
          <cell r="L520">
            <v>0</v>
          </cell>
          <cell r="M520">
            <v>0</v>
          </cell>
          <cell r="T520">
            <v>8675</v>
          </cell>
          <cell r="U520">
            <v>0</v>
          </cell>
        </row>
        <row r="521">
          <cell r="D521">
            <v>8676</v>
          </cell>
          <cell r="E521" t="str">
            <v>一般风险准备_所有者权益其他内部结转</v>
          </cell>
          <cell r="F521">
            <v>0</v>
          </cell>
          <cell r="G521">
            <v>0</v>
          </cell>
          <cell r="H521">
            <v>0</v>
          </cell>
          <cell r="I521">
            <v>0</v>
          </cell>
          <cell r="J521">
            <v>0</v>
          </cell>
          <cell r="K521">
            <v>0</v>
          </cell>
          <cell r="L521">
            <v>0</v>
          </cell>
          <cell r="M521">
            <v>0</v>
          </cell>
          <cell r="T521">
            <v>8676</v>
          </cell>
          <cell r="U521">
            <v>0</v>
          </cell>
        </row>
        <row r="522">
          <cell r="D522">
            <v>8680</v>
          </cell>
          <cell r="E522" t="str">
            <v>一般风险准备_专项储备影响权益</v>
          </cell>
          <cell r="F522">
            <v>0</v>
          </cell>
          <cell r="G522">
            <v>0</v>
          </cell>
          <cell r="H522">
            <v>0</v>
          </cell>
          <cell r="I522">
            <v>0</v>
          </cell>
          <cell r="J522">
            <v>0</v>
          </cell>
          <cell r="K522">
            <v>0</v>
          </cell>
          <cell r="L522">
            <v>0</v>
          </cell>
          <cell r="M522">
            <v>0</v>
          </cell>
          <cell r="T522">
            <v>8680</v>
          </cell>
          <cell r="U522">
            <v>0</v>
          </cell>
        </row>
        <row r="523">
          <cell r="D523">
            <v>8681</v>
          </cell>
          <cell r="E523" t="str">
            <v>一般风险准备_专项储备本期提取</v>
          </cell>
          <cell r="F523">
            <v>0</v>
          </cell>
          <cell r="G523">
            <v>0</v>
          </cell>
          <cell r="H523">
            <v>0</v>
          </cell>
          <cell r="I523">
            <v>0</v>
          </cell>
          <cell r="J523">
            <v>0</v>
          </cell>
          <cell r="K523">
            <v>0</v>
          </cell>
          <cell r="L523">
            <v>0</v>
          </cell>
          <cell r="M523">
            <v>0</v>
          </cell>
          <cell r="T523">
            <v>8681</v>
          </cell>
          <cell r="U523">
            <v>0</v>
          </cell>
        </row>
        <row r="524">
          <cell r="D524">
            <v>8682</v>
          </cell>
          <cell r="E524" t="str">
            <v>一般风险准备_专项储备本期使用</v>
          </cell>
          <cell r="F524">
            <v>0</v>
          </cell>
          <cell r="G524">
            <v>0</v>
          </cell>
          <cell r="H524">
            <v>0</v>
          </cell>
          <cell r="I524">
            <v>0</v>
          </cell>
          <cell r="J524">
            <v>0</v>
          </cell>
          <cell r="K524">
            <v>0</v>
          </cell>
          <cell r="L524">
            <v>0</v>
          </cell>
          <cell r="M524">
            <v>0</v>
          </cell>
          <cell r="T524">
            <v>8682</v>
          </cell>
          <cell r="U524">
            <v>0</v>
          </cell>
        </row>
        <row r="525">
          <cell r="D525">
            <v>8696</v>
          </cell>
          <cell r="E525" t="str">
            <v>一般风险准备_本期其他增减变动</v>
          </cell>
          <cell r="F525">
            <v>0</v>
          </cell>
          <cell r="G525">
            <v>0</v>
          </cell>
          <cell r="H525">
            <v>0</v>
          </cell>
          <cell r="I525">
            <v>0</v>
          </cell>
          <cell r="J525">
            <v>0</v>
          </cell>
          <cell r="K525">
            <v>0</v>
          </cell>
          <cell r="L525">
            <v>0</v>
          </cell>
          <cell r="M525">
            <v>0</v>
          </cell>
          <cell r="T525">
            <v>8696</v>
          </cell>
          <cell r="U525">
            <v>0</v>
          </cell>
        </row>
        <row r="526">
          <cell r="D526">
            <v>8699</v>
          </cell>
          <cell r="E526" t="str">
            <v>一般风险准备_本期期末余额</v>
          </cell>
          <cell r="F526">
            <v>0</v>
          </cell>
          <cell r="G526">
            <v>0</v>
          </cell>
          <cell r="H526">
            <v>0</v>
          </cell>
          <cell r="I526">
            <v>0</v>
          </cell>
          <cell r="J526">
            <v>0</v>
          </cell>
          <cell r="K526">
            <v>0</v>
          </cell>
          <cell r="L526">
            <v>0</v>
          </cell>
          <cell r="M526">
            <v>0</v>
          </cell>
          <cell r="T526">
            <v>8699</v>
          </cell>
          <cell r="U526">
            <v>0</v>
          </cell>
        </row>
        <row r="527">
          <cell r="D527">
            <v>8700</v>
          </cell>
          <cell r="E527" t="str">
            <v>未分配利润增减变动</v>
          </cell>
          <cell r="F527">
            <v>0</v>
          </cell>
          <cell r="G527">
            <v>0</v>
          </cell>
          <cell r="H527">
            <v>0</v>
          </cell>
          <cell r="I527">
            <v>0</v>
          </cell>
          <cell r="J527">
            <v>0</v>
          </cell>
          <cell r="K527">
            <v>0</v>
          </cell>
          <cell r="L527">
            <v>0</v>
          </cell>
          <cell r="M527">
            <v>0</v>
          </cell>
          <cell r="T527">
            <v>8700</v>
          </cell>
          <cell r="U527">
            <v>0</v>
          </cell>
        </row>
        <row r="528">
          <cell r="D528">
            <v>8701</v>
          </cell>
          <cell r="E528" t="str">
            <v>未分配利润_上年年末余额</v>
          </cell>
          <cell r="F528">
            <v>137553756.93000001</v>
          </cell>
          <cell r="G528">
            <v>85875746.590000004</v>
          </cell>
          <cell r="H528">
            <v>11335269.75</v>
          </cell>
          <cell r="I528">
            <v>63013280.090000004</v>
          </cell>
          <cell r="J528">
            <v>39885932.859999999</v>
          </cell>
          <cell r="K528">
            <v>0</v>
          </cell>
          <cell r="L528">
            <v>0</v>
          </cell>
          <cell r="M528">
            <v>39885932.859999999</v>
          </cell>
          <cell r="T528">
            <v>8701</v>
          </cell>
          <cell r="U528">
            <v>39885932.859999999</v>
          </cell>
        </row>
        <row r="529">
          <cell r="D529">
            <v>8702</v>
          </cell>
          <cell r="E529" t="str">
            <v>未分配利润_会计政策变更调整上年年末余额</v>
          </cell>
          <cell r="F529">
            <v>0</v>
          </cell>
          <cell r="G529">
            <v>0</v>
          </cell>
          <cell r="H529">
            <v>0</v>
          </cell>
          <cell r="I529">
            <v>0</v>
          </cell>
          <cell r="J529">
            <v>0</v>
          </cell>
          <cell r="K529">
            <v>0</v>
          </cell>
          <cell r="L529">
            <v>0</v>
          </cell>
          <cell r="M529">
            <v>0</v>
          </cell>
          <cell r="T529">
            <v>8702</v>
          </cell>
          <cell r="U529">
            <v>0</v>
          </cell>
        </row>
        <row r="530">
          <cell r="D530">
            <v>8703</v>
          </cell>
          <cell r="E530" t="str">
            <v>未分配利润_前期差错更正调整上年年末余额</v>
          </cell>
          <cell r="F530">
            <v>0</v>
          </cell>
          <cell r="G530">
            <v>0</v>
          </cell>
          <cell r="H530">
            <v>0</v>
          </cell>
          <cell r="I530">
            <v>0</v>
          </cell>
          <cell r="J530">
            <v>0</v>
          </cell>
          <cell r="K530">
            <v>0</v>
          </cell>
          <cell r="L530">
            <v>0</v>
          </cell>
          <cell r="M530">
            <v>0</v>
          </cell>
          <cell r="T530">
            <v>8703</v>
          </cell>
          <cell r="U530">
            <v>0</v>
          </cell>
        </row>
        <row r="531">
          <cell r="D531">
            <v>8704</v>
          </cell>
          <cell r="E531" t="str">
            <v>未分配利润_同一控制下企业合并调整上年年末余额</v>
          </cell>
          <cell r="F531">
            <v>0</v>
          </cell>
          <cell r="G531">
            <v>0</v>
          </cell>
          <cell r="H531">
            <v>0</v>
          </cell>
          <cell r="I531">
            <v>0</v>
          </cell>
          <cell r="J531">
            <v>0</v>
          </cell>
          <cell r="K531">
            <v>0</v>
          </cell>
          <cell r="L531">
            <v>0</v>
          </cell>
          <cell r="M531">
            <v>0</v>
          </cell>
          <cell r="T531">
            <v>8704</v>
          </cell>
          <cell r="U531">
            <v>0</v>
          </cell>
        </row>
        <row r="532">
          <cell r="D532">
            <v>8709</v>
          </cell>
          <cell r="E532" t="str">
            <v>未分配利润_其他原因调整上年年末余额</v>
          </cell>
          <cell r="F532">
            <v>-22584866.57</v>
          </cell>
          <cell r="G532">
            <v>-22584866.57</v>
          </cell>
          <cell r="H532">
            <v>0</v>
          </cell>
          <cell r="I532">
            <v>0</v>
          </cell>
          <cell r="J532">
            <v>0</v>
          </cell>
          <cell r="K532">
            <v>0</v>
          </cell>
          <cell r="L532">
            <v>0</v>
          </cell>
          <cell r="M532">
            <v>0</v>
          </cell>
          <cell r="T532">
            <v>8709</v>
          </cell>
          <cell r="U532">
            <v>0</v>
          </cell>
        </row>
        <row r="533">
          <cell r="D533">
            <v>8710</v>
          </cell>
          <cell r="E533" t="str">
            <v>未分配利润_本年年初余额</v>
          </cell>
          <cell r="F533">
            <v>114968890.36</v>
          </cell>
          <cell r="G533">
            <v>63290880.020000003</v>
          </cell>
          <cell r="H533">
            <v>11335269.75</v>
          </cell>
          <cell r="I533">
            <v>63013280.090000004</v>
          </cell>
          <cell r="J533">
            <v>39885932.859999999</v>
          </cell>
          <cell r="K533">
            <v>0</v>
          </cell>
          <cell r="L533">
            <v>0</v>
          </cell>
          <cell r="M533">
            <v>39885932.859999999</v>
          </cell>
          <cell r="T533">
            <v>8710</v>
          </cell>
          <cell r="U533">
            <v>39885932.859999999</v>
          </cell>
        </row>
        <row r="534">
          <cell r="D534">
            <v>8790</v>
          </cell>
          <cell r="E534" t="str">
            <v>未分配利润_本期增减变动金额</v>
          </cell>
          <cell r="F534">
            <v>17906312.969999999</v>
          </cell>
          <cell r="G534">
            <v>35419251.82</v>
          </cell>
          <cell r="H534">
            <v>38484245.960000001</v>
          </cell>
          <cell r="I534">
            <v>20971307.109999999</v>
          </cell>
          <cell r="J534">
            <v>23127347.23</v>
          </cell>
          <cell r="K534">
            <v>0</v>
          </cell>
          <cell r="L534">
            <v>0</v>
          </cell>
          <cell r="M534">
            <v>23127347.23</v>
          </cell>
          <cell r="T534">
            <v>8790</v>
          </cell>
          <cell r="U534">
            <v>23127347.23</v>
          </cell>
        </row>
        <row r="535">
          <cell r="D535">
            <v>8721</v>
          </cell>
          <cell r="E535" t="str">
            <v>未分配利润_净利润增加权益</v>
          </cell>
          <cell r="F535">
            <v>17906312.969999999</v>
          </cell>
          <cell r="G535">
            <v>33089106.59</v>
          </cell>
          <cell r="H535">
            <v>38484245.960000001</v>
          </cell>
          <cell r="I535">
            <v>23301452.34</v>
          </cell>
          <cell r="J535">
            <v>25697052.48</v>
          </cell>
          <cell r="K535">
            <v>0</v>
          </cell>
          <cell r="L535">
            <v>0</v>
          </cell>
          <cell r="M535">
            <v>25697052.48</v>
          </cell>
          <cell r="T535">
            <v>8721</v>
          </cell>
          <cell r="U535">
            <v>25697052.48</v>
          </cell>
        </row>
        <row r="536">
          <cell r="D536">
            <v>8730</v>
          </cell>
          <cell r="E536" t="str">
            <v>未分配利润_其他综合收益增加权益</v>
          </cell>
          <cell r="T536">
            <v>8730</v>
          </cell>
        </row>
        <row r="537">
          <cell r="D537">
            <v>8740</v>
          </cell>
          <cell r="E537" t="str">
            <v>未分配利润_综合收益总额增加权益</v>
          </cell>
          <cell r="F537">
            <v>17906312.969999999</v>
          </cell>
          <cell r="G537">
            <v>33089106.59</v>
          </cell>
          <cell r="H537">
            <v>38484245.960000001</v>
          </cell>
          <cell r="I537">
            <v>23301452.34</v>
          </cell>
          <cell r="J537">
            <v>25697052.48</v>
          </cell>
          <cell r="K537">
            <v>0</v>
          </cell>
          <cell r="L537">
            <v>0</v>
          </cell>
          <cell r="M537">
            <v>25697052.48</v>
          </cell>
          <cell r="T537">
            <v>8740</v>
          </cell>
          <cell r="U537">
            <v>25697052.48</v>
          </cell>
        </row>
        <row r="538">
          <cell r="D538">
            <v>8750</v>
          </cell>
          <cell r="E538" t="str">
            <v>未分配利润_所有者投入和减少资本影响权益</v>
          </cell>
          <cell r="F538">
            <v>0</v>
          </cell>
          <cell r="G538">
            <v>0</v>
          </cell>
          <cell r="H538">
            <v>0</v>
          </cell>
          <cell r="I538">
            <v>0</v>
          </cell>
          <cell r="J538">
            <v>0</v>
          </cell>
          <cell r="K538">
            <v>0</v>
          </cell>
          <cell r="L538">
            <v>0</v>
          </cell>
          <cell r="M538">
            <v>0</v>
          </cell>
          <cell r="T538">
            <v>8750</v>
          </cell>
          <cell r="U538">
            <v>0</v>
          </cell>
        </row>
        <row r="539">
          <cell r="D539">
            <v>8751</v>
          </cell>
          <cell r="E539" t="str">
            <v>未分配利润_所有者投入资本增加权益</v>
          </cell>
          <cell r="F539">
            <v>0</v>
          </cell>
          <cell r="G539">
            <v>0</v>
          </cell>
          <cell r="H539">
            <v>0</v>
          </cell>
          <cell r="I539">
            <v>0</v>
          </cell>
          <cell r="J539">
            <v>0</v>
          </cell>
          <cell r="K539">
            <v>0</v>
          </cell>
          <cell r="L539">
            <v>0</v>
          </cell>
          <cell r="M539">
            <v>0</v>
          </cell>
          <cell r="T539">
            <v>8751</v>
          </cell>
          <cell r="U539">
            <v>0</v>
          </cell>
        </row>
        <row r="540">
          <cell r="D540">
            <v>8753</v>
          </cell>
          <cell r="E540" t="str">
            <v>未分配利润_其他权益工具持有者投入资本</v>
          </cell>
          <cell r="F540">
            <v>0</v>
          </cell>
          <cell r="G540">
            <v>0</v>
          </cell>
          <cell r="H540">
            <v>0</v>
          </cell>
          <cell r="I540">
            <v>0</v>
          </cell>
          <cell r="J540">
            <v>0</v>
          </cell>
          <cell r="K540">
            <v>0</v>
          </cell>
          <cell r="L540">
            <v>0</v>
          </cell>
          <cell r="M540">
            <v>0</v>
          </cell>
          <cell r="T540">
            <v>8753</v>
          </cell>
          <cell r="U540">
            <v>0</v>
          </cell>
        </row>
        <row r="541">
          <cell r="D541">
            <v>8752</v>
          </cell>
          <cell r="E541" t="str">
            <v>未分配利润_股份支付计入所有者权益的金额</v>
          </cell>
          <cell r="F541">
            <v>0</v>
          </cell>
          <cell r="G541">
            <v>0</v>
          </cell>
          <cell r="H541">
            <v>0</v>
          </cell>
          <cell r="I541">
            <v>0</v>
          </cell>
          <cell r="J541">
            <v>0</v>
          </cell>
          <cell r="K541">
            <v>0</v>
          </cell>
          <cell r="L541">
            <v>0</v>
          </cell>
          <cell r="M541">
            <v>0</v>
          </cell>
          <cell r="T541">
            <v>8752</v>
          </cell>
          <cell r="U541">
            <v>0</v>
          </cell>
        </row>
        <row r="542">
          <cell r="D542">
            <v>8756</v>
          </cell>
          <cell r="E542" t="str">
            <v>未分配利润_所有者其他投入和减少资本</v>
          </cell>
          <cell r="F542">
            <v>0</v>
          </cell>
          <cell r="G542">
            <v>0</v>
          </cell>
          <cell r="H542">
            <v>0</v>
          </cell>
          <cell r="I542">
            <v>0</v>
          </cell>
          <cell r="J542">
            <v>0</v>
          </cell>
          <cell r="K542">
            <v>0</v>
          </cell>
          <cell r="L542">
            <v>0</v>
          </cell>
          <cell r="M542">
            <v>0</v>
          </cell>
          <cell r="T542">
            <v>8756</v>
          </cell>
          <cell r="U542">
            <v>0</v>
          </cell>
        </row>
        <row r="543">
          <cell r="D543">
            <v>8760</v>
          </cell>
          <cell r="E543" t="str">
            <v>未分配利润_利润分配影响权益</v>
          </cell>
          <cell r="F543">
            <v>0</v>
          </cell>
          <cell r="G543">
            <v>2330145.23</v>
          </cell>
          <cell r="H543">
            <v>0</v>
          </cell>
          <cell r="I543">
            <v>-2330145.23</v>
          </cell>
          <cell r="J543">
            <v>-2569705.25</v>
          </cell>
          <cell r="K543">
            <v>0</v>
          </cell>
          <cell r="L543">
            <v>0</v>
          </cell>
          <cell r="M543">
            <v>-2569705.25</v>
          </cell>
          <cell r="T543">
            <v>8760</v>
          </cell>
          <cell r="U543">
            <v>-2569705.25</v>
          </cell>
        </row>
        <row r="544">
          <cell r="D544">
            <v>8761</v>
          </cell>
          <cell r="E544" t="str">
            <v>未分配利润_提取盈余公积</v>
          </cell>
          <cell r="F544">
            <v>0</v>
          </cell>
          <cell r="G544">
            <v>2330145.23</v>
          </cell>
          <cell r="H544">
            <v>0</v>
          </cell>
          <cell r="I544">
            <v>-2330145.23</v>
          </cell>
          <cell r="J544">
            <v>-2569705.25</v>
          </cell>
          <cell r="K544">
            <v>0</v>
          </cell>
          <cell r="L544">
            <v>0</v>
          </cell>
          <cell r="M544">
            <v>-2569705.25</v>
          </cell>
          <cell r="T544">
            <v>8761</v>
          </cell>
          <cell r="U544">
            <v>-2569705.25</v>
          </cell>
        </row>
        <row r="545">
          <cell r="D545">
            <v>8762</v>
          </cell>
          <cell r="E545" t="str">
            <v>未分配利润_提取一般风险准备</v>
          </cell>
          <cell r="F545">
            <v>0</v>
          </cell>
          <cell r="G545">
            <v>0</v>
          </cell>
          <cell r="H545">
            <v>0</v>
          </cell>
          <cell r="I545">
            <v>0</v>
          </cell>
          <cell r="J545">
            <v>0</v>
          </cell>
          <cell r="K545">
            <v>0</v>
          </cell>
          <cell r="L545">
            <v>0</v>
          </cell>
          <cell r="M545">
            <v>0</v>
          </cell>
          <cell r="T545">
            <v>8762</v>
          </cell>
          <cell r="U545">
            <v>0</v>
          </cell>
        </row>
        <row r="546">
          <cell r="D546">
            <v>8763</v>
          </cell>
          <cell r="E546" t="str">
            <v>未分配利润_对所有者的分配</v>
          </cell>
          <cell r="F546">
            <v>0</v>
          </cell>
          <cell r="G546">
            <v>0</v>
          </cell>
          <cell r="H546">
            <v>0</v>
          </cell>
          <cell r="I546">
            <v>0</v>
          </cell>
          <cell r="J546">
            <v>0</v>
          </cell>
          <cell r="K546">
            <v>0</v>
          </cell>
          <cell r="L546">
            <v>0</v>
          </cell>
          <cell r="M546">
            <v>0</v>
          </cell>
          <cell r="T546">
            <v>8763</v>
          </cell>
          <cell r="U546">
            <v>0</v>
          </cell>
        </row>
        <row r="547">
          <cell r="D547">
            <v>8766</v>
          </cell>
          <cell r="E547" t="str">
            <v>未分配利润_其他利润分配</v>
          </cell>
          <cell r="F547">
            <v>0</v>
          </cell>
          <cell r="G547">
            <v>0</v>
          </cell>
          <cell r="H547">
            <v>0</v>
          </cell>
          <cell r="I547">
            <v>0</v>
          </cell>
          <cell r="J547">
            <v>0</v>
          </cell>
          <cell r="K547">
            <v>0</v>
          </cell>
          <cell r="L547">
            <v>0</v>
          </cell>
          <cell r="M547">
            <v>0</v>
          </cell>
          <cell r="T547">
            <v>8766</v>
          </cell>
          <cell r="U547">
            <v>0</v>
          </cell>
        </row>
        <row r="548">
          <cell r="D548">
            <v>8770</v>
          </cell>
          <cell r="E548" t="str">
            <v>未分配利润_所有者权益内部结转</v>
          </cell>
          <cell r="F548">
            <v>0</v>
          </cell>
          <cell r="G548">
            <v>0</v>
          </cell>
          <cell r="H548">
            <v>0</v>
          </cell>
          <cell r="I548">
            <v>0</v>
          </cell>
          <cell r="J548">
            <v>0</v>
          </cell>
          <cell r="K548">
            <v>0</v>
          </cell>
          <cell r="L548">
            <v>0</v>
          </cell>
          <cell r="M548">
            <v>0</v>
          </cell>
          <cell r="T548">
            <v>8770</v>
          </cell>
          <cell r="U548">
            <v>0</v>
          </cell>
        </row>
        <row r="549">
          <cell r="D549">
            <v>8771</v>
          </cell>
          <cell r="E549" t="str">
            <v>未分配利润_资本公积转增资本影响权益</v>
          </cell>
          <cell r="F549">
            <v>0</v>
          </cell>
          <cell r="G549">
            <v>0</v>
          </cell>
          <cell r="H549">
            <v>0</v>
          </cell>
          <cell r="I549">
            <v>0</v>
          </cell>
          <cell r="J549">
            <v>0</v>
          </cell>
          <cell r="K549">
            <v>0</v>
          </cell>
          <cell r="L549">
            <v>0</v>
          </cell>
          <cell r="M549">
            <v>0</v>
          </cell>
          <cell r="T549">
            <v>8771</v>
          </cell>
          <cell r="U549">
            <v>0</v>
          </cell>
        </row>
        <row r="550">
          <cell r="D550">
            <v>8772</v>
          </cell>
          <cell r="E550" t="str">
            <v>未分配利润_盈余公积转增资本影响权益</v>
          </cell>
          <cell r="F550">
            <v>0</v>
          </cell>
          <cell r="G550">
            <v>0</v>
          </cell>
          <cell r="H550">
            <v>0</v>
          </cell>
          <cell r="I550">
            <v>0</v>
          </cell>
          <cell r="J550">
            <v>0</v>
          </cell>
          <cell r="K550">
            <v>0</v>
          </cell>
          <cell r="L550">
            <v>0</v>
          </cell>
          <cell r="M550">
            <v>0</v>
          </cell>
          <cell r="T550">
            <v>8772</v>
          </cell>
          <cell r="U550">
            <v>0</v>
          </cell>
        </row>
        <row r="551">
          <cell r="D551">
            <v>8773</v>
          </cell>
          <cell r="E551" t="str">
            <v>未分配利润_盈余公积弥补亏损</v>
          </cell>
          <cell r="F551">
            <v>0</v>
          </cell>
          <cell r="G551">
            <v>0</v>
          </cell>
          <cell r="H551">
            <v>0</v>
          </cell>
          <cell r="I551">
            <v>0</v>
          </cell>
          <cell r="J551">
            <v>0</v>
          </cell>
          <cell r="K551">
            <v>0</v>
          </cell>
          <cell r="L551">
            <v>0</v>
          </cell>
          <cell r="M551">
            <v>0</v>
          </cell>
          <cell r="T551">
            <v>8773</v>
          </cell>
          <cell r="U551">
            <v>0</v>
          </cell>
        </row>
        <row r="552">
          <cell r="D552">
            <v>8775</v>
          </cell>
          <cell r="E552" t="str">
            <v>未分配利润_设定受益计划变动额结转留存收益</v>
          </cell>
          <cell r="F552">
            <v>0</v>
          </cell>
          <cell r="G552">
            <v>0</v>
          </cell>
          <cell r="H552">
            <v>0</v>
          </cell>
          <cell r="I552">
            <v>0</v>
          </cell>
          <cell r="J552">
            <v>0</v>
          </cell>
          <cell r="K552">
            <v>0</v>
          </cell>
          <cell r="L552">
            <v>0</v>
          </cell>
          <cell r="M552">
            <v>0</v>
          </cell>
          <cell r="T552">
            <v>8775</v>
          </cell>
          <cell r="U552">
            <v>0</v>
          </cell>
        </row>
        <row r="553">
          <cell r="D553">
            <v>8776</v>
          </cell>
          <cell r="E553" t="str">
            <v>未分配利润_所有者权益其他内部结转</v>
          </cell>
          <cell r="F553">
            <v>0</v>
          </cell>
          <cell r="G553">
            <v>0</v>
          </cell>
          <cell r="H553">
            <v>0</v>
          </cell>
          <cell r="I553">
            <v>0</v>
          </cell>
          <cell r="J553">
            <v>0</v>
          </cell>
          <cell r="K553">
            <v>0</v>
          </cell>
          <cell r="L553">
            <v>0</v>
          </cell>
          <cell r="M553">
            <v>0</v>
          </cell>
          <cell r="T553">
            <v>8776</v>
          </cell>
          <cell r="U553">
            <v>0</v>
          </cell>
        </row>
        <row r="554">
          <cell r="D554">
            <v>8780</v>
          </cell>
          <cell r="E554" t="str">
            <v>未分配利润_专项储备影响权益</v>
          </cell>
          <cell r="F554">
            <v>0</v>
          </cell>
          <cell r="G554">
            <v>0</v>
          </cell>
          <cell r="H554">
            <v>0</v>
          </cell>
          <cell r="I554">
            <v>0</v>
          </cell>
          <cell r="J554">
            <v>0</v>
          </cell>
          <cell r="K554">
            <v>0</v>
          </cell>
          <cell r="L554">
            <v>0</v>
          </cell>
          <cell r="M554">
            <v>0</v>
          </cell>
          <cell r="T554">
            <v>8780</v>
          </cell>
          <cell r="U554">
            <v>0</v>
          </cell>
        </row>
        <row r="555">
          <cell r="D555">
            <v>8781</v>
          </cell>
          <cell r="E555" t="str">
            <v>未分配利润_专项储备本期提取</v>
          </cell>
          <cell r="F555">
            <v>0</v>
          </cell>
          <cell r="G555">
            <v>0</v>
          </cell>
          <cell r="H555">
            <v>0</v>
          </cell>
          <cell r="I555">
            <v>0</v>
          </cell>
          <cell r="J555">
            <v>0</v>
          </cell>
          <cell r="K555">
            <v>0</v>
          </cell>
          <cell r="L555">
            <v>0</v>
          </cell>
          <cell r="M555">
            <v>0</v>
          </cell>
          <cell r="T555">
            <v>8781</v>
          </cell>
          <cell r="U555">
            <v>0</v>
          </cell>
        </row>
        <row r="556">
          <cell r="D556">
            <v>8782</v>
          </cell>
          <cell r="E556" t="str">
            <v>未分配利润_专项储备本期使用</v>
          </cell>
          <cell r="F556">
            <v>0</v>
          </cell>
          <cell r="G556">
            <v>0</v>
          </cell>
          <cell r="H556">
            <v>0</v>
          </cell>
          <cell r="I556">
            <v>0</v>
          </cell>
          <cell r="J556">
            <v>0</v>
          </cell>
          <cell r="K556">
            <v>0</v>
          </cell>
          <cell r="L556">
            <v>0</v>
          </cell>
          <cell r="M556">
            <v>0</v>
          </cell>
          <cell r="T556">
            <v>8782</v>
          </cell>
          <cell r="U556">
            <v>0</v>
          </cell>
        </row>
        <row r="557">
          <cell r="D557">
            <v>8796</v>
          </cell>
          <cell r="E557" t="str">
            <v>未分配利润_本期其他增减变动</v>
          </cell>
          <cell r="F557">
            <v>0</v>
          </cell>
          <cell r="G557">
            <v>0</v>
          </cell>
          <cell r="H557">
            <v>0</v>
          </cell>
          <cell r="I557">
            <v>0</v>
          </cell>
          <cell r="J557">
            <v>0</v>
          </cell>
          <cell r="K557">
            <v>0</v>
          </cell>
          <cell r="L557">
            <v>0</v>
          </cell>
          <cell r="M557">
            <v>0</v>
          </cell>
          <cell r="T557">
            <v>8796</v>
          </cell>
          <cell r="U557">
            <v>0</v>
          </cell>
        </row>
        <row r="558">
          <cell r="D558">
            <v>8799</v>
          </cell>
          <cell r="E558" t="str">
            <v>未分配利润_本期期末余额</v>
          </cell>
          <cell r="F558">
            <v>132875203.33</v>
          </cell>
          <cell r="G558">
            <v>98710131.840000004</v>
          </cell>
          <cell r="H558">
            <v>49819515.710000001</v>
          </cell>
          <cell r="I558">
            <v>83984587.200000003</v>
          </cell>
          <cell r="J558">
            <v>63013280.090000004</v>
          </cell>
          <cell r="K558">
            <v>0</v>
          </cell>
          <cell r="L558">
            <v>0</v>
          </cell>
          <cell r="M558">
            <v>63013280.090000004</v>
          </cell>
          <cell r="T558">
            <v>8799</v>
          </cell>
          <cell r="U558">
            <v>63013280.090000004</v>
          </cell>
        </row>
        <row r="559">
          <cell r="D559">
            <v>8800</v>
          </cell>
          <cell r="E559" t="str">
            <v>其他归属于母公司所有者权益增减变动</v>
          </cell>
          <cell r="F559">
            <v>0</v>
          </cell>
          <cell r="G559">
            <v>0</v>
          </cell>
          <cell r="H559">
            <v>0</v>
          </cell>
          <cell r="I559">
            <v>0</v>
          </cell>
          <cell r="J559">
            <v>0</v>
          </cell>
          <cell r="K559">
            <v>0</v>
          </cell>
          <cell r="L559">
            <v>0</v>
          </cell>
          <cell r="M559">
            <v>0</v>
          </cell>
          <cell r="T559">
            <v>8800</v>
          </cell>
          <cell r="U559">
            <v>0</v>
          </cell>
        </row>
        <row r="560">
          <cell r="D560">
            <v>8801</v>
          </cell>
          <cell r="E560" t="str">
            <v>其他归属于母公司所有者权益_上年年末余额</v>
          </cell>
          <cell r="F560">
            <v>0</v>
          </cell>
          <cell r="G560">
            <v>0</v>
          </cell>
          <cell r="H560">
            <v>0</v>
          </cell>
          <cell r="I560">
            <v>0</v>
          </cell>
          <cell r="J560">
            <v>0</v>
          </cell>
          <cell r="K560">
            <v>0</v>
          </cell>
          <cell r="L560">
            <v>0</v>
          </cell>
          <cell r="M560">
            <v>0</v>
          </cell>
          <cell r="T560">
            <v>8801</v>
          </cell>
          <cell r="U560">
            <v>0</v>
          </cell>
        </row>
        <row r="561">
          <cell r="D561">
            <v>8802</v>
          </cell>
          <cell r="E561" t="str">
            <v>其他归属于母公司所有者权益_会计政策变更调整上年年末余额</v>
          </cell>
          <cell r="F561">
            <v>0</v>
          </cell>
          <cell r="G561">
            <v>0</v>
          </cell>
          <cell r="H561">
            <v>0</v>
          </cell>
          <cell r="I561">
            <v>0</v>
          </cell>
          <cell r="J561">
            <v>0</v>
          </cell>
          <cell r="K561">
            <v>0</v>
          </cell>
          <cell r="L561">
            <v>0</v>
          </cell>
          <cell r="M561">
            <v>0</v>
          </cell>
          <cell r="T561">
            <v>8802</v>
          </cell>
          <cell r="U561">
            <v>0</v>
          </cell>
        </row>
        <row r="562">
          <cell r="D562">
            <v>8803</v>
          </cell>
          <cell r="E562" t="str">
            <v>其他归属于母公司所有者权益_前期差错更正调整上年年末余额</v>
          </cell>
          <cell r="F562">
            <v>0</v>
          </cell>
          <cell r="G562">
            <v>0</v>
          </cell>
          <cell r="H562">
            <v>0</v>
          </cell>
          <cell r="I562">
            <v>0</v>
          </cell>
          <cell r="J562">
            <v>0</v>
          </cell>
          <cell r="K562">
            <v>0</v>
          </cell>
          <cell r="L562">
            <v>0</v>
          </cell>
          <cell r="M562">
            <v>0</v>
          </cell>
          <cell r="T562">
            <v>8803</v>
          </cell>
          <cell r="U562">
            <v>0</v>
          </cell>
        </row>
        <row r="563">
          <cell r="D563">
            <v>8804</v>
          </cell>
          <cell r="E563" t="str">
            <v>其他归属于母公司所有者权益_同一控制下企业合并调整上年年末余额</v>
          </cell>
          <cell r="F563">
            <v>0</v>
          </cell>
          <cell r="G563">
            <v>0</v>
          </cell>
          <cell r="H563">
            <v>0</v>
          </cell>
          <cell r="I563">
            <v>0</v>
          </cell>
          <cell r="J563">
            <v>0</v>
          </cell>
          <cell r="K563">
            <v>0</v>
          </cell>
          <cell r="L563">
            <v>0</v>
          </cell>
          <cell r="M563">
            <v>0</v>
          </cell>
          <cell r="T563">
            <v>8804</v>
          </cell>
          <cell r="U563">
            <v>0</v>
          </cell>
        </row>
        <row r="564">
          <cell r="D564">
            <v>8809</v>
          </cell>
          <cell r="E564" t="str">
            <v>其他归属于母公司所有者权益_其他原因调整上年年末余额</v>
          </cell>
          <cell r="F564">
            <v>0</v>
          </cell>
          <cell r="G564">
            <v>0</v>
          </cell>
          <cell r="H564">
            <v>0</v>
          </cell>
          <cell r="I564">
            <v>0</v>
          </cell>
          <cell r="J564">
            <v>0</v>
          </cell>
          <cell r="K564">
            <v>0</v>
          </cell>
          <cell r="L564">
            <v>0</v>
          </cell>
          <cell r="M564">
            <v>0</v>
          </cell>
          <cell r="T564">
            <v>8809</v>
          </cell>
          <cell r="U564">
            <v>0</v>
          </cell>
        </row>
        <row r="565">
          <cell r="D565">
            <v>8810</v>
          </cell>
          <cell r="E565" t="str">
            <v>其他归属于母公司所有者权益_本年年初余额</v>
          </cell>
          <cell r="F565">
            <v>0</v>
          </cell>
          <cell r="G565">
            <v>0</v>
          </cell>
          <cell r="H565">
            <v>0</v>
          </cell>
          <cell r="I565">
            <v>0</v>
          </cell>
          <cell r="J565">
            <v>0</v>
          </cell>
          <cell r="K565">
            <v>0</v>
          </cell>
          <cell r="L565">
            <v>0</v>
          </cell>
          <cell r="M565">
            <v>0</v>
          </cell>
          <cell r="T565">
            <v>8810</v>
          </cell>
          <cell r="U565">
            <v>0</v>
          </cell>
        </row>
        <row r="566">
          <cell r="D566">
            <v>8890</v>
          </cell>
          <cell r="E566" t="str">
            <v>其他归属于母公司所有者权益_本期增减变动金额</v>
          </cell>
          <cell r="F566">
            <v>0</v>
          </cell>
          <cell r="G566">
            <v>0</v>
          </cell>
          <cell r="H566">
            <v>0</v>
          </cell>
          <cell r="I566">
            <v>0</v>
          </cell>
          <cell r="J566">
            <v>0</v>
          </cell>
          <cell r="K566">
            <v>0</v>
          </cell>
          <cell r="L566">
            <v>0</v>
          </cell>
          <cell r="M566">
            <v>0</v>
          </cell>
          <cell r="T566">
            <v>8890</v>
          </cell>
          <cell r="U566">
            <v>0</v>
          </cell>
        </row>
        <row r="567">
          <cell r="D567">
            <v>8821</v>
          </cell>
          <cell r="E567" t="str">
            <v>其他归属于母公司所有者权益_净利润增加权益</v>
          </cell>
          <cell r="F567">
            <v>0</v>
          </cell>
          <cell r="G567">
            <v>0</v>
          </cell>
          <cell r="H567">
            <v>0</v>
          </cell>
          <cell r="I567">
            <v>0</v>
          </cell>
          <cell r="J567">
            <v>0</v>
          </cell>
          <cell r="K567">
            <v>0</v>
          </cell>
          <cell r="L567">
            <v>0</v>
          </cell>
          <cell r="M567">
            <v>0</v>
          </cell>
          <cell r="T567">
            <v>8821</v>
          </cell>
          <cell r="U567">
            <v>0</v>
          </cell>
        </row>
        <row r="568">
          <cell r="D568">
            <v>8830</v>
          </cell>
          <cell r="E568" t="str">
            <v>其他归属于母公司所有者权益_其他综合收益</v>
          </cell>
          <cell r="F568">
            <v>0</v>
          </cell>
          <cell r="G568">
            <v>0</v>
          </cell>
          <cell r="H568">
            <v>0</v>
          </cell>
          <cell r="I568">
            <v>0</v>
          </cell>
          <cell r="J568">
            <v>0</v>
          </cell>
          <cell r="K568">
            <v>0</v>
          </cell>
          <cell r="L568">
            <v>0</v>
          </cell>
          <cell r="M568">
            <v>0</v>
          </cell>
          <cell r="T568">
            <v>8830</v>
          </cell>
          <cell r="U568">
            <v>0</v>
          </cell>
        </row>
        <row r="569">
          <cell r="D569">
            <v>8840</v>
          </cell>
          <cell r="E569" t="str">
            <v>其他归属于母公司所有者权益_综合收益总额增加权益</v>
          </cell>
          <cell r="F569">
            <v>0</v>
          </cell>
          <cell r="G569">
            <v>0</v>
          </cell>
          <cell r="H569">
            <v>0</v>
          </cell>
          <cell r="I569">
            <v>0</v>
          </cell>
          <cell r="J569">
            <v>0</v>
          </cell>
          <cell r="K569">
            <v>0</v>
          </cell>
          <cell r="L569">
            <v>0</v>
          </cell>
          <cell r="M569">
            <v>0</v>
          </cell>
          <cell r="T569">
            <v>8840</v>
          </cell>
          <cell r="U569">
            <v>0</v>
          </cell>
        </row>
        <row r="570">
          <cell r="D570">
            <v>8850</v>
          </cell>
          <cell r="E570" t="str">
            <v>其他归属于母公司所有者权益_所有者投入和减少资本影响权益</v>
          </cell>
          <cell r="F570">
            <v>0</v>
          </cell>
          <cell r="G570">
            <v>0</v>
          </cell>
          <cell r="H570">
            <v>0</v>
          </cell>
          <cell r="I570">
            <v>0</v>
          </cell>
          <cell r="J570">
            <v>0</v>
          </cell>
          <cell r="K570">
            <v>0</v>
          </cell>
          <cell r="L570">
            <v>0</v>
          </cell>
          <cell r="M570">
            <v>0</v>
          </cell>
          <cell r="T570">
            <v>8850</v>
          </cell>
          <cell r="U570">
            <v>0</v>
          </cell>
        </row>
        <row r="571">
          <cell r="D571">
            <v>8851</v>
          </cell>
          <cell r="E571" t="str">
            <v>其他归属于母公司所有者权益_所有者投入资本</v>
          </cell>
          <cell r="F571">
            <v>0</v>
          </cell>
          <cell r="G571">
            <v>0</v>
          </cell>
          <cell r="H571">
            <v>0</v>
          </cell>
          <cell r="I571">
            <v>0</v>
          </cell>
          <cell r="J571">
            <v>0</v>
          </cell>
          <cell r="K571">
            <v>0</v>
          </cell>
          <cell r="L571">
            <v>0</v>
          </cell>
          <cell r="M571">
            <v>0</v>
          </cell>
          <cell r="T571">
            <v>8851</v>
          </cell>
          <cell r="U571">
            <v>0</v>
          </cell>
        </row>
        <row r="572">
          <cell r="D572">
            <v>8853</v>
          </cell>
          <cell r="E572" t="str">
            <v>其他归属于母公司所有者权益_其他权益工具持有者投入资本</v>
          </cell>
          <cell r="F572">
            <v>0</v>
          </cell>
          <cell r="G572">
            <v>0</v>
          </cell>
          <cell r="H572">
            <v>0</v>
          </cell>
          <cell r="I572">
            <v>0</v>
          </cell>
          <cell r="J572">
            <v>0</v>
          </cell>
          <cell r="K572">
            <v>0</v>
          </cell>
          <cell r="L572">
            <v>0</v>
          </cell>
          <cell r="M572">
            <v>0</v>
          </cell>
          <cell r="T572">
            <v>8853</v>
          </cell>
          <cell r="U572">
            <v>0</v>
          </cell>
        </row>
        <row r="573">
          <cell r="D573">
            <v>8852</v>
          </cell>
          <cell r="E573" t="str">
            <v>其他归属于母公司所有者权益_股份支付</v>
          </cell>
          <cell r="F573">
            <v>0</v>
          </cell>
          <cell r="G573">
            <v>0</v>
          </cell>
          <cell r="H573">
            <v>0</v>
          </cell>
          <cell r="I573">
            <v>0</v>
          </cell>
          <cell r="J573">
            <v>0</v>
          </cell>
          <cell r="K573">
            <v>0</v>
          </cell>
          <cell r="L573">
            <v>0</v>
          </cell>
          <cell r="M573">
            <v>0</v>
          </cell>
          <cell r="T573">
            <v>8852</v>
          </cell>
          <cell r="U573">
            <v>0</v>
          </cell>
        </row>
        <row r="574">
          <cell r="D574">
            <v>8856</v>
          </cell>
          <cell r="E574" t="str">
            <v>其他归属于母公司所有者权益_所有者其他投入和减少资本</v>
          </cell>
          <cell r="F574">
            <v>0</v>
          </cell>
          <cell r="G574">
            <v>0</v>
          </cell>
          <cell r="H574">
            <v>0</v>
          </cell>
          <cell r="I574">
            <v>0</v>
          </cell>
          <cell r="J574">
            <v>0</v>
          </cell>
          <cell r="K574">
            <v>0</v>
          </cell>
          <cell r="L574">
            <v>0</v>
          </cell>
          <cell r="M574">
            <v>0</v>
          </cell>
          <cell r="T574">
            <v>8856</v>
          </cell>
          <cell r="U574">
            <v>0</v>
          </cell>
        </row>
        <row r="575">
          <cell r="D575">
            <v>8860</v>
          </cell>
          <cell r="E575" t="str">
            <v>其他归属于母公司所有者权益_利润分配影响权益</v>
          </cell>
          <cell r="F575">
            <v>0</v>
          </cell>
          <cell r="G575">
            <v>0</v>
          </cell>
          <cell r="H575">
            <v>0</v>
          </cell>
          <cell r="I575">
            <v>0</v>
          </cell>
          <cell r="J575">
            <v>0</v>
          </cell>
          <cell r="K575">
            <v>0</v>
          </cell>
          <cell r="L575">
            <v>0</v>
          </cell>
          <cell r="M575">
            <v>0</v>
          </cell>
          <cell r="T575">
            <v>8860</v>
          </cell>
          <cell r="U575">
            <v>0</v>
          </cell>
        </row>
        <row r="576">
          <cell r="D576">
            <v>8861</v>
          </cell>
          <cell r="E576" t="str">
            <v>其他归属于母公司所有者权益_提取盈余公积</v>
          </cell>
          <cell r="F576">
            <v>0</v>
          </cell>
          <cell r="G576">
            <v>0</v>
          </cell>
          <cell r="H576">
            <v>0</v>
          </cell>
          <cell r="I576">
            <v>0</v>
          </cell>
          <cell r="J576">
            <v>0</v>
          </cell>
          <cell r="K576">
            <v>0</v>
          </cell>
          <cell r="L576">
            <v>0</v>
          </cell>
          <cell r="M576">
            <v>0</v>
          </cell>
          <cell r="T576">
            <v>8861</v>
          </cell>
          <cell r="U576">
            <v>0</v>
          </cell>
        </row>
        <row r="577">
          <cell r="D577">
            <v>8862</v>
          </cell>
          <cell r="E577" t="str">
            <v>其他归属于母公司所有者权益_提取一般风险准备</v>
          </cell>
          <cell r="F577">
            <v>0</v>
          </cell>
          <cell r="G577">
            <v>0</v>
          </cell>
          <cell r="H577">
            <v>0</v>
          </cell>
          <cell r="I577">
            <v>0</v>
          </cell>
          <cell r="J577">
            <v>0</v>
          </cell>
          <cell r="K577">
            <v>0</v>
          </cell>
          <cell r="L577">
            <v>0</v>
          </cell>
          <cell r="M577">
            <v>0</v>
          </cell>
          <cell r="T577">
            <v>8862</v>
          </cell>
          <cell r="U577">
            <v>0</v>
          </cell>
        </row>
        <row r="578">
          <cell r="D578">
            <v>8863</v>
          </cell>
          <cell r="E578" t="str">
            <v>其他归属于母公司所有者权益_对所有者的分配</v>
          </cell>
          <cell r="F578">
            <v>0</v>
          </cell>
          <cell r="G578">
            <v>0</v>
          </cell>
          <cell r="H578">
            <v>0</v>
          </cell>
          <cell r="I578">
            <v>0</v>
          </cell>
          <cell r="J578">
            <v>0</v>
          </cell>
          <cell r="K578">
            <v>0</v>
          </cell>
          <cell r="L578">
            <v>0</v>
          </cell>
          <cell r="M578">
            <v>0</v>
          </cell>
          <cell r="T578">
            <v>8863</v>
          </cell>
          <cell r="U578">
            <v>0</v>
          </cell>
        </row>
        <row r="579">
          <cell r="D579">
            <v>8866</v>
          </cell>
          <cell r="E579" t="str">
            <v>其他归属于母公司所有者权益_其他利润分配</v>
          </cell>
          <cell r="F579">
            <v>0</v>
          </cell>
          <cell r="G579">
            <v>0</v>
          </cell>
          <cell r="H579">
            <v>0</v>
          </cell>
          <cell r="I579">
            <v>0</v>
          </cell>
          <cell r="J579">
            <v>0</v>
          </cell>
          <cell r="K579">
            <v>0</v>
          </cell>
          <cell r="L579">
            <v>0</v>
          </cell>
          <cell r="M579">
            <v>0</v>
          </cell>
          <cell r="T579">
            <v>8866</v>
          </cell>
          <cell r="U579">
            <v>0</v>
          </cell>
        </row>
        <row r="580">
          <cell r="D580">
            <v>8870</v>
          </cell>
          <cell r="E580" t="str">
            <v>其他归属于母公司所有者权益_所有者权益内部结转</v>
          </cell>
          <cell r="F580">
            <v>0</v>
          </cell>
          <cell r="G580">
            <v>0</v>
          </cell>
          <cell r="H580">
            <v>0</v>
          </cell>
          <cell r="I580">
            <v>0</v>
          </cell>
          <cell r="J580">
            <v>0</v>
          </cell>
          <cell r="K580">
            <v>0</v>
          </cell>
          <cell r="L580">
            <v>0</v>
          </cell>
          <cell r="M580">
            <v>0</v>
          </cell>
          <cell r="T580">
            <v>8870</v>
          </cell>
          <cell r="U580">
            <v>0</v>
          </cell>
        </row>
        <row r="581">
          <cell r="D581">
            <v>8871</v>
          </cell>
          <cell r="E581" t="str">
            <v>其他归属于母公司所有者权益_资本公积转增资本</v>
          </cell>
          <cell r="F581">
            <v>0</v>
          </cell>
          <cell r="G581">
            <v>0</v>
          </cell>
          <cell r="H581">
            <v>0</v>
          </cell>
          <cell r="I581">
            <v>0</v>
          </cell>
          <cell r="J581">
            <v>0</v>
          </cell>
          <cell r="K581">
            <v>0</v>
          </cell>
          <cell r="L581">
            <v>0</v>
          </cell>
          <cell r="M581">
            <v>0</v>
          </cell>
          <cell r="T581">
            <v>8871</v>
          </cell>
          <cell r="U581">
            <v>0</v>
          </cell>
        </row>
        <row r="582">
          <cell r="D582">
            <v>8872</v>
          </cell>
          <cell r="E582" t="str">
            <v>其他归属于母公司所有者权益_盈余公积转增资本</v>
          </cell>
          <cell r="F582">
            <v>0</v>
          </cell>
          <cell r="G582">
            <v>0</v>
          </cell>
          <cell r="H582">
            <v>0</v>
          </cell>
          <cell r="I582">
            <v>0</v>
          </cell>
          <cell r="J582">
            <v>0</v>
          </cell>
          <cell r="K582">
            <v>0</v>
          </cell>
          <cell r="L582">
            <v>0</v>
          </cell>
          <cell r="M582">
            <v>0</v>
          </cell>
          <cell r="T582">
            <v>8872</v>
          </cell>
          <cell r="U582">
            <v>0</v>
          </cell>
        </row>
        <row r="583">
          <cell r="D583">
            <v>8873</v>
          </cell>
          <cell r="E583" t="str">
            <v>其他归属于母公司所有者权益_盈余公积弥补亏损</v>
          </cell>
          <cell r="F583">
            <v>0</v>
          </cell>
          <cell r="G583">
            <v>0</v>
          </cell>
          <cell r="H583">
            <v>0</v>
          </cell>
          <cell r="I583">
            <v>0</v>
          </cell>
          <cell r="J583">
            <v>0</v>
          </cell>
          <cell r="K583">
            <v>0</v>
          </cell>
          <cell r="L583">
            <v>0</v>
          </cell>
          <cell r="M583">
            <v>0</v>
          </cell>
          <cell r="T583">
            <v>8873</v>
          </cell>
          <cell r="U583">
            <v>0</v>
          </cell>
        </row>
        <row r="584">
          <cell r="D584">
            <v>8875</v>
          </cell>
          <cell r="E584" t="str">
            <v>其他归属于母公司所有者权益_设定受益计划变动额结转留存收益</v>
          </cell>
          <cell r="F584">
            <v>0</v>
          </cell>
          <cell r="G584">
            <v>0</v>
          </cell>
          <cell r="H584">
            <v>0</v>
          </cell>
          <cell r="I584">
            <v>0</v>
          </cell>
          <cell r="J584">
            <v>0</v>
          </cell>
          <cell r="K584">
            <v>0</v>
          </cell>
          <cell r="L584">
            <v>0</v>
          </cell>
          <cell r="M584">
            <v>0</v>
          </cell>
          <cell r="T584">
            <v>8875</v>
          </cell>
          <cell r="U584">
            <v>0</v>
          </cell>
        </row>
        <row r="585">
          <cell r="D585">
            <v>8876</v>
          </cell>
          <cell r="E585" t="str">
            <v>其他归属于母公司所有者权益_所有者权益其他内部结转</v>
          </cell>
          <cell r="F585">
            <v>0</v>
          </cell>
          <cell r="G585">
            <v>0</v>
          </cell>
          <cell r="H585">
            <v>0</v>
          </cell>
          <cell r="I585">
            <v>0</v>
          </cell>
          <cell r="J585">
            <v>0</v>
          </cell>
          <cell r="K585">
            <v>0</v>
          </cell>
          <cell r="L585">
            <v>0</v>
          </cell>
          <cell r="M585">
            <v>0</v>
          </cell>
          <cell r="T585">
            <v>8876</v>
          </cell>
          <cell r="U585">
            <v>0</v>
          </cell>
        </row>
        <row r="586">
          <cell r="D586">
            <v>8880</v>
          </cell>
          <cell r="E586" t="str">
            <v>其他归属于母公司所有者权益_专项储备影响权益</v>
          </cell>
          <cell r="F586">
            <v>0</v>
          </cell>
          <cell r="G586">
            <v>0</v>
          </cell>
          <cell r="H586">
            <v>0</v>
          </cell>
          <cell r="I586">
            <v>0</v>
          </cell>
          <cell r="J586">
            <v>0</v>
          </cell>
          <cell r="K586">
            <v>0</v>
          </cell>
          <cell r="L586">
            <v>0</v>
          </cell>
          <cell r="M586">
            <v>0</v>
          </cell>
          <cell r="T586">
            <v>8880</v>
          </cell>
          <cell r="U586">
            <v>0</v>
          </cell>
        </row>
        <row r="587">
          <cell r="D587">
            <v>8881</v>
          </cell>
          <cell r="E587" t="str">
            <v>其他归属于母公司所有者权益_专项储备本期提取</v>
          </cell>
          <cell r="F587">
            <v>0</v>
          </cell>
          <cell r="G587">
            <v>0</v>
          </cell>
          <cell r="H587">
            <v>0</v>
          </cell>
          <cell r="I587">
            <v>0</v>
          </cell>
          <cell r="J587">
            <v>0</v>
          </cell>
          <cell r="K587">
            <v>0</v>
          </cell>
          <cell r="L587">
            <v>0</v>
          </cell>
          <cell r="M587">
            <v>0</v>
          </cell>
          <cell r="T587">
            <v>8881</v>
          </cell>
          <cell r="U587">
            <v>0</v>
          </cell>
        </row>
        <row r="588">
          <cell r="D588">
            <v>8882</v>
          </cell>
          <cell r="E588" t="str">
            <v>其他归属于母公司所有者权益_专项储备本期使用</v>
          </cell>
          <cell r="F588">
            <v>0</v>
          </cell>
          <cell r="G588">
            <v>0</v>
          </cell>
          <cell r="H588">
            <v>0</v>
          </cell>
          <cell r="I588">
            <v>0</v>
          </cell>
          <cell r="J588">
            <v>0</v>
          </cell>
          <cell r="K588">
            <v>0</v>
          </cell>
          <cell r="L588">
            <v>0</v>
          </cell>
          <cell r="M588">
            <v>0</v>
          </cell>
          <cell r="T588">
            <v>8882</v>
          </cell>
          <cell r="U588">
            <v>0</v>
          </cell>
        </row>
        <row r="589">
          <cell r="D589">
            <v>8896</v>
          </cell>
          <cell r="E589" t="str">
            <v>其他归属于母公司所有者权益_本期其他增减变动</v>
          </cell>
          <cell r="F589">
            <v>0</v>
          </cell>
          <cell r="G589">
            <v>0</v>
          </cell>
          <cell r="H589">
            <v>0</v>
          </cell>
          <cell r="I589">
            <v>0</v>
          </cell>
          <cell r="J589">
            <v>0</v>
          </cell>
          <cell r="K589">
            <v>0</v>
          </cell>
          <cell r="L589">
            <v>0</v>
          </cell>
          <cell r="M589">
            <v>0</v>
          </cell>
          <cell r="T589">
            <v>8896</v>
          </cell>
          <cell r="U589">
            <v>0</v>
          </cell>
        </row>
        <row r="590">
          <cell r="D590">
            <v>8899</v>
          </cell>
          <cell r="E590" t="str">
            <v>其他归属于母公司所有者权益_本期期末余额</v>
          </cell>
          <cell r="F590">
            <v>0</v>
          </cell>
          <cell r="G590">
            <v>0</v>
          </cell>
          <cell r="H590">
            <v>0</v>
          </cell>
          <cell r="I590">
            <v>0</v>
          </cell>
          <cell r="J590">
            <v>0</v>
          </cell>
          <cell r="K590">
            <v>0</v>
          </cell>
          <cell r="L590">
            <v>0</v>
          </cell>
          <cell r="M590">
            <v>0</v>
          </cell>
          <cell r="T590">
            <v>8899</v>
          </cell>
          <cell r="U590">
            <v>0</v>
          </cell>
        </row>
        <row r="591">
          <cell r="D591">
            <v>8900</v>
          </cell>
          <cell r="E591" t="str">
            <v>少数股东权益增减变动</v>
          </cell>
          <cell r="F591">
            <v>0</v>
          </cell>
          <cell r="G591">
            <v>0</v>
          </cell>
          <cell r="H591">
            <v>0</v>
          </cell>
          <cell r="I591">
            <v>0</v>
          </cell>
          <cell r="J591">
            <v>0</v>
          </cell>
          <cell r="K591">
            <v>0</v>
          </cell>
          <cell r="L591">
            <v>0</v>
          </cell>
          <cell r="M591">
            <v>0</v>
          </cell>
          <cell r="T591">
            <v>8900</v>
          </cell>
          <cell r="U591">
            <v>0</v>
          </cell>
        </row>
        <row r="592">
          <cell r="D592">
            <v>8901</v>
          </cell>
          <cell r="E592" t="str">
            <v>少数股东权益_上年年末余额</v>
          </cell>
          <cell r="F592">
            <v>0</v>
          </cell>
          <cell r="G592">
            <v>0</v>
          </cell>
          <cell r="H592">
            <v>0</v>
          </cell>
          <cell r="I592">
            <v>0</v>
          </cell>
          <cell r="J592">
            <v>0</v>
          </cell>
          <cell r="K592">
            <v>0</v>
          </cell>
          <cell r="L592">
            <v>0</v>
          </cell>
          <cell r="M592">
            <v>0</v>
          </cell>
          <cell r="T592">
            <v>8901</v>
          </cell>
          <cell r="U592">
            <v>0</v>
          </cell>
        </row>
        <row r="593">
          <cell r="D593">
            <v>8902</v>
          </cell>
          <cell r="E593" t="str">
            <v>少数股东权益_会计政策变更调整上年年末余额</v>
          </cell>
          <cell r="F593">
            <v>0</v>
          </cell>
          <cell r="G593">
            <v>0</v>
          </cell>
          <cell r="H593">
            <v>0</v>
          </cell>
          <cell r="I593">
            <v>0</v>
          </cell>
          <cell r="J593">
            <v>0</v>
          </cell>
          <cell r="K593">
            <v>0</v>
          </cell>
          <cell r="L593">
            <v>0</v>
          </cell>
          <cell r="M593">
            <v>0</v>
          </cell>
          <cell r="T593">
            <v>8902</v>
          </cell>
          <cell r="U593">
            <v>0</v>
          </cell>
        </row>
        <row r="594">
          <cell r="D594">
            <v>8903</v>
          </cell>
          <cell r="E594" t="str">
            <v>少数股东权益_前期差错更正调整上年年末余额</v>
          </cell>
          <cell r="F594">
            <v>0</v>
          </cell>
          <cell r="G594">
            <v>0</v>
          </cell>
          <cell r="H594">
            <v>0</v>
          </cell>
          <cell r="I594">
            <v>0</v>
          </cell>
          <cell r="J594">
            <v>0</v>
          </cell>
          <cell r="K594">
            <v>0</v>
          </cell>
          <cell r="L594">
            <v>0</v>
          </cell>
          <cell r="M594">
            <v>0</v>
          </cell>
          <cell r="T594">
            <v>8903</v>
          </cell>
          <cell r="U594">
            <v>0</v>
          </cell>
        </row>
        <row r="595">
          <cell r="D595">
            <v>8904</v>
          </cell>
          <cell r="E595" t="str">
            <v>少数股东权益_同一控制下企业合并调整上年年末余额</v>
          </cell>
          <cell r="F595">
            <v>0</v>
          </cell>
          <cell r="G595">
            <v>0</v>
          </cell>
          <cell r="H595">
            <v>0</v>
          </cell>
          <cell r="I595">
            <v>0</v>
          </cell>
          <cell r="J595">
            <v>0</v>
          </cell>
          <cell r="K595">
            <v>0</v>
          </cell>
          <cell r="L595">
            <v>0</v>
          </cell>
          <cell r="M595">
            <v>0</v>
          </cell>
          <cell r="T595">
            <v>8904</v>
          </cell>
          <cell r="U595">
            <v>0</v>
          </cell>
        </row>
        <row r="596">
          <cell r="D596">
            <v>8909</v>
          </cell>
          <cell r="E596" t="str">
            <v>少数股东权益_其他原因调整上年年末余额</v>
          </cell>
          <cell r="F596">
            <v>0</v>
          </cell>
          <cell r="G596">
            <v>0</v>
          </cell>
          <cell r="H596">
            <v>0</v>
          </cell>
          <cell r="I596">
            <v>0</v>
          </cell>
          <cell r="J596">
            <v>0</v>
          </cell>
          <cell r="K596">
            <v>0</v>
          </cell>
          <cell r="L596">
            <v>0</v>
          </cell>
          <cell r="M596">
            <v>0</v>
          </cell>
          <cell r="T596">
            <v>8909</v>
          </cell>
          <cell r="U596">
            <v>0</v>
          </cell>
        </row>
        <row r="597">
          <cell r="D597">
            <v>8910</v>
          </cell>
          <cell r="E597" t="str">
            <v>少数股东权益_本年年初余额</v>
          </cell>
          <cell r="F597">
            <v>0</v>
          </cell>
          <cell r="G597">
            <v>0</v>
          </cell>
          <cell r="H597">
            <v>0</v>
          </cell>
          <cell r="I597">
            <v>0</v>
          </cell>
          <cell r="J597">
            <v>0</v>
          </cell>
          <cell r="K597">
            <v>0</v>
          </cell>
          <cell r="L597">
            <v>0</v>
          </cell>
          <cell r="M597">
            <v>0</v>
          </cell>
          <cell r="T597">
            <v>8910</v>
          </cell>
          <cell r="U597">
            <v>0</v>
          </cell>
        </row>
        <row r="598">
          <cell r="D598">
            <v>8990</v>
          </cell>
          <cell r="E598" t="str">
            <v>少数股东权益_本期增减变动金额</v>
          </cell>
          <cell r="F598">
            <v>0</v>
          </cell>
          <cell r="G598">
            <v>0</v>
          </cell>
          <cell r="H598">
            <v>0</v>
          </cell>
          <cell r="I598">
            <v>0</v>
          </cell>
          <cell r="J598">
            <v>0</v>
          </cell>
          <cell r="K598">
            <v>0</v>
          </cell>
          <cell r="L598">
            <v>0</v>
          </cell>
          <cell r="M598">
            <v>0</v>
          </cell>
          <cell r="T598">
            <v>8990</v>
          </cell>
          <cell r="U598">
            <v>0</v>
          </cell>
        </row>
        <row r="599">
          <cell r="D599">
            <v>8921</v>
          </cell>
          <cell r="E599" t="str">
            <v>少数股东权益_净利润</v>
          </cell>
          <cell r="F599">
            <v>0</v>
          </cell>
          <cell r="G599">
            <v>0</v>
          </cell>
          <cell r="H599">
            <v>0</v>
          </cell>
          <cell r="I599">
            <v>0</v>
          </cell>
          <cell r="J599">
            <v>0</v>
          </cell>
          <cell r="K599">
            <v>0</v>
          </cell>
          <cell r="L599">
            <v>0</v>
          </cell>
          <cell r="M599">
            <v>0</v>
          </cell>
          <cell r="T599">
            <v>8921</v>
          </cell>
          <cell r="U599">
            <v>0</v>
          </cell>
        </row>
        <row r="600">
          <cell r="D600">
            <v>8930</v>
          </cell>
          <cell r="E600" t="str">
            <v>少数股东权益_其他综合收益</v>
          </cell>
          <cell r="F600">
            <v>0</v>
          </cell>
          <cell r="G600">
            <v>0</v>
          </cell>
          <cell r="H600">
            <v>0</v>
          </cell>
          <cell r="I600">
            <v>0</v>
          </cell>
          <cell r="J600">
            <v>0</v>
          </cell>
          <cell r="K600">
            <v>0</v>
          </cell>
          <cell r="L600">
            <v>0</v>
          </cell>
          <cell r="M600">
            <v>0</v>
          </cell>
          <cell r="T600">
            <v>8930</v>
          </cell>
          <cell r="U600">
            <v>0</v>
          </cell>
        </row>
        <row r="601">
          <cell r="D601">
            <v>8940</v>
          </cell>
          <cell r="E601" t="str">
            <v>少数股东权益_综合收益总额增加权益</v>
          </cell>
          <cell r="F601">
            <v>0</v>
          </cell>
          <cell r="G601">
            <v>0</v>
          </cell>
          <cell r="H601">
            <v>0</v>
          </cell>
          <cell r="I601">
            <v>0</v>
          </cell>
          <cell r="J601">
            <v>0</v>
          </cell>
          <cell r="K601">
            <v>0</v>
          </cell>
          <cell r="L601">
            <v>0</v>
          </cell>
          <cell r="M601">
            <v>0</v>
          </cell>
          <cell r="T601">
            <v>8940</v>
          </cell>
          <cell r="U601">
            <v>0</v>
          </cell>
        </row>
        <row r="602">
          <cell r="D602">
            <v>8950</v>
          </cell>
          <cell r="E602" t="str">
            <v>少数股东权益_所有者投入和减少资本影响权益</v>
          </cell>
          <cell r="F602">
            <v>0</v>
          </cell>
          <cell r="G602">
            <v>0</v>
          </cell>
          <cell r="H602">
            <v>0</v>
          </cell>
          <cell r="I602">
            <v>0</v>
          </cell>
          <cell r="J602">
            <v>0</v>
          </cell>
          <cell r="K602">
            <v>0</v>
          </cell>
          <cell r="L602">
            <v>0</v>
          </cell>
          <cell r="M602">
            <v>0</v>
          </cell>
          <cell r="T602">
            <v>8950</v>
          </cell>
          <cell r="U602">
            <v>0</v>
          </cell>
        </row>
        <row r="603">
          <cell r="D603">
            <v>8951</v>
          </cell>
          <cell r="E603" t="str">
            <v>少数股东权益_所有者投入资本</v>
          </cell>
          <cell r="F603">
            <v>0</v>
          </cell>
          <cell r="G603">
            <v>0</v>
          </cell>
          <cell r="H603">
            <v>0</v>
          </cell>
          <cell r="I603">
            <v>0</v>
          </cell>
          <cell r="J603">
            <v>0</v>
          </cell>
          <cell r="K603">
            <v>0</v>
          </cell>
          <cell r="L603">
            <v>0</v>
          </cell>
          <cell r="M603">
            <v>0</v>
          </cell>
          <cell r="T603">
            <v>8951</v>
          </cell>
          <cell r="U603">
            <v>0</v>
          </cell>
        </row>
        <row r="604">
          <cell r="D604">
            <v>8953</v>
          </cell>
          <cell r="E604" t="str">
            <v>少数股东权益_其他权益工具持有者投入资本</v>
          </cell>
          <cell r="F604">
            <v>0</v>
          </cell>
          <cell r="G604">
            <v>0</v>
          </cell>
          <cell r="H604">
            <v>0</v>
          </cell>
          <cell r="I604">
            <v>0</v>
          </cell>
          <cell r="J604">
            <v>0</v>
          </cell>
          <cell r="K604">
            <v>0</v>
          </cell>
          <cell r="L604">
            <v>0</v>
          </cell>
          <cell r="M604">
            <v>0</v>
          </cell>
          <cell r="T604">
            <v>8953</v>
          </cell>
          <cell r="U604">
            <v>0</v>
          </cell>
        </row>
        <row r="605">
          <cell r="D605">
            <v>8952</v>
          </cell>
          <cell r="E605" t="str">
            <v>少数股东权益_股份支付</v>
          </cell>
          <cell r="F605">
            <v>0</v>
          </cell>
          <cell r="G605">
            <v>0</v>
          </cell>
          <cell r="H605">
            <v>0</v>
          </cell>
          <cell r="I605">
            <v>0</v>
          </cell>
          <cell r="J605">
            <v>0</v>
          </cell>
          <cell r="K605">
            <v>0</v>
          </cell>
          <cell r="L605">
            <v>0</v>
          </cell>
          <cell r="M605">
            <v>0</v>
          </cell>
          <cell r="T605">
            <v>8952</v>
          </cell>
          <cell r="U605">
            <v>0</v>
          </cell>
        </row>
        <row r="606">
          <cell r="D606">
            <v>8956</v>
          </cell>
          <cell r="E606" t="str">
            <v>少数股东权益_所有者其他投入和减少资本</v>
          </cell>
          <cell r="F606">
            <v>0</v>
          </cell>
          <cell r="G606">
            <v>0</v>
          </cell>
          <cell r="H606">
            <v>0</v>
          </cell>
          <cell r="I606">
            <v>0</v>
          </cell>
          <cell r="J606">
            <v>0</v>
          </cell>
          <cell r="K606">
            <v>0</v>
          </cell>
          <cell r="L606">
            <v>0</v>
          </cell>
          <cell r="M606">
            <v>0</v>
          </cell>
          <cell r="T606">
            <v>8956</v>
          </cell>
          <cell r="U606">
            <v>0</v>
          </cell>
        </row>
        <row r="607">
          <cell r="D607">
            <v>8960</v>
          </cell>
          <cell r="E607" t="str">
            <v>少数股东权益_利润分配影响权益</v>
          </cell>
          <cell r="F607">
            <v>0</v>
          </cell>
          <cell r="G607">
            <v>0</v>
          </cell>
          <cell r="H607">
            <v>0</v>
          </cell>
          <cell r="I607">
            <v>0</v>
          </cell>
          <cell r="J607">
            <v>0</v>
          </cell>
          <cell r="K607">
            <v>0</v>
          </cell>
          <cell r="L607">
            <v>0</v>
          </cell>
          <cell r="M607">
            <v>0</v>
          </cell>
          <cell r="T607">
            <v>8960</v>
          </cell>
          <cell r="U607">
            <v>0</v>
          </cell>
        </row>
        <row r="608">
          <cell r="D608">
            <v>8961</v>
          </cell>
          <cell r="E608" t="str">
            <v>少数股东权益_提取盈余公积影响权益</v>
          </cell>
          <cell r="F608">
            <v>0</v>
          </cell>
          <cell r="G608">
            <v>0</v>
          </cell>
          <cell r="H608">
            <v>0</v>
          </cell>
          <cell r="I608">
            <v>0</v>
          </cell>
          <cell r="J608">
            <v>0</v>
          </cell>
          <cell r="K608">
            <v>0</v>
          </cell>
          <cell r="L608">
            <v>0</v>
          </cell>
          <cell r="M608">
            <v>0</v>
          </cell>
          <cell r="T608">
            <v>8961</v>
          </cell>
          <cell r="U608">
            <v>0</v>
          </cell>
        </row>
        <row r="609">
          <cell r="D609">
            <v>8962</v>
          </cell>
          <cell r="E609" t="str">
            <v>少数股东权益_提取一般风险准备影响权益</v>
          </cell>
          <cell r="F609">
            <v>0</v>
          </cell>
          <cell r="G609">
            <v>0</v>
          </cell>
          <cell r="H609">
            <v>0</v>
          </cell>
          <cell r="I609">
            <v>0</v>
          </cell>
          <cell r="J609">
            <v>0</v>
          </cell>
          <cell r="K609">
            <v>0</v>
          </cell>
          <cell r="L609">
            <v>0</v>
          </cell>
          <cell r="M609">
            <v>0</v>
          </cell>
          <cell r="T609">
            <v>8962</v>
          </cell>
          <cell r="U609">
            <v>0</v>
          </cell>
        </row>
        <row r="610">
          <cell r="D610">
            <v>8963</v>
          </cell>
          <cell r="E610" t="str">
            <v>少数股东权益_对所有者的分配</v>
          </cell>
          <cell r="F610">
            <v>0</v>
          </cell>
          <cell r="G610">
            <v>0</v>
          </cell>
          <cell r="H610">
            <v>0</v>
          </cell>
          <cell r="I610">
            <v>0</v>
          </cell>
          <cell r="J610">
            <v>0</v>
          </cell>
          <cell r="K610">
            <v>0</v>
          </cell>
          <cell r="L610">
            <v>0</v>
          </cell>
          <cell r="M610">
            <v>0</v>
          </cell>
          <cell r="T610">
            <v>8963</v>
          </cell>
          <cell r="U610">
            <v>0</v>
          </cell>
        </row>
        <row r="611">
          <cell r="D611">
            <v>8966</v>
          </cell>
          <cell r="E611" t="str">
            <v>少数股东权益_其他利润分配</v>
          </cell>
          <cell r="F611">
            <v>0</v>
          </cell>
          <cell r="G611">
            <v>0</v>
          </cell>
          <cell r="H611">
            <v>0</v>
          </cell>
          <cell r="I611">
            <v>0</v>
          </cell>
          <cell r="J611">
            <v>0</v>
          </cell>
          <cell r="K611">
            <v>0</v>
          </cell>
          <cell r="L611">
            <v>0</v>
          </cell>
          <cell r="M611">
            <v>0</v>
          </cell>
          <cell r="T611">
            <v>8966</v>
          </cell>
          <cell r="U611">
            <v>0</v>
          </cell>
        </row>
        <row r="612">
          <cell r="D612">
            <v>8970</v>
          </cell>
          <cell r="E612" t="str">
            <v>少数股东权益_所有者权益内部结转</v>
          </cell>
          <cell r="F612">
            <v>0</v>
          </cell>
          <cell r="G612">
            <v>0</v>
          </cell>
          <cell r="H612">
            <v>0</v>
          </cell>
          <cell r="I612">
            <v>0</v>
          </cell>
          <cell r="J612">
            <v>0</v>
          </cell>
          <cell r="K612">
            <v>0</v>
          </cell>
          <cell r="L612">
            <v>0</v>
          </cell>
          <cell r="M612">
            <v>0</v>
          </cell>
          <cell r="T612">
            <v>8970</v>
          </cell>
          <cell r="U612">
            <v>0</v>
          </cell>
        </row>
        <row r="613">
          <cell r="D613">
            <v>8971</v>
          </cell>
          <cell r="E613" t="str">
            <v>少数股东权益_资本公积转增资本影响权益</v>
          </cell>
          <cell r="F613">
            <v>0</v>
          </cell>
          <cell r="G613">
            <v>0</v>
          </cell>
          <cell r="H613">
            <v>0</v>
          </cell>
          <cell r="I613">
            <v>0</v>
          </cell>
          <cell r="J613">
            <v>0</v>
          </cell>
          <cell r="K613">
            <v>0</v>
          </cell>
          <cell r="L613">
            <v>0</v>
          </cell>
          <cell r="M613">
            <v>0</v>
          </cell>
          <cell r="T613">
            <v>8971</v>
          </cell>
          <cell r="U613">
            <v>0</v>
          </cell>
        </row>
        <row r="614">
          <cell r="D614">
            <v>8972</v>
          </cell>
          <cell r="E614" t="str">
            <v>少数股东权益_盈余公积转增资本影响权益</v>
          </cell>
          <cell r="F614">
            <v>0</v>
          </cell>
          <cell r="G614">
            <v>0</v>
          </cell>
          <cell r="H614">
            <v>0</v>
          </cell>
          <cell r="I614">
            <v>0</v>
          </cell>
          <cell r="J614">
            <v>0</v>
          </cell>
          <cell r="K614">
            <v>0</v>
          </cell>
          <cell r="L614">
            <v>0</v>
          </cell>
          <cell r="M614">
            <v>0</v>
          </cell>
          <cell r="T614">
            <v>8972</v>
          </cell>
          <cell r="U614">
            <v>0</v>
          </cell>
        </row>
        <row r="615">
          <cell r="D615">
            <v>8973</v>
          </cell>
          <cell r="E615" t="str">
            <v>少数股东权益_盈余公积弥补亏损影响权益</v>
          </cell>
          <cell r="F615">
            <v>0</v>
          </cell>
          <cell r="G615">
            <v>0</v>
          </cell>
          <cell r="H615">
            <v>0</v>
          </cell>
          <cell r="I615">
            <v>0</v>
          </cell>
          <cell r="J615">
            <v>0</v>
          </cell>
          <cell r="K615">
            <v>0</v>
          </cell>
          <cell r="L615">
            <v>0</v>
          </cell>
          <cell r="M615">
            <v>0</v>
          </cell>
          <cell r="T615">
            <v>8973</v>
          </cell>
          <cell r="U615">
            <v>0</v>
          </cell>
        </row>
        <row r="616">
          <cell r="D616">
            <v>8975</v>
          </cell>
          <cell r="E616" t="str">
            <v>少数股东权益_设定受益计划变动额结转留存收益</v>
          </cell>
          <cell r="F616">
            <v>0</v>
          </cell>
          <cell r="G616">
            <v>0</v>
          </cell>
          <cell r="H616">
            <v>0</v>
          </cell>
          <cell r="I616">
            <v>0</v>
          </cell>
          <cell r="J616">
            <v>0</v>
          </cell>
          <cell r="K616">
            <v>0</v>
          </cell>
          <cell r="L616">
            <v>0</v>
          </cell>
          <cell r="M616">
            <v>0</v>
          </cell>
          <cell r="T616">
            <v>8975</v>
          </cell>
          <cell r="U616">
            <v>0</v>
          </cell>
        </row>
        <row r="617">
          <cell r="D617">
            <v>8976</v>
          </cell>
          <cell r="E617" t="str">
            <v>少数股东权益_所有者权益其他内部结转</v>
          </cell>
          <cell r="F617">
            <v>0</v>
          </cell>
          <cell r="G617">
            <v>0</v>
          </cell>
          <cell r="H617">
            <v>0</v>
          </cell>
          <cell r="I617">
            <v>0</v>
          </cell>
          <cell r="J617">
            <v>0</v>
          </cell>
          <cell r="K617">
            <v>0</v>
          </cell>
          <cell r="L617">
            <v>0</v>
          </cell>
          <cell r="M617">
            <v>0</v>
          </cell>
          <cell r="T617">
            <v>8976</v>
          </cell>
          <cell r="U617">
            <v>0</v>
          </cell>
        </row>
        <row r="618">
          <cell r="D618">
            <v>8980</v>
          </cell>
          <cell r="E618" t="str">
            <v>少数股东权益_专项储备影响权益</v>
          </cell>
          <cell r="F618">
            <v>0</v>
          </cell>
          <cell r="G618">
            <v>0</v>
          </cell>
          <cell r="H618">
            <v>0</v>
          </cell>
          <cell r="I618">
            <v>0</v>
          </cell>
          <cell r="J618">
            <v>0</v>
          </cell>
          <cell r="K618">
            <v>0</v>
          </cell>
          <cell r="L618">
            <v>0</v>
          </cell>
          <cell r="M618">
            <v>0</v>
          </cell>
          <cell r="T618">
            <v>8980</v>
          </cell>
          <cell r="U618">
            <v>0</v>
          </cell>
        </row>
        <row r="619">
          <cell r="D619">
            <v>8981</v>
          </cell>
          <cell r="E619" t="str">
            <v>少数股东权益_专项储备本期提取</v>
          </cell>
          <cell r="F619">
            <v>0</v>
          </cell>
          <cell r="G619">
            <v>0</v>
          </cell>
          <cell r="H619">
            <v>0</v>
          </cell>
          <cell r="I619">
            <v>0</v>
          </cell>
          <cell r="J619">
            <v>0</v>
          </cell>
          <cell r="K619">
            <v>0</v>
          </cell>
          <cell r="L619">
            <v>0</v>
          </cell>
          <cell r="M619">
            <v>0</v>
          </cell>
          <cell r="T619">
            <v>8981</v>
          </cell>
          <cell r="U619">
            <v>0</v>
          </cell>
        </row>
        <row r="620">
          <cell r="D620">
            <v>8982</v>
          </cell>
          <cell r="E620" t="str">
            <v>少数股东权益_专项储备本期使用</v>
          </cell>
          <cell r="F620">
            <v>0</v>
          </cell>
          <cell r="G620">
            <v>0</v>
          </cell>
          <cell r="H620">
            <v>0</v>
          </cell>
          <cell r="I620">
            <v>0</v>
          </cell>
          <cell r="J620">
            <v>0</v>
          </cell>
          <cell r="K620">
            <v>0</v>
          </cell>
          <cell r="L620">
            <v>0</v>
          </cell>
          <cell r="M620">
            <v>0</v>
          </cell>
          <cell r="T620">
            <v>8982</v>
          </cell>
          <cell r="U620">
            <v>0</v>
          </cell>
        </row>
        <row r="621">
          <cell r="D621">
            <v>8996</v>
          </cell>
          <cell r="E621" t="str">
            <v>少数股东权益_本期其他增减变动</v>
          </cell>
          <cell r="F621">
            <v>0</v>
          </cell>
          <cell r="G621">
            <v>0</v>
          </cell>
          <cell r="H621">
            <v>0</v>
          </cell>
          <cell r="I621">
            <v>0</v>
          </cell>
          <cell r="J621">
            <v>0</v>
          </cell>
          <cell r="K621">
            <v>0</v>
          </cell>
          <cell r="L621">
            <v>0</v>
          </cell>
          <cell r="M621">
            <v>0</v>
          </cell>
          <cell r="T621">
            <v>8996</v>
          </cell>
          <cell r="U621">
            <v>0</v>
          </cell>
        </row>
        <row r="622">
          <cell r="D622">
            <v>8999</v>
          </cell>
          <cell r="E622" t="str">
            <v>少数股东权益_本期期末余额</v>
          </cell>
          <cell r="F622">
            <v>0</v>
          </cell>
          <cell r="G622">
            <v>0</v>
          </cell>
          <cell r="H622">
            <v>0</v>
          </cell>
          <cell r="I622">
            <v>0</v>
          </cell>
          <cell r="J622">
            <v>0</v>
          </cell>
          <cell r="K622">
            <v>0</v>
          </cell>
          <cell r="L622">
            <v>0</v>
          </cell>
          <cell r="M622">
            <v>0</v>
          </cell>
          <cell r="T622">
            <v>8999</v>
          </cell>
          <cell r="U622">
            <v>0</v>
          </cell>
        </row>
        <row r="623">
          <cell r="D623">
            <v>7</v>
          </cell>
          <cell r="E623" t="str">
            <v>现金流量表</v>
          </cell>
          <cell r="T623">
            <v>7</v>
          </cell>
        </row>
        <row r="624">
          <cell r="D624">
            <v>7000</v>
          </cell>
          <cell r="E624" t="str">
            <v>经营活动现金流量项目</v>
          </cell>
          <cell r="T624">
            <v>7000</v>
          </cell>
        </row>
        <row r="625">
          <cell r="D625">
            <v>7001</v>
          </cell>
          <cell r="E625" t="str">
            <v>销售商品提供劳务收到的现金</v>
          </cell>
          <cell r="F625">
            <v>125637670.59</v>
          </cell>
          <cell r="G625">
            <v>0</v>
          </cell>
          <cell r="H625">
            <v>0</v>
          </cell>
          <cell r="I625">
            <v>125637670.59</v>
          </cell>
          <cell r="J625">
            <v>391616125.20999998</v>
          </cell>
          <cell r="M625">
            <v>391616125.20999998</v>
          </cell>
          <cell r="T625">
            <v>7001</v>
          </cell>
          <cell r="U625">
            <v>391616125.20999998</v>
          </cell>
        </row>
        <row r="626">
          <cell r="D626">
            <v>7011</v>
          </cell>
          <cell r="E626" t="str">
            <v>客户存款和同业存放款项净增加额</v>
          </cell>
          <cell r="F626">
            <v>0</v>
          </cell>
          <cell r="G626">
            <v>0</v>
          </cell>
          <cell r="H626">
            <v>0</v>
          </cell>
          <cell r="I626">
            <v>0</v>
          </cell>
          <cell r="J626">
            <v>0</v>
          </cell>
          <cell r="M626">
            <v>0</v>
          </cell>
          <cell r="T626">
            <v>7011</v>
          </cell>
          <cell r="U626">
            <v>0</v>
          </cell>
        </row>
        <row r="627">
          <cell r="D627">
            <v>7012</v>
          </cell>
          <cell r="E627" t="str">
            <v>向中央银行借款净增加额</v>
          </cell>
          <cell r="F627">
            <v>0</v>
          </cell>
          <cell r="G627">
            <v>0</v>
          </cell>
          <cell r="H627">
            <v>0</v>
          </cell>
          <cell r="I627">
            <v>0</v>
          </cell>
          <cell r="J627">
            <v>0</v>
          </cell>
          <cell r="M627">
            <v>0</v>
          </cell>
          <cell r="T627">
            <v>7012</v>
          </cell>
          <cell r="U627">
            <v>0</v>
          </cell>
        </row>
        <row r="628">
          <cell r="D628">
            <v>7013</v>
          </cell>
          <cell r="E628" t="str">
            <v>向其他金融机构拆入资金净增加额</v>
          </cell>
          <cell r="F628">
            <v>0</v>
          </cell>
          <cell r="G628">
            <v>0</v>
          </cell>
          <cell r="H628">
            <v>0</v>
          </cell>
          <cell r="I628">
            <v>0</v>
          </cell>
          <cell r="J628">
            <v>0</v>
          </cell>
          <cell r="M628">
            <v>0</v>
          </cell>
          <cell r="T628">
            <v>7013</v>
          </cell>
          <cell r="U628">
            <v>0</v>
          </cell>
        </row>
        <row r="629">
          <cell r="D629">
            <v>7014</v>
          </cell>
          <cell r="E629" t="str">
            <v>收到原保险合同保费取得的现金</v>
          </cell>
          <cell r="F629">
            <v>0</v>
          </cell>
          <cell r="G629">
            <v>0</v>
          </cell>
          <cell r="H629">
            <v>0</v>
          </cell>
          <cell r="I629">
            <v>0</v>
          </cell>
          <cell r="J629">
            <v>0</v>
          </cell>
          <cell r="M629">
            <v>0</v>
          </cell>
          <cell r="T629">
            <v>7014</v>
          </cell>
          <cell r="U629">
            <v>0</v>
          </cell>
        </row>
        <row r="630">
          <cell r="D630">
            <v>7015</v>
          </cell>
          <cell r="E630" t="str">
            <v>收到再保险业务现金净额</v>
          </cell>
          <cell r="F630">
            <v>0</v>
          </cell>
          <cell r="G630">
            <v>0</v>
          </cell>
          <cell r="H630">
            <v>0</v>
          </cell>
          <cell r="I630">
            <v>0</v>
          </cell>
          <cell r="J630">
            <v>0</v>
          </cell>
          <cell r="M630">
            <v>0</v>
          </cell>
          <cell r="T630">
            <v>7015</v>
          </cell>
          <cell r="U630">
            <v>0</v>
          </cell>
        </row>
        <row r="631">
          <cell r="D631">
            <v>7016</v>
          </cell>
          <cell r="E631" t="str">
            <v>保户储金及投资款净增加额</v>
          </cell>
          <cell r="F631">
            <v>0</v>
          </cell>
          <cell r="G631">
            <v>0</v>
          </cell>
          <cell r="H631">
            <v>0</v>
          </cell>
          <cell r="I631">
            <v>0</v>
          </cell>
          <cell r="J631">
            <v>0</v>
          </cell>
          <cell r="M631">
            <v>0</v>
          </cell>
          <cell r="T631">
            <v>7016</v>
          </cell>
          <cell r="U631">
            <v>0</v>
          </cell>
        </row>
        <row r="632">
          <cell r="D632">
            <v>7021</v>
          </cell>
          <cell r="E632" t="str">
            <v>处置交易性金融资产净增加额</v>
          </cell>
          <cell r="F632">
            <v>0</v>
          </cell>
          <cell r="G632">
            <v>0</v>
          </cell>
          <cell r="H632">
            <v>0</v>
          </cell>
          <cell r="I632">
            <v>0</v>
          </cell>
          <cell r="J632">
            <v>0</v>
          </cell>
          <cell r="M632">
            <v>0</v>
          </cell>
          <cell r="T632">
            <v>7021</v>
          </cell>
          <cell r="U632">
            <v>0</v>
          </cell>
        </row>
        <row r="633">
          <cell r="D633">
            <v>7023</v>
          </cell>
          <cell r="E633" t="str">
            <v>收取利息手续费及佣金的现金</v>
          </cell>
          <cell r="F633">
            <v>0</v>
          </cell>
          <cell r="G633">
            <v>0</v>
          </cell>
          <cell r="H633">
            <v>0</v>
          </cell>
          <cell r="I633">
            <v>0</v>
          </cell>
          <cell r="J633">
            <v>0</v>
          </cell>
          <cell r="M633">
            <v>0</v>
          </cell>
          <cell r="T633">
            <v>7023</v>
          </cell>
          <cell r="U633">
            <v>0</v>
          </cell>
        </row>
        <row r="634">
          <cell r="D634">
            <v>7025</v>
          </cell>
          <cell r="E634" t="str">
            <v>拆入资金净增加额</v>
          </cell>
          <cell r="F634">
            <v>0</v>
          </cell>
          <cell r="G634">
            <v>0</v>
          </cell>
          <cell r="H634">
            <v>0</v>
          </cell>
          <cell r="I634">
            <v>0</v>
          </cell>
          <cell r="J634">
            <v>0</v>
          </cell>
          <cell r="M634">
            <v>0</v>
          </cell>
          <cell r="T634">
            <v>7025</v>
          </cell>
          <cell r="U634">
            <v>0</v>
          </cell>
        </row>
        <row r="635">
          <cell r="D635">
            <v>7026</v>
          </cell>
          <cell r="E635" t="str">
            <v>回购业务资金净增加额</v>
          </cell>
          <cell r="F635">
            <v>0</v>
          </cell>
          <cell r="G635">
            <v>0</v>
          </cell>
          <cell r="H635">
            <v>0</v>
          </cell>
          <cell r="I635">
            <v>0</v>
          </cell>
          <cell r="J635">
            <v>0</v>
          </cell>
          <cell r="M635">
            <v>0</v>
          </cell>
          <cell r="T635">
            <v>7026</v>
          </cell>
          <cell r="U635">
            <v>0</v>
          </cell>
        </row>
        <row r="636">
          <cell r="D636">
            <v>7031</v>
          </cell>
          <cell r="E636" t="str">
            <v>收到的税费返还</v>
          </cell>
          <cell r="F636">
            <v>0</v>
          </cell>
          <cell r="G636">
            <v>0</v>
          </cell>
          <cell r="H636">
            <v>0</v>
          </cell>
          <cell r="I636">
            <v>0</v>
          </cell>
          <cell r="J636">
            <v>0</v>
          </cell>
          <cell r="M636">
            <v>0</v>
          </cell>
          <cell r="T636">
            <v>7031</v>
          </cell>
          <cell r="U636">
            <v>0</v>
          </cell>
        </row>
        <row r="637">
          <cell r="D637">
            <v>7046</v>
          </cell>
          <cell r="E637" t="str">
            <v>收到其他与经营活动有关的现金</v>
          </cell>
          <cell r="F637">
            <v>1009248.62</v>
          </cell>
          <cell r="G637">
            <v>0</v>
          </cell>
          <cell r="H637">
            <v>0</v>
          </cell>
          <cell r="I637">
            <v>1009248.62</v>
          </cell>
          <cell r="J637">
            <v>14091863.050000001</v>
          </cell>
          <cell r="M637">
            <v>14091863.050000001</v>
          </cell>
          <cell r="T637">
            <v>7046</v>
          </cell>
          <cell r="U637">
            <v>14091863.050000001</v>
          </cell>
        </row>
        <row r="638">
          <cell r="D638">
            <v>7048</v>
          </cell>
          <cell r="E638" t="str">
            <v>经营活动现金流入</v>
          </cell>
          <cell r="F638">
            <v>126646919.20999999</v>
          </cell>
          <cell r="G638">
            <v>0</v>
          </cell>
          <cell r="H638">
            <v>0</v>
          </cell>
          <cell r="I638">
            <v>126646919.20999999</v>
          </cell>
          <cell r="J638">
            <v>405707988.25999999</v>
          </cell>
          <cell r="K638">
            <v>0</v>
          </cell>
          <cell r="L638">
            <v>0</v>
          </cell>
          <cell r="M638">
            <v>405707988.25999999</v>
          </cell>
          <cell r="T638">
            <v>7048</v>
          </cell>
          <cell r="U638">
            <v>405707988.25999999</v>
          </cell>
        </row>
        <row r="639">
          <cell r="D639">
            <v>7051</v>
          </cell>
          <cell r="E639" t="str">
            <v>购买商品接受劳务支付的现金</v>
          </cell>
          <cell r="F639">
            <v>150439544.69999999</v>
          </cell>
          <cell r="G639">
            <v>0</v>
          </cell>
          <cell r="H639">
            <v>0</v>
          </cell>
          <cell r="I639">
            <v>150439544.69999999</v>
          </cell>
          <cell r="J639">
            <v>301625485.38999999</v>
          </cell>
          <cell r="M639">
            <v>301625485.38999999</v>
          </cell>
          <cell r="T639">
            <v>7051</v>
          </cell>
          <cell r="U639">
            <v>301625485.38999999</v>
          </cell>
        </row>
        <row r="640">
          <cell r="D640">
            <v>7053</v>
          </cell>
          <cell r="E640" t="str">
            <v>客户贷款及垫款净增加额</v>
          </cell>
          <cell r="F640">
            <v>0</v>
          </cell>
          <cell r="G640">
            <v>0</v>
          </cell>
          <cell r="H640">
            <v>0</v>
          </cell>
          <cell r="I640">
            <v>0</v>
          </cell>
          <cell r="J640">
            <v>0</v>
          </cell>
          <cell r="M640">
            <v>0</v>
          </cell>
          <cell r="T640">
            <v>7053</v>
          </cell>
          <cell r="U640">
            <v>0</v>
          </cell>
        </row>
        <row r="641">
          <cell r="D641">
            <v>7054</v>
          </cell>
          <cell r="E641" t="str">
            <v>存放中央银行和同业款项净增加额</v>
          </cell>
          <cell r="F641">
            <v>0</v>
          </cell>
          <cell r="G641">
            <v>0</v>
          </cell>
          <cell r="H641">
            <v>0</v>
          </cell>
          <cell r="I641">
            <v>0</v>
          </cell>
          <cell r="J641">
            <v>0</v>
          </cell>
          <cell r="M641">
            <v>0</v>
          </cell>
          <cell r="T641">
            <v>7054</v>
          </cell>
          <cell r="U641">
            <v>0</v>
          </cell>
        </row>
        <row r="642">
          <cell r="D642">
            <v>7055</v>
          </cell>
          <cell r="E642" t="str">
            <v>支付原保险合同赔付款项的现金</v>
          </cell>
          <cell r="F642">
            <v>0</v>
          </cell>
          <cell r="G642">
            <v>0</v>
          </cell>
          <cell r="H642">
            <v>0</v>
          </cell>
          <cell r="I642">
            <v>0</v>
          </cell>
          <cell r="J642">
            <v>0</v>
          </cell>
          <cell r="M642">
            <v>0</v>
          </cell>
          <cell r="T642">
            <v>7055</v>
          </cell>
          <cell r="U642">
            <v>0</v>
          </cell>
        </row>
        <row r="643">
          <cell r="D643">
            <v>7056</v>
          </cell>
          <cell r="E643" t="str">
            <v>支付利息手续费及佣金的现金</v>
          </cell>
          <cell r="F643">
            <v>0</v>
          </cell>
          <cell r="G643">
            <v>0</v>
          </cell>
          <cell r="H643">
            <v>0</v>
          </cell>
          <cell r="I643">
            <v>0</v>
          </cell>
          <cell r="J643">
            <v>0</v>
          </cell>
          <cell r="M643">
            <v>0</v>
          </cell>
          <cell r="T643">
            <v>7056</v>
          </cell>
          <cell r="U643">
            <v>0</v>
          </cell>
        </row>
        <row r="644">
          <cell r="D644">
            <v>7057</v>
          </cell>
          <cell r="E644" t="str">
            <v>支付保单红利的现金</v>
          </cell>
          <cell r="F644">
            <v>0</v>
          </cell>
          <cell r="G644">
            <v>0</v>
          </cell>
          <cell r="H644">
            <v>0</v>
          </cell>
          <cell r="I644">
            <v>0</v>
          </cell>
          <cell r="J644">
            <v>0</v>
          </cell>
          <cell r="M644">
            <v>0</v>
          </cell>
          <cell r="T644">
            <v>7057</v>
          </cell>
          <cell r="U644">
            <v>0</v>
          </cell>
        </row>
        <row r="645">
          <cell r="D645">
            <v>7061</v>
          </cell>
          <cell r="E645" t="str">
            <v>支付给职工以及为职工支付的现金</v>
          </cell>
          <cell r="F645">
            <v>25817090.350000001</v>
          </cell>
          <cell r="G645">
            <v>0</v>
          </cell>
          <cell r="H645">
            <v>0</v>
          </cell>
          <cell r="I645">
            <v>25817090.350000001</v>
          </cell>
          <cell r="J645">
            <v>45991416.079999998</v>
          </cell>
          <cell r="M645">
            <v>45991416.079999998</v>
          </cell>
          <cell r="T645">
            <v>7061</v>
          </cell>
          <cell r="U645">
            <v>45991416.079999998</v>
          </cell>
        </row>
        <row r="646">
          <cell r="D646">
            <v>7071</v>
          </cell>
          <cell r="E646" t="str">
            <v>支付的各项税费</v>
          </cell>
          <cell r="F646">
            <v>502480.28</v>
          </cell>
          <cell r="G646">
            <v>0</v>
          </cell>
          <cell r="H646">
            <v>0</v>
          </cell>
          <cell r="I646">
            <v>502480.28</v>
          </cell>
          <cell r="J646">
            <v>31214180.52</v>
          </cell>
          <cell r="M646">
            <v>31214180.52</v>
          </cell>
          <cell r="T646">
            <v>7071</v>
          </cell>
          <cell r="U646">
            <v>31214180.52</v>
          </cell>
        </row>
        <row r="647">
          <cell r="D647">
            <v>7096</v>
          </cell>
          <cell r="E647" t="str">
            <v>支付其他与经营活动有关的现金</v>
          </cell>
          <cell r="F647">
            <v>60119938.380000003</v>
          </cell>
          <cell r="G647">
            <v>0</v>
          </cell>
          <cell r="H647">
            <v>0</v>
          </cell>
          <cell r="I647">
            <v>60119938.380000003</v>
          </cell>
          <cell r="J647">
            <v>73666459.489999995</v>
          </cell>
          <cell r="M647">
            <v>73666459.489999995</v>
          </cell>
          <cell r="T647">
            <v>7096</v>
          </cell>
          <cell r="U647">
            <v>73666459.489999995</v>
          </cell>
        </row>
        <row r="648">
          <cell r="D648">
            <v>7098</v>
          </cell>
          <cell r="E648" t="str">
            <v>经营活动现金流出</v>
          </cell>
          <cell r="F648">
            <v>236879053.71000001</v>
          </cell>
          <cell r="G648">
            <v>0</v>
          </cell>
          <cell r="H648">
            <v>0</v>
          </cell>
          <cell r="I648">
            <v>236879053.71000001</v>
          </cell>
          <cell r="J648">
            <v>452497541.48000002</v>
          </cell>
          <cell r="K648">
            <v>0</v>
          </cell>
          <cell r="L648">
            <v>0</v>
          </cell>
          <cell r="M648">
            <v>452497541.48000002</v>
          </cell>
          <cell r="T648">
            <v>7098</v>
          </cell>
          <cell r="U648">
            <v>452497541.48000002</v>
          </cell>
        </row>
        <row r="649">
          <cell r="D649">
            <v>7099</v>
          </cell>
          <cell r="E649" t="str">
            <v>经营活动产生的现金流量净额</v>
          </cell>
          <cell r="F649">
            <v>-110232134.5</v>
          </cell>
          <cell r="G649">
            <v>0</v>
          </cell>
          <cell r="H649">
            <v>0</v>
          </cell>
          <cell r="I649">
            <v>-110232134.5</v>
          </cell>
          <cell r="J649">
            <v>-46789553.219999999</v>
          </cell>
          <cell r="K649">
            <v>0</v>
          </cell>
          <cell r="L649">
            <v>0</v>
          </cell>
          <cell r="M649">
            <v>-46789553.219999999</v>
          </cell>
          <cell r="T649">
            <v>7099</v>
          </cell>
          <cell r="U649">
            <v>-46789553.219999999</v>
          </cell>
        </row>
        <row r="650">
          <cell r="D650">
            <v>7100</v>
          </cell>
          <cell r="E650" t="str">
            <v>投资活动现金流量项目</v>
          </cell>
          <cell r="F650">
            <v>0</v>
          </cell>
          <cell r="G650">
            <v>0</v>
          </cell>
          <cell r="H650">
            <v>0</v>
          </cell>
          <cell r="I650">
            <v>0</v>
          </cell>
          <cell r="J650">
            <v>0</v>
          </cell>
          <cell r="M650">
            <v>0</v>
          </cell>
          <cell r="T650">
            <v>7100</v>
          </cell>
          <cell r="U650">
            <v>0</v>
          </cell>
        </row>
        <row r="651">
          <cell r="D651">
            <v>7101</v>
          </cell>
          <cell r="E651" t="str">
            <v>收回投资收到的现金</v>
          </cell>
          <cell r="F651">
            <v>0</v>
          </cell>
          <cell r="G651">
            <v>0</v>
          </cell>
          <cell r="H651">
            <v>0</v>
          </cell>
          <cell r="I651">
            <v>0</v>
          </cell>
          <cell r="J651">
            <v>104990000</v>
          </cell>
          <cell r="M651">
            <v>104990000</v>
          </cell>
          <cell r="T651">
            <v>7101</v>
          </cell>
          <cell r="U651">
            <v>104990000</v>
          </cell>
        </row>
        <row r="652">
          <cell r="D652">
            <v>7105</v>
          </cell>
          <cell r="E652" t="str">
            <v>取得投资收益收到的现金</v>
          </cell>
          <cell r="F652">
            <v>487100.02</v>
          </cell>
          <cell r="G652">
            <v>0</v>
          </cell>
          <cell r="H652">
            <v>0</v>
          </cell>
          <cell r="I652">
            <v>487100.02</v>
          </cell>
          <cell r="J652">
            <v>902178.35</v>
          </cell>
          <cell r="M652">
            <v>902178.35</v>
          </cell>
          <cell r="T652">
            <v>7105</v>
          </cell>
          <cell r="U652">
            <v>902178.35</v>
          </cell>
        </row>
        <row r="653">
          <cell r="D653">
            <v>7111</v>
          </cell>
          <cell r="E653" t="str">
            <v>处置固定资产无形资产长期资产收回的现金</v>
          </cell>
          <cell r="F653">
            <v>129290.57</v>
          </cell>
          <cell r="G653">
            <v>0</v>
          </cell>
          <cell r="H653">
            <v>0</v>
          </cell>
          <cell r="I653">
            <v>129290.57</v>
          </cell>
          <cell r="J653">
            <v>0</v>
          </cell>
          <cell r="M653">
            <v>0</v>
          </cell>
          <cell r="T653">
            <v>7111</v>
          </cell>
          <cell r="U653">
            <v>0</v>
          </cell>
        </row>
        <row r="654">
          <cell r="D654">
            <v>7121</v>
          </cell>
          <cell r="E654" t="str">
            <v>处置子公司及其他营业单位收到的现金净额</v>
          </cell>
          <cell r="F654">
            <v>0</v>
          </cell>
          <cell r="G654">
            <v>0</v>
          </cell>
          <cell r="H654">
            <v>0</v>
          </cell>
          <cell r="I654">
            <v>0</v>
          </cell>
          <cell r="J654">
            <v>0</v>
          </cell>
          <cell r="M654">
            <v>0</v>
          </cell>
          <cell r="T654">
            <v>7121</v>
          </cell>
          <cell r="U654">
            <v>0</v>
          </cell>
        </row>
        <row r="655">
          <cell r="D655">
            <v>7146</v>
          </cell>
          <cell r="E655" t="str">
            <v>收到其他与投资活动有关的现金</v>
          </cell>
          <cell r="F655">
            <v>0</v>
          </cell>
          <cell r="G655">
            <v>0</v>
          </cell>
          <cell r="H655">
            <v>0</v>
          </cell>
          <cell r="I655">
            <v>0</v>
          </cell>
          <cell r="J655">
            <v>0</v>
          </cell>
          <cell r="M655">
            <v>0</v>
          </cell>
          <cell r="T655">
            <v>7146</v>
          </cell>
          <cell r="U655">
            <v>0</v>
          </cell>
        </row>
        <row r="656">
          <cell r="D656">
            <v>7148</v>
          </cell>
          <cell r="E656" t="str">
            <v>投资活动现金流入</v>
          </cell>
          <cell r="F656">
            <v>616390.59</v>
          </cell>
          <cell r="G656">
            <v>0</v>
          </cell>
          <cell r="H656">
            <v>0</v>
          </cell>
          <cell r="I656">
            <v>616390.59</v>
          </cell>
          <cell r="J656">
            <v>105892178.34999999</v>
          </cell>
          <cell r="K656">
            <v>0</v>
          </cell>
          <cell r="L656">
            <v>0</v>
          </cell>
          <cell r="M656">
            <v>105892178.34999999</v>
          </cell>
          <cell r="T656">
            <v>7148</v>
          </cell>
          <cell r="U656">
            <v>105892178.34999999</v>
          </cell>
        </row>
        <row r="657">
          <cell r="D657">
            <v>7151</v>
          </cell>
          <cell r="E657" t="str">
            <v>购置固定资产无形资产长期资产支付的现金</v>
          </cell>
          <cell r="F657">
            <v>32274224.190000001</v>
          </cell>
          <cell r="G657">
            <v>0</v>
          </cell>
          <cell r="H657">
            <v>0</v>
          </cell>
          <cell r="I657">
            <v>32274224.190000001</v>
          </cell>
          <cell r="J657">
            <v>26344550.879999999</v>
          </cell>
          <cell r="M657">
            <v>26344550.879999999</v>
          </cell>
          <cell r="T657">
            <v>7151</v>
          </cell>
          <cell r="U657">
            <v>26344550.879999999</v>
          </cell>
        </row>
        <row r="658">
          <cell r="D658">
            <v>7161</v>
          </cell>
          <cell r="E658" t="str">
            <v>投资支付的现金</v>
          </cell>
          <cell r="F658">
            <v>0</v>
          </cell>
          <cell r="G658">
            <v>0</v>
          </cell>
          <cell r="H658">
            <v>0</v>
          </cell>
          <cell r="I658">
            <v>0</v>
          </cell>
          <cell r="J658">
            <v>13563393.26</v>
          </cell>
          <cell r="M658">
            <v>13563393.26</v>
          </cell>
          <cell r="T658">
            <v>7161</v>
          </cell>
          <cell r="U658">
            <v>13563393.26</v>
          </cell>
        </row>
        <row r="659">
          <cell r="D659">
            <v>7165</v>
          </cell>
          <cell r="E659" t="str">
            <v>质押贷款净增加额</v>
          </cell>
          <cell r="F659">
            <v>0</v>
          </cell>
          <cell r="G659">
            <v>0</v>
          </cell>
          <cell r="H659">
            <v>0</v>
          </cell>
          <cell r="I659">
            <v>0</v>
          </cell>
          <cell r="J659">
            <v>0</v>
          </cell>
          <cell r="M659">
            <v>0</v>
          </cell>
          <cell r="T659">
            <v>7165</v>
          </cell>
          <cell r="U659">
            <v>0</v>
          </cell>
        </row>
        <row r="660">
          <cell r="D660">
            <v>7171</v>
          </cell>
          <cell r="E660" t="str">
            <v>取得子公司及其他营业单位支付的现金净额</v>
          </cell>
          <cell r="F660">
            <v>0</v>
          </cell>
          <cell r="G660">
            <v>0</v>
          </cell>
          <cell r="H660">
            <v>0</v>
          </cell>
          <cell r="I660">
            <v>0</v>
          </cell>
          <cell r="J660">
            <v>0</v>
          </cell>
          <cell r="M660">
            <v>0</v>
          </cell>
          <cell r="T660">
            <v>7171</v>
          </cell>
          <cell r="U660">
            <v>0</v>
          </cell>
        </row>
        <row r="661">
          <cell r="D661">
            <v>7196</v>
          </cell>
          <cell r="E661" t="str">
            <v>支付其他与投资活动有关的现金</v>
          </cell>
          <cell r="F661">
            <v>0</v>
          </cell>
          <cell r="G661">
            <v>0</v>
          </cell>
          <cell r="H661">
            <v>0</v>
          </cell>
          <cell r="I661">
            <v>0</v>
          </cell>
          <cell r="J661">
            <v>0</v>
          </cell>
          <cell r="M661">
            <v>0</v>
          </cell>
          <cell r="T661">
            <v>7196</v>
          </cell>
          <cell r="U661">
            <v>0</v>
          </cell>
        </row>
        <row r="662">
          <cell r="D662">
            <v>7198</v>
          </cell>
          <cell r="E662" t="str">
            <v>投资活动现金流出</v>
          </cell>
          <cell r="F662">
            <v>32274224.190000001</v>
          </cell>
          <cell r="G662">
            <v>0</v>
          </cell>
          <cell r="H662">
            <v>0</v>
          </cell>
          <cell r="I662">
            <v>32274224.190000001</v>
          </cell>
          <cell r="J662">
            <v>39907944.140000001</v>
          </cell>
          <cell r="K662">
            <v>0</v>
          </cell>
          <cell r="L662">
            <v>0</v>
          </cell>
          <cell r="M662">
            <v>39907944.140000001</v>
          </cell>
          <cell r="T662">
            <v>7198</v>
          </cell>
          <cell r="U662">
            <v>39907944.140000001</v>
          </cell>
        </row>
        <row r="663">
          <cell r="D663">
            <v>7199</v>
          </cell>
          <cell r="E663" t="str">
            <v>投资活动产生的现金流量净额</v>
          </cell>
          <cell r="F663">
            <v>-31657833.600000001</v>
          </cell>
          <cell r="G663">
            <v>0</v>
          </cell>
          <cell r="H663">
            <v>0</v>
          </cell>
          <cell r="I663">
            <v>-31657833.600000001</v>
          </cell>
          <cell r="J663">
            <v>65984234.210000001</v>
          </cell>
          <cell r="K663">
            <v>0</v>
          </cell>
          <cell r="L663">
            <v>0</v>
          </cell>
          <cell r="M663">
            <v>65984234.210000001</v>
          </cell>
          <cell r="T663">
            <v>7199</v>
          </cell>
          <cell r="U663">
            <v>65984234.210000001</v>
          </cell>
        </row>
        <row r="664">
          <cell r="D664">
            <v>7200</v>
          </cell>
          <cell r="E664" t="str">
            <v>筹资活动现金流量项目</v>
          </cell>
          <cell r="F664">
            <v>0</v>
          </cell>
          <cell r="G664">
            <v>0</v>
          </cell>
          <cell r="H664">
            <v>0</v>
          </cell>
          <cell r="I664">
            <v>0</v>
          </cell>
          <cell r="J664">
            <v>0</v>
          </cell>
          <cell r="M664">
            <v>0</v>
          </cell>
          <cell r="T664">
            <v>7200</v>
          </cell>
          <cell r="U664">
            <v>0</v>
          </cell>
        </row>
        <row r="665">
          <cell r="D665">
            <v>7201</v>
          </cell>
          <cell r="E665" t="str">
            <v>吸收投资收到的现金</v>
          </cell>
          <cell r="F665">
            <v>0</v>
          </cell>
          <cell r="G665">
            <v>0</v>
          </cell>
          <cell r="H665">
            <v>0</v>
          </cell>
          <cell r="I665">
            <v>0</v>
          </cell>
          <cell r="J665">
            <v>75600001</v>
          </cell>
          <cell r="M665">
            <v>75600001</v>
          </cell>
          <cell r="T665">
            <v>7201</v>
          </cell>
          <cell r="U665">
            <v>75600001</v>
          </cell>
        </row>
        <row r="666">
          <cell r="D666">
            <v>7201.01</v>
          </cell>
          <cell r="E666" t="str">
            <v>子公司吸收少数股东投资收到的现金</v>
          </cell>
          <cell r="F666">
            <v>0</v>
          </cell>
          <cell r="G666">
            <v>0</v>
          </cell>
          <cell r="H666">
            <v>0</v>
          </cell>
          <cell r="I666">
            <v>0</v>
          </cell>
          <cell r="J666">
            <v>0</v>
          </cell>
          <cell r="M666">
            <v>0</v>
          </cell>
          <cell r="T666">
            <v>7201.01</v>
          </cell>
          <cell r="U666">
            <v>0</v>
          </cell>
        </row>
        <row r="667">
          <cell r="D667">
            <v>7211</v>
          </cell>
          <cell r="E667" t="str">
            <v>取得借款收到的现金</v>
          </cell>
          <cell r="F667">
            <v>42240699.979999997</v>
          </cell>
          <cell r="G667">
            <v>0</v>
          </cell>
          <cell r="H667">
            <v>0</v>
          </cell>
          <cell r="I667">
            <v>42240699.979999997</v>
          </cell>
          <cell r="J667">
            <v>71738421.109999999</v>
          </cell>
          <cell r="M667">
            <v>71738421.109999999</v>
          </cell>
          <cell r="T667">
            <v>7211</v>
          </cell>
          <cell r="U667">
            <v>71738421.109999999</v>
          </cell>
        </row>
        <row r="668">
          <cell r="D668">
            <v>7221</v>
          </cell>
          <cell r="E668" t="str">
            <v>发行债券收到的现金</v>
          </cell>
          <cell r="F668">
            <v>0</v>
          </cell>
          <cell r="G668">
            <v>0</v>
          </cell>
          <cell r="H668">
            <v>0</v>
          </cell>
          <cell r="I668">
            <v>0</v>
          </cell>
          <cell r="J668">
            <v>0</v>
          </cell>
          <cell r="M668">
            <v>0</v>
          </cell>
          <cell r="T668">
            <v>7221</v>
          </cell>
          <cell r="U668">
            <v>0</v>
          </cell>
        </row>
        <row r="669">
          <cell r="D669">
            <v>7246</v>
          </cell>
          <cell r="E669" t="str">
            <v>收到其他与筹资活动有关的现金</v>
          </cell>
          <cell r="F669">
            <v>14958887.6</v>
          </cell>
          <cell r="G669">
            <v>0</v>
          </cell>
          <cell r="H669">
            <v>0</v>
          </cell>
          <cell r="I669">
            <v>14958887.6</v>
          </cell>
          <cell r="J669">
            <v>0</v>
          </cell>
          <cell r="M669">
            <v>0</v>
          </cell>
          <cell r="T669">
            <v>7246</v>
          </cell>
          <cell r="U669">
            <v>0</v>
          </cell>
        </row>
        <row r="670">
          <cell r="D670">
            <v>7248</v>
          </cell>
          <cell r="E670" t="str">
            <v>筹资活动现金流入</v>
          </cell>
          <cell r="F670">
            <v>57199587.579999998</v>
          </cell>
          <cell r="G670">
            <v>0</v>
          </cell>
          <cell r="H670">
            <v>0</v>
          </cell>
          <cell r="I670">
            <v>57199587.579999998</v>
          </cell>
          <cell r="J670">
            <v>147338422.11000001</v>
          </cell>
          <cell r="K670">
            <v>0</v>
          </cell>
          <cell r="L670">
            <v>0</v>
          </cell>
          <cell r="M670">
            <v>147338422.11000001</v>
          </cell>
          <cell r="T670">
            <v>7248</v>
          </cell>
          <cell r="U670">
            <v>147338422.11000001</v>
          </cell>
        </row>
        <row r="671">
          <cell r="D671">
            <v>7251</v>
          </cell>
          <cell r="E671" t="str">
            <v>偿还债务支付的现金</v>
          </cell>
          <cell r="F671">
            <v>22320699.98</v>
          </cell>
          <cell r="G671">
            <v>0</v>
          </cell>
          <cell r="H671">
            <v>0</v>
          </cell>
          <cell r="I671">
            <v>22320699.98</v>
          </cell>
          <cell r="J671">
            <v>29361905.199999999</v>
          </cell>
          <cell r="M671">
            <v>29361905.199999999</v>
          </cell>
          <cell r="T671">
            <v>7251</v>
          </cell>
          <cell r="U671">
            <v>29361905.199999999</v>
          </cell>
        </row>
        <row r="672">
          <cell r="D672">
            <v>7261</v>
          </cell>
          <cell r="E672" t="str">
            <v>分配利润偿付利息支付的现金</v>
          </cell>
          <cell r="F672">
            <v>2234664.42</v>
          </cell>
          <cell r="G672">
            <v>0</v>
          </cell>
          <cell r="H672">
            <v>0</v>
          </cell>
          <cell r="I672">
            <v>2234664.42</v>
          </cell>
          <cell r="J672">
            <v>4013126.32</v>
          </cell>
          <cell r="M672">
            <v>4013126.32</v>
          </cell>
          <cell r="T672">
            <v>7261</v>
          </cell>
          <cell r="U672">
            <v>4013126.32</v>
          </cell>
        </row>
        <row r="673">
          <cell r="D673">
            <v>7261.01</v>
          </cell>
          <cell r="E673" t="str">
            <v>子公司支付少数股东的现金股利</v>
          </cell>
          <cell r="F673">
            <v>0</v>
          </cell>
          <cell r="G673">
            <v>0</v>
          </cell>
          <cell r="H673">
            <v>0</v>
          </cell>
          <cell r="I673">
            <v>0</v>
          </cell>
          <cell r="J673">
            <v>0</v>
          </cell>
          <cell r="M673">
            <v>0</v>
          </cell>
          <cell r="T673">
            <v>7261.01</v>
          </cell>
          <cell r="U673">
            <v>0</v>
          </cell>
        </row>
        <row r="674">
          <cell r="D674">
            <v>7296</v>
          </cell>
          <cell r="E674" t="str">
            <v>支付其他与筹资活动有关的现金</v>
          </cell>
          <cell r="F674">
            <v>1359031.03</v>
          </cell>
          <cell r="G674">
            <v>0</v>
          </cell>
          <cell r="H674">
            <v>0</v>
          </cell>
          <cell r="I674">
            <v>1359031.03</v>
          </cell>
          <cell r="J674">
            <v>31088758.620000001</v>
          </cell>
          <cell r="M674">
            <v>31088758.620000001</v>
          </cell>
          <cell r="T674">
            <v>7296</v>
          </cell>
          <cell r="U674">
            <v>31088758.620000001</v>
          </cell>
        </row>
        <row r="675">
          <cell r="D675">
            <v>7296.11</v>
          </cell>
          <cell r="E675" t="str">
            <v>子公司减资支付给少数股东的现金</v>
          </cell>
          <cell r="F675">
            <v>0</v>
          </cell>
          <cell r="G675">
            <v>0</v>
          </cell>
          <cell r="H675">
            <v>0</v>
          </cell>
          <cell r="I675">
            <v>0</v>
          </cell>
          <cell r="J675">
            <v>0</v>
          </cell>
          <cell r="M675">
            <v>0</v>
          </cell>
          <cell r="T675">
            <v>7296.11</v>
          </cell>
          <cell r="U675">
            <v>0</v>
          </cell>
        </row>
        <row r="676">
          <cell r="D676">
            <v>7298</v>
          </cell>
          <cell r="E676" t="str">
            <v>筹资活动现金流出</v>
          </cell>
          <cell r="F676">
            <v>25914395.43</v>
          </cell>
          <cell r="G676">
            <v>0</v>
          </cell>
          <cell r="H676">
            <v>0</v>
          </cell>
          <cell r="I676">
            <v>25914395.43</v>
          </cell>
          <cell r="J676">
            <v>64463790.140000001</v>
          </cell>
          <cell r="K676">
            <v>0</v>
          </cell>
          <cell r="L676">
            <v>0</v>
          </cell>
          <cell r="M676">
            <v>64463790.140000001</v>
          </cell>
          <cell r="T676">
            <v>7298</v>
          </cell>
          <cell r="U676">
            <v>64463790.140000001</v>
          </cell>
        </row>
        <row r="677">
          <cell r="D677">
            <v>7299</v>
          </cell>
          <cell r="E677" t="str">
            <v>筹资活动产生的现金流量净额</v>
          </cell>
          <cell r="F677">
            <v>31285192.149999999</v>
          </cell>
          <cell r="G677">
            <v>0</v>
          </cell>
          <cell r="H677">
            <v>0</v>
          </cell>
          <cell r="I677">
            <v>31285192.149999999</v>
          </cell>
          <cell r="J677">
            <v>82874631.969999999</v>
          </cell>
          <cell r="K677">
            <v>0</v>
          </cell>
          <cell r="L677">
            <v>0</v>
          </cell>
          <cell r="M677">
            <v>82874631.969999999</v>
          </cell>
          <cell r="T677">
            <v>7299</v>
          </cell>
          <cell r="U677">
            <v>82874631.969999999</v>
          </cell>
        </row>
        <row r="678">
          <cell r="D678">
            <v>7309</v>
          </cell>
          <cell r="E678" t="str">
            <v>汇率变动对现金及现金等价物的影响</v>
          </cell>
          <cell r="F678">
            <v>0</v>
          </cell>
          <cell r="G678">
            <v>0</v>
          </cell>
          <cell r="H678">
            <v>0</v>
          </cell>
          <cell r="I678">
            <v>0</v>
          </cell>
          <cell r="J678">
            <v>0</v>
          </cell>
          <cell r="M678">
            <v>0</v>
          </cell>
          <cell r="T678">
            <v>7309</v>
          </cell>
          <cell r="U678">
            <v>0</v>
          </cell>
        </row>
        <row r="679">
          <cell r="D679">
            <v>7348</v>
          </cell>
          <cell r="E679" t="str">
            <v>现金及现金等价物净增加额</v>
          </cell>
          <cell r="F679">
            <v>-110604775.95</v>
          </cell>
          <cell r="G679">
            <v>0</v>
          </cell>
          <cell r="H679">
            <v>0</v>
          </cell>
          <cell r="I679">
            <v>-110604775.95</v>
          </cell>
          <cell r="J679">
            <v>102069312.95999999</v>
          </cell>
          <cell r="K679">
            <v>0</v>
          </cell>
          <cell r="L679">
            <v>0</v>
          </cell>
          <cell r="M679">
            <v>102069312.95999999</v>
          </cell>
          <cell r="T679">
            <v>7348</v>
          </cell>
          <cell r="U679">
            <v>102069312.95999999</v>
          </cell>
        </row>
        <row r="680">
          <cell r="D680">
            <v>7349</v>
          </cell>
          <cell r="E680" t="str">
            <v>期初现金及现金等价物余额</v>
          </cell>
          <cell r="F680">
            <v>163033259.58000001</v>
          </cell>
          <cell r="G680">
            <v>0</v>
          </cell>
          <cell r="H680">
            <v>0</v>
          </cell>
          <cell r="I680">
            <v>163033259.58000001</v>
          </cell>
          <cell r="J680">
            <v>60963946.619999997</v>
          </cell>
          <cell r="M680">
            <v>60963946.619999997</v>
          </cell>
          <cell r="T680">
            <v>7349</v>
          </cell>
          <cell r="U680">
            <v>60963946.619999997</v>
          </cell>
        </row>
        <row r="681">
          <cell r="D681">
            <v>7399</v>
          </cell>
          <cell r="E681" t="str">
            <v>期末现金及现金等价物余额</v>
          </cell>
          <cell r="F681">
            <v>52428483.630000003</v>
          </cell>
          <cell r="G681">
            <v>0</v>
          </cell>
          <cell r="H681">
            <v>0</v>
          </cell>
          <cell r="I681">
            <v>52428483.630000003</v>
          </cell>
          <cell r="J681">
            <v>163033259.58000001</v>
          </cell>
          <cell r="K681">
            <v>0</v>
          </cell>
          <cell r="L681">
            <v>0</v>
          </cell>
          <cell r="M681">
            <v>163033259.58000001</v>
          </cell>
          <cell r="T681">
            <v>7399</v>
          </cell>
          <cell r="U681">
            <v>163033259.58000001</v>
          </cell>
        </row>
        <row r="682">
          <cell r="D682">
            <v>19</v>
          </cell>
          <cell r="E682" t="str">
            <v>资产负债表补充资料：资产减值准备</v>
          </cell>
          <cell r="T682">
            <v>19</v>
          </cell>
        </row>
        <row r="683">
          <cell r="D683">
            <v>1122.1231</v>
          </cell>
          <cell r="E683" t="str">
            <v>应收账款坏账准备</v>
          </cell>
          <cell r="F683">
            <v>0</v>
          </cell>
          <cell r="G683">
            <v>0</v>
          </cell>
          <cell r="H683">
            <v>-2106856.65</v>
          </cell>
          <cell r="I683">
            <v>-2106856.65</v>
          </cell>
          <cell r="J683">
            <v>0</v>
          </cell>
          <cell r="K683">
            <v>0</v>
          </cell>
          <cell r="L683">
            <v>0</v>
          </cell>
          <cell r="M683">
            <v>0</v>
          </cell>
          <cell r="T683">
            <v>1122.1231</v>
          </cell>
          <cell r="U683">
            <v>3582811.79</v>
          </cell>
        </row>
        <row r="684">
          <cell r="D684">
            <v>1125.1231</v>
          </cell>
          <cell r="E684" t="str">
            <v>预付款项坏账准备</v>
          </cell>
          <cell r="F684">
            <v>0</v>
          </cell>
          <cell r="G684">
            <v>0</v>
          </cell>
          <cell r="H684">
            <v>0</v>
          </cell>
          <cell r="I684">
            <v>0</v>
          </cell>
          <cell r="J684">
            <v>0</v>
          </cell>
          <cell r="K684">
            <v>0</v>
          </cell>
          <cell r="L684">
            <v>0</v>
          </cell>
          <cell r="M684">
            <v>0</v>
          </cell>
          <cell r="T684">
            <v>1125.1231</v>
          </cell>
          <cell r="U684">
            <v>0</v>
          </cell>
        </row>
        <row r="685">
          <cell r="D685">
            <v>1221.1231</v>
          </cell>
          <cell r="E685" t="str">
            <v>其他应收款坏账准备</v>
          </cell>
          <cell r="F685">
            <v>0</v>
          </cell>
          <cell r="G685">
            <v>0</v>
          </cell>
          <cell r="H685">
            <v>2087775.9</v>
          </cell>
          <cell r="I685">
            <v>2087775.9</v>
          </cell>
          <cell r="J685">
            <v>0</v>
          </cell>
          <cell r="K685">
            <v>0</v>
          </cell>
          <cell r="L685">
            <v>0</v>
          </cell>
          <cell r="M685">
            <v>0</v>
          </cell>
          <cell r="T685">
            <v>1221.1231</v>
          </cell>
          <cell r="U685">
            <v>0</v>
          </cell>
        </row>
        <row r="686">
          <cell r="D686">
            <v>1400.1470999999999</v>
          </cell>
          <cell r="E686" t="str">
            <v>存货跌价准备</v>
          </cell>
          <cell r="F686">
            <v>0</v>
          </cell>
          <cell r="G686">
            <v>0</v>
          </cell>
          <cell r="H686">
            <v>1265694.8400000001</v>
          </cell>
          <cell r="I686">
            <v>1265694.8400000001</v>
          </cell>
          <cell r="J686">
            <v>0</v>
          </cell>
          <cell r="K686">
            <v>0</v>
          </cell>
          <cell r="L686">
            <v>0</v>
          </cell>
          <cell r="M686">
            <v>0</v>
          </cell>
          <cell r="T686">
            <v>1400.1470999999999</v>
          </cell>
          <cell r="U686">
            <v>8165757.25</v>
          </cell>
        </row>
        <row r="687">
          <cell r="D687">
            <v>1503.1504</v>
          </cell>
          <cell r="E687" t="str">
            <v>可供出售金融资产减值准备</v>
          </cell>
          <cell r="F687">
            <v>0</v>
          </cell>
          <cell r="G687">
            <v>0</v>
          </cell>
          <cell r="H687">
            <v>0</v>
          </cell>
          <cell r="I687">
            <v>0</v>
          </cell>
          <cell r="J687">
            <v>0</v>
          </cell>
          <cell r="K687">
            <v>0</v>
          </cell>
          <cell r="L687">
            <v>0</v>
          </cell>
          <cell r="M687">
            <v>0</v>
          </cell>
          <cell r="T687">
            <v>1503.1504</v>
          </cell>
          <cell r="U687">
            <v>0</v>
          </cell>
        </row>
        <row r="688">
          <cell r="D688">
            <v>1501.1502</v>
          </cell>
          <cell r="E688" t="str">
            <v>持有至到期投资减值准备</v>
          </cell>
          <cell r="F688">
            <v>0</v>
          </cell>
          <cell r="G688">
            <v>0</v>
          </cell>
          <cell r="H688">
            <v>0</v>
          </cell>
          <cell r="I688">
            <v>0</v>
          </cell>
          <cell r="J688">
            <v>0</v>
          </cell>
          <cell r="K688">
            <v>0</v>
          </cell>
          <cell r="L688">
            <v>0</v>
          </cell>
          <cell r="M688">
            <v>0</v>
          </cell>
          <cell r="T688">
            <v>1501.1502</v>
          </cell>
          <cell r="U688">
            <v>0</v>
          </cell>
        </row>
        <row r="689">
          <cell r="D689">
            <v>1511.1512</v>
          </cell>
          <cell r="E689" t="str">
            <v>长期股权投资减值准备</v>
          </cell>
          <cell r="F689">
            <v>0</v>
          </cell>
          <cell r="G689">
            <v>0</v>
          </cell>
          <cell r="H689">
            <v>0</v>
          </cell>
          <cell r="I689">
            <v>0</v>
          </cell>
          <cell r="J689">
            <v>0</v>
          </cell>
          <cell r="K689">
            <v>0</v>
          </cell>
          <cell r="L689">
            <v>0</v>
          </cell>
          <cell r="M689">
            <v>0</v>
          </cell>
          <cell r="T689">
            <v>1511.1512</v>
          </cell>
          <cell r="U689">
            <v>0</v>
          </cell>
        </row>
        <row r="690">
          <cell r="D690">
            <v>1521.1522</v>
          </cell>
          <cell r="E690" t="str">
            <v>投资性房地产减值准备</v>
          </cell>
          <cell r="F690">
            <v>0</v>
          </cell>
          <cell r="G690">
            <v>0</v>
          </cell>
          <cell r="H690">
            <v>0</v>
          </cell>
          <cell r="I690">
            <v>0</v>
          </cell>
          <cell r="J690">
            <v>0</v>
          </cell>
          <cell r="K690">
            <v>0</v>
          </cell>
          <cell r="L690">
            <v>0</v>
          </cell>
          <cell r="M690">
            <v>0</v>
          </cell>
          <cell r="T690">
            <v>1521.1522</v>
          </cell>
          <cell r="U690">
            <v>0</v>
          </cell>
        </row>
        <row r="691">
          <cell r="D691">
            <v>1601.1603</v>
          </cell>
          <cell r="E691" t="str">
            <v>固定资产减值准备</v>
          </cell>
          <cell r="F691">
            <v>0</v>
          </cell>
          <cell r="G691">
            <v>0</v>
          </cell>
          <cell r="H691">
            <v>0</v>
          </cell>
          <cell r="I691">
            <v>0</v>
          </cell>
          <cell r="J691">
            <v>0</v>
          </cell>
          <cell r="K691">
            <v>0</v>
          </cell>
          <cell r="L691">
            <v>0</v>
          </cell>
          <cell r="M691">
            <v>0</v>
          </cell>
          <cell r="T691">
            <v>1601.1603</v>
          </cell>
          <cell r="U691">
            <v>0</v>
          </cell>
        </row>
        <row r="692">
          <cell r="D692">
            <v>1605.1608000000001</v>
          </cell>
          <cell r="E692" t="str">
            <v>工程物资减值准备</v>
          </cell>
          <cell r="F692">
            <v>0</v>
          </cell>
          <cell r="G692">
            <v>0</v>
          </cell>
          <cell r="H692">
            <v>0</v>
          </cell>
          <cell r="I692">
            <v>0</v>
          </cell>
          <cell r="J692">
            <v>0</v>
          </cell>
          <cell r="K692">
            <v>0</v>
          </cell>
          <cell r="L692">
            <v>0</v>
          </cell>
          <cell r="M692">
            <v>0</v>
          </cell>
          <cell r="T692">
            <v>1605.1608000000001</v>
          </cell>
          <cell r="U692">
            <v>0</v>
          </cell>
        </row>
        <row r="693">
          <cell r="D693">
            <v>1604.1606999999999</v>
          </cell>
          <cell r="E693" t="str">
            <v>在建工程减值准备</v>
          </cell>
          <cell r="F693">
            <v>0</v>
          </cell>
          <cell r="G693">
            <v>0</v>
          </cell>
          <cell r="H693">
            <v>0</v>
          </cell>
          <cell r="I693">
            <v>0</v>
          </cell>
          <cell r="J693">
            <v>0</v>
          </cell>
          <cell r="K693">
            <v>0</v>
          </cell>
          <cell r="L693">
            <v>0</v>
          </cell>
          <cell r="M693">
            <v>0</v>
          </cell>
          <cell r="T693">
            <v>1604.1606999999999</v>
          </cell>
          <cell r="U693">
            <v>0</v>
          </cell>
        </row>
        <row r="694">
          <cell r="D694">
            <v>1621.1623999999999</v>
          </cell>
          <cell r="E694" t="str">
            <v>生产性生物资产减值准备</v>
          </cell>
          <cell r="F694">
            <v>0</v>
          </cell>
          <cell r="G694">
            <v>0</v>
          </cell>
          <cell r="H694">
            <v>0</v>
          </cell>
          <cell r="I694">
            <v>0</v>
          </cell>
          <cell r="J694">
            <v>0</v>
          </cell>
          <cell r="K694">
            <v>0</v>
          </cell>
          <cell r="L694">
            <v>0</v>
          </cell>
          <cell r="M694">
            <v>0</v>
          </cell>
          <cell r="T694">
            <v>1621.1623999999999</v>
          </cell>
          <cell r="U694">
            <v>0</v>
          </cell>
        </row>
        <row r="695">
          <cell r="D695">
            <v>1631.1632999999999</v>
          </cell>
          <cell r="E695" t="str">
            <v>油气资产减值准备</v>
          </cell>
          <cell r="F695">
            <v>0</v>
          </cell>
          <cell r="G695">
            <v>0</v>
          </cell>
          <cell r="H695">
            <v>0</v>
          </cell>
          <cell r="I695">
            <v>0</v>
          </cell>
          <cell r="J695">
            <v>0</v>
          </cell>
          <cell r="K695">
            <v>0</v>
          </cell>
          <cell r="L695">
            <v>0</v>
          </cell>
          <cell r="M695">
            <v>0</v>
          </cell>
          <cell r="T695">
            <v>1631.1632999999999</v>
          </cell>
          <cell r="U695">
            <v>0</v>
          </cell>
        </row>
        <row r="696">
          <cell r="D696">
            <v>1701.1703</v>
          </cell>
          <cell r="E696" t="str">
            <v>无形资产减值准备</v>
          </cell>
          <cell r="F696">
            <v>0</v>
          </cell>
          <cell r="G696">
            <v>0</v>
          </cell>
          <cell r="H696">
            <v>0</v>
          </cell>
          <cell r="I696">
            <v>0</v>
          </cell>
          <cell r="J696">
            <v>0</v>
          </cell>
          <cell r="K696">
            <v>0</v>
          </cell>
          <cell r="L696">
            <v>0</v>
          </cell>
          <cell r="M696">
            <v>0</v>
          </cell>
          <cell r="T696">
            <v>1701.1703</v>
          </cell>
          <cell r="U696">
            <v>0</v>
          </cell>
        </row>
        <row r="697">
          <cell r="D697">
            <v>1711.1712</v>
          </cell>
          <cell r="E697" t="str">
            <v>商誉减值准备</v>
          </cell>
          <cell r="F697">
            <v>0</v>
          </cell>
          <cell r="G697">
            <v>0</v>
          </cell>
          <cell r="H697">
            <v>0</v>
          </cell>
          <cell r="I697">
            <v>0</v>
          </cell>
          <cell r="J697">
            <v>0</v>
          </cell>
          <cell r="K697">
            <v>0</v>
          </cell>
          <cell r="L697">
            <v>0</v>
          </cell>
          <cell r="M697">
            <v>0</v>
          </cell>
          <cell r="T697">
            <v>1711.1712</v>
          </cell>
          <cell r="U697">
            <v>0</v>
          </cell>
        </row>
        <row r="698">
          <cell r="D698">
            <v>1991.1992</v>
          </cell>
          <cell r="E698" t="str">
            <v>其他减值准备</v>
          </cell>
          <cell r="F698">
            <v>0</v>
          </cell>
          <cell r="G698">
            <v>0</v>
          </cell>
          <cell r="H698">
            <v>0</v>
          </cell>
          <cell r="I698">
            <v>0</v>
          </cell>
          <cell r="J698">
            <v>0</v>
          </cell>
          <cell r="K698">
            <v>0</v>
          </cell>
          <cell r="L698">
            <v>0</v>
          </cell>
          <cell r="M698">
            <v>0</v>
          </cell>
          <cell r="T698">
            <v>1991.1992</v>
          </cell>
          <cell r="U698">
            <v>0</v>
          </cell>
        </row>
        <row r="699">
          <cell r="D699">
            <v>1991</v>
          </cell>
          <cell r="E699" t="str">
            <v>资产减值准备</v>
          </cell>
          <cell r="F699">
            <v>0</v>
          </cell>
          <cell r="G699">
            <v>0</v>
          </cell>
          <cell r="H699">
            <v>1246614.0900000001</v>
          </cell>
          <cell r="I699">
            <v>1246614.0900000001</v>
          </cell>
          <cell r="J699">
            <v>0</v>
          </cell>
          <cell r="K699">
            <v>0</v>
          </cell>
          <cell r="L699">
            <v>0</v>
          </cell>
          <cell r="M699">
            <v>0</v>
          </cell>
          <cell r="T699">
            <v>1991</v>
          </cell>
          <cell r="U699">
            <v>11748569.039999999</v>
          </cell>
        </row>
        <row r="700">
          <cell r="D700">
            <v>7500</v>
          </cell>
          <cell r="E700" t="str">
            <v>现金流量表补充资料</v>
          </cell>
          <cell r="G700" t="str">
            <v>以下须手工调整，不从CFJE表取数</v>
          </cell>
          <cell r="K700" t="str">
            <v>以下须手工调整，不从CFJE表取数</v>
          </cell>
          <cell r="T700">
            <v>7500</v>
          </cell>
        </row>
        <row r="701">
          <cell r="D701">
            <v>7501</v>
          </cell>
          <cell r="E701" t="str">
            <v>将净利润调节为经营活动现金流量</v>
          </cell>
          <cell r="G701" t="str">
            <v>调增</v>
          </cell>
          <cell r="H701" t="str">
            <v>调减</v>
          </cell>
          <cell r="K701" t="str">
            <v>调增</v>
          </cell>
          <cell r="L701" t="str">
            <v>调减</v>
          </cell>
          <cell r="T701">
            <v>7501</v>
          </cell>
        </row>
        <row r="702">
          <cell r="D702">
            <v>7502</v>
          </cell>
          <cell r="E702" t="str">
            <v>净利润金额</v>
          </cell>
          <cell r="F702">
            <v>17906312.969999999</v>
          </cell>
          <cell r="G702">
            <v>5395139.3700000001</v>
          </cell>
          <cell r="I702">
            <v>23301452.34</v>
          </cell>
          <cell r="J702">
            <v>25697052.48</v>
          </cell>
          <cell r="M702">
            <v>25697052.48</v>
          </cell>
          <cell r="T702">
            <v>7502</v>
          </cell>
          <cell r="U702">
            <v>25697052.48</v>
          </cell>
        </row>
        <row r="703">
          <cell r="D703">
            <v>7503</v>
          </cell>
          <cell r="E703" t="str">
            <v>资产减值准备金额</v>
          </cell>
          <cell r="F703">
            <v>6944633.6500000004</v>
          </cell>
          <cell r="I703">
            <v>6944633.6500000004</v>
          </cell>
          <cell r="J703">
            <v>11514489.27</v>
          </cell>
          <cell r="M703">
            <v>11514489.27</v>
          </cell>
          <cell r="T703">
            <v>7503</v>
          </cell>
          <cell r="U703">
            <v>11514489.27</v>
          </cell>
        </row>
        <row r="704">
          <cell r="D704">
            <v>7505</v>
          </cell>
          <cell r="E704" t="str">
            <v>固定资产折旧、油气资产折耗、生产性生物资产折旧</v>
          </cell>
          <cell r="F704">
            <v>1080754.98</v>
          </cell>
          <cell r="I704">
            <v>1080754.98</v>
          </cell>
          <cell r="J704">
            <v>1593497.5</v>
          </cell>
          <cell r="M704">
            <v>1593497.5</v>
          </cell>
          <cell r="T704">
            <v>7505</v>
          </cell>
          <cell r="U704">
            <v>1593497.5</v>
          </cell>
        </row>
        <row r="705">
          <cell r="D705">
            <v>7506</v>
          </cell>
          <cell r="E705" t="str">
            <v>无形资产摊销</v>
          </cell>
          <cell r="F705">
            <v>718540.94</v>
          </cell>
          <cell r="I705">
            <v>718540.94</v>
          </cell>
          <cell r="J705">
            <v>613075.88</v>
          </cell>
          <cell r="M705">
            <v>613075.88</v>
          </cell>
          <cell r="T705">
            <v>7506</v>
          </cell>
          <cell r="U705">
            <v>613075.88</v>
          </cell>
        </row>
        <row r="706">
          <cell r="D706">
            <v>7507</v>
          </cell>
          <cell r="E706" t="str">
            <v>长期待摊费用摊销</v>
          </cell>
          <cell r="F706">
            <v>666642.78</v>
          </cell>
          <cell r="I706">
            <v>666642.78</v>
          </cell>
          <cell r="J706">
            <v>885573.52</v>
          </cell>
          <cell r="M706">
            <v>885573.52</v>
          </cell>
          <cell r="T706">
            <v>7507</v>
          </cell>
          <cell r="U706">
            <v>885573.52</v>
          </cell>
        </row>
        <row r="707">
          <cell r="D707">
            <v>7508</v>
          </cell>
          <cell r="E707" t="str">
            <v>处置固定资产、无形资产和其他长期资产的损失</v>
          </cell>
          <cell r="F707">
            <v>137970.93</v>
          </cell>
          <cell r="G707">
            <v>-267261.5</v>
          </cell>
          <cell r="I707">
            <v>-129290.57</v>
          </cell>
          <cell r="J707">
            <v>6188.4</v>
          </cell>
          <cell r="M707">
            <v>6188.4</v>
          </cell>
          <cell r="T707">
            <v>7508</v>
          </cell>
          <cell r="U707">
            <v>6188.4</v>
          </cell>
        </row>
        <row r="708">
          <cell r="D708">
            <v>7509</v>
          </cell>
          <cell r="E708" t="str">
            <v>固定资产报废损失</v>
          </cell>
          <cell r="F708">
            <v>0</v>
          </cell>
          <cell r="G708">
            <v>46057.760000000002</v>
          </cell>
          <cell r="I708">
            <v>46057.760000000002</v>
          </cell>
          <cell r="J708">
            <v>0</v>
          </cell>
          <cell r="M708">
            <v>0</v>
          </cell>
          <cell r="T708">
            <v>7509</v>
          </cell>
          <cell r="U708">
            <v>0</v>
          </cell>
        </row>
        <row r="709">
          <cell r="D709">
            <v>7510</v>
          </cell>
          <cell r="E709" t="str">
            <v>公允价值变动损失</v>
          </cell>
          <cell r="F709">
            <v>0</v>
          </cell>
          <cell r="I709">
            <v>0</v>
          </cell>
          <cell r="J709">
            <v>0</v>
          </cell>
          <cell r="M709">
            <v>0</v>
          </cell>
          <cell r="T709">
            <v>7510</v>
          </cell>
          <cell r="U709">
            <v>0</v>
          </cell>
        </row>
        <row r="710">
          <cell r="D710">
            <v>7511</v>
          </cell>
          <cell r="E710" t="str">
            <v>财务费用金额</v>
          </cell>
          <cell r="F710">
            <v>5587606.9299999997</v>
          </cell>
          <cell r="I710">
            <v>5587606.9299999997</v>
          </cell>
          <cell r="J710">
            <v>7059915.6799999997</v>
          </cell>
          <cell r="M710">
            <v>7059915.6799999997</v>
          </cell>
          <cell r="T710">
            <v>7511</v>
          </cell>
          <cell r="U710">
            <v>7059915.6799999997</v>
          </cell>
        </row>
        <row r="711">
          <cell r="D711">
            <v>7512</v>
          </cell>
          <cell r="E711" t="str">
            <v>投资损失</v>
          </cell>
          <cell r="F711">
            <v>-487100.02</v>
          </cell>
          <cell r="I711">
            <v>-487100.02</v>
          </cell>
          <cell r="J711">
            <v>-902178.35</v>
          </cell>
          <cell r="M711">
            <v>-902178.35</v>
          </cell>
          <cell r="T711">
            <v>7512</v>
          </cell>
          <cell r="U711">
            <v>-902178.35</v>
          </cell>
        </row>
        <row r="712">
          <cell r="D712">
            <v>7515</v>
          </cell>
          <cell r="E712" t="str">
            <v>递延所得税资产减少</v>
          </cell>
          <cell r="F712">
            <v>-540196.35</v>
          </cell>
          <cell r="I712">
            <v>-540196.35</v>
          </cell>
          <cell r="J712">
            <v>-1328968.8</v>
          </cell>
          <cell r="M712">
            <v>-1328968.8</v>
          </cell>
          <cell r="T712">
            <v>7515</v>
          </cell>
          <cell r="U712">
            <v>-1328968.8</v>
          </cell>
        </row>
        <row r="713">
          <cell r="D713">
            <v>7516</v>
          </cell>
          <cell r="E713" t="str">
            <v>递延所得税负债增加</v>
          </cell>
          <cell r="F713">
            <v>0</v>
          </cell>
          <cell r="I713">
            <v>0</v>
          </cell>
          <cell r="J713">
            <v>0</v>
          </cell>
          <cell r="M713">
            <v>0</v>
          </cell>
          <cell r="T713">
            <v>7516</v>
          </cell>
          <cell r="U713">
            <v>0</v>
          </cell>
        </row>
        <row r="714">
          <cell r="D714">
            <v>7517</v>
          </cell>
          <cell r="E714" t="str">
            <v>存货的减少</v>
          </cell>
          <cell r="F714">
            <v>22570437.859999999</v>
          </cell>
          <cell r="I714">
            <v>22570437.859999999</v>
          </cell>
          <cell r="J714">
            <v>-73595142.370000005</v>
          </cell>
          <cell r="M714">
            <v>-73595142.370000005</v>
          </cell>
          <cell r="T714">
            <v>7517</v>
          </cell>
          <cell r="U714">
            <v>-73595142.370000005</v>
          </cell>
        </row>
        <row r="715">
          <cell r="D715">
            <v>7518</v>
          </cell>
          <cell r="E715" t="str">
            <v>经营性应收项目的减少</v>
          </cell>
          <cell r="F715">
            <v>-134541487.99000001</v>
          </cell>
          <cell r="I715">
            <v>-134541487.99000001</v>
          </cell>
          <cell r="J715">
            <v>-50909710.740000002</v>
          </cell>
          <cell r="M715">
            <v>-50909710.740000002</v>
          </cell>
          <cell r="T715">
            <v>7518</v>
          </cell>
          <cell r="U715">
            <v>-50909710.740000002</v>
          </cell>
        </row>
        <row r="716">
          <cell r="D716">
            <v>7519</v>
          </cell>
          <cell r="E716" t="str">
            <v>经营性应付项目的增加</v>
          </cell>
          <cell r="F716">
            <v>-36399431.07</v>
          </cell>
          <cell r="I716">
            <v>-36399431.07</v>
          </cell>
          <cell r="J716">
            <v>31017258.199999999</v>
          </cell>
          <cell r="M716">
            <v>31017258.199999999</v>
          </cell>
          <cell r="T716">
            <v>7519</v>
          </cell>
          <cell r="U716">
            <v>31017258.199999999</v>
          </cell>
        </row>
        <row r="717">
          <cell r="D717">
            <v>7523</v>
          </cell>
          <cell r="E717" t="str">
            <v>其他将净利润调节为经营活动现金流量项目</v>
          </cell>
          <cell r="F717">
            <v>949244.26</v>
          </cell>
          <cell r="I717">
            <v>949244.26</v>
          </cell>
          <cell r="J717">
            <v>1559396.11</v>
          </cell>
          <cell r="M717">
            <v>1559396.11</v>
          </cell>
          <cell r="T717">
            <v>7523</v>
          </cell>
          <cell r="U717">
            <v>1559396.11</v>
          </cell>
        </row>
        <row r="718">
          <cell r="D718">
            <v>7525</v>
          </cell>
          <cell r="E718" t="str">
            <v>经营活动产生的现金流量净额</v>
          </cell>
          <cell r="F718">
            <v>-115406070.13</v>
          </cell>
          <cell r="G718">
            <v>5173935.63</v>
          </cell>
          <cell r="H718">
            <v>0</v>
          </cell>
          <cell r="I718">
            <v>-110232134.5</v>
          </cell>
          <cell r="J718">
            <v>-46789553.219999999</v>
          </cell>
          <cell r="K718">
            <v>0</v>
          </cell>
          <cell r="L718">
            <v>0</v>
          </cell>
          <cell r="M718">
            <v>-46789553.219999999</v>
          </cell>
          <cell r="T718">
            <v>7525</v>
          </cell>
          <cell r="U718">
            <v>-46789553.219999999</v>
          </cell>
        </row>
        <row r="719">
          <cell r="D719">
            <v>7526</v>
          </cell>
          <cell r="E719" t="str">
            <v>不涉及现金收支的重大投资和筹资活动</v>
          </cell>
          <cell r="T719">
            <v>7526</v>
          </cell>
        </row>
        <row r="720">
          <cell r="D720">
            <v>7527</v>
          </cell>
          <cell r="E720" t="str">
            <v>债务转为资本</v>
          </cell>
          <cell r="F720">
            <v>0</v>
          </cell>
          <cell r="I720">
            <v>0</v>
          </cell>
          <cell r="J720">
            <v>0</v>
          </cell>
          <cell r="M720">
            <v>0</v>
          </cell>
          <cell r="T720">
            <v>7527</v>
          </cell>
          <cell r="U720">
            <v>0</v>
          </cell>
        </row>
        <row r="721">
          <cell r="D721">
            <v>7528</v>
          </cell>
          <cell r="E721" t="str">
            <v>一年内到期的可转换公司债券</v>
          </cell>
          <cell r="F721">
            <v>0</v>
          </cell>
          <cell r="I721">
            <v>0</v>
          </cell>
          <cell r="J721">
            <v>0</v>
          </cell>
          <cell r="M721">
            <v>0</v>
          </cell>
          <cell r="T721">
            <v>7528</v>
          </cell>
          <cell r="U721">
            <v>0</v>
          </cell>
        </row>
        <row r="722">
          <cell r="D722">
            <v>7529</v>
          </cell>
          <cell r="E722" t="str">
            <v>融资租入固定资产</v>
          </cell>
          <cell r="F722">
            <v>0</v>
          </cell>
          <cell r="I722">
            <v>0</v>
          </cell>
          <cell r="J722">
            <v>0</v>
          </cell>
          <cell r="M722">
            <v>0</v>
          </cell>
          <cell r="T722">
            <v>7529</v>
          </cell>
          <cell r="U722">
            <v>0</v>
          </cell>
        </row>
        <row r="723">
          <cell r="D723">
            <v>7533</v>
          </cell>
          <cell r="E723" t="str">
            <v>现金及现金等价物净变动情况</v>
          </cell>
          <cell r="T723">
            <v>7533</v>
          </cell>
        </row>
        <row r="724">
          <cell r="D724">
            <v>7535</v>
          </cell>
          <cell r="E724" t="str">
            <v>现金的期末余额</v>
          </cell>
          <cell r="F724">
            <v>52428483.630000003</v>
          </cell>
          <cell r="I724">
            <v>52428483.630000003</v>
          </cell>
          <cell r="J724">
            <v>163033259.58000001</v>
          </cell>
          <cell r="M724">
            <v>163033259.58000001</v>
          </cell>
          <cell r="T724">
            <v>7535</v>
          </cell>
          <cell r="U724">
            <v>163033259.58000001</v>
          </cell>
        </row>
        <row r="725">
          <cell r="D725">
            <v>7536</v>
          </cell>
          <cell r="E725" t="str">
            <v>减：现金的年初余额</v>
          </cell>
          <cell r="F725">
            <v>163033259.58000001</v>
          </cell>
          <cell r="I725">
            <v>163033259.58000001</v>
          </cell>
          <cell r="J725">
            <v>60963946.619999997</v>
          </cell>
          <cell r="M725">
            <v>60963946.619999997</v>
          </cell>
          <cell r="T725">
            <v>7536</v>
          </cell>
          <cell r="U725">
            <v>60963946.619999997</v>
          </cell>
        </row>
        <row r="726">
          <cell r="D726">
            <v>7537</v>
          </cell>
          <cell r="E726" t="str">
            <v>加：现金等价物的期末余额</v>
          </cell>
          <cell r="F726">
            <v>0</v>
          </cell>
          <cell r="I726">
            <v>0</v>
          </cell>
          <cell r="J726">
            <v>0</v>
          </cell>
          <cell r="M726">
            <v>0</v>
          </cell>
          <cell r="T726">
            <v>7537</v>
          </cell>
          <cell r="U726">
            <v>0</v>
          </cell>
        </row>
        <row r="727">
          <cell r="D727">
            <v>7538</v>
          </cell>
          <cell r="E727" t="str">
            <v>减：现金等价物的年初余额</v>
          </cell>
          <cell r="F727">
            <v>0</v>
          </cell>
          <cell r="I727">
            <v>0</v>
          </cell>
          <cell r="J727">
            <v>0</v>
          </cell>
          <cell r="M727">
            <v>0</v>
          </cell>
          <cell r="T727">
            <v>7538</v>
          </cell>
          <cell r="U727">
            <v>0</v>
          </cell>
        </row>
        <row r="728">
          <cell r="D728">
            <v>7539</v>
          </cell>
          <cell r="E728" t="str">
            <v>现金及现金等价物净增加额</v>
          </cell>
          <cell r="F728">
            <v>-110604775.95</v>
          </cell>
          <cell r="G728">
            <v>0</v>
          </cell>
          <cell r="H728">
            <v>0</v>
          </cell>
          <cell r="I728">
            <v>-110604775.95</v>
          </cell>
          <cell r="J728">
            <v>102069312.95999999</v>
          </cell>
          <cell r="K728">
            <v>0</v>
          </cell>
          <cell r="L728">
            <v>0</v>
          </cell>
          <cell r="M728">
            <v>102069312.95999999</v>
          </cell>
          <cell r="T728">
            <v>7539</v>
          </cell>
          <cell r="U728">
            <v>102069312.95999999</v>
          </cell>
        </row>
        <row r="729">
          <cell r="D729">
            <v>6829.5110000000004</v>
          </cell>
          <cell r="E729" t="str">
            <v>少数股东其他综合收益_重新计量设定受益计划变动额</v>
          </cell>
          <cell r="G729">
            <v>0</v>
          </cell>
          <cell r="H729">
            <v>0</v>
          </cell>
          <cell r="I729">
            <v>0</v>
          </cell>
          <cell r="K729">
            <v>0</v>
          </cell>
          <cell r="L729">
            <v>0</v>
          </cell>
          <cell r="M729">
            <v>0</v>
          </cell>
          <cell r="T729">
            <v>6829.5110000000004</v>
          </cell>
          <cell r="U729">
            <v>0</v>
          </cell>
        </row>
        <row r="730">
          <cell r="D730">
            <v>6829.5119999999997</v>
          </cell>
          <cell r="E730" t="str">
            <v>少数股东其他综合收益_权益法下不能转损益的其他综合收益</v>
          </cell>
          <cell r="G730">
            <v>0</v>
          </cell>
          <cell r="H730">
            <v>0</v>
          </cell>
          <cell r="I730">
            <v>0</v>
          </cell>
          <cell r="K730">
            <v>0</v>
          </cell>
          <cell r="L730">
            <v>0</v>
          </cell>
          <cell r="M730">
            <v>0</v>
          </cell>
          <cell r="T730">
            <v>6829.5119999999997</v>
          </cell>
          <cell r="U730">
            <v>0</v>
          </cell>
        </row>
        <row r="731">
          <cell r="D731">
            <v>6829.5190000000002</v>
          </cell>
          <cell r="E731" t="str">
            <v>少数股东其他综合收益_其他以后不能重分类进损益的其他综合收益</v>
          </cell>
          <cell r="G731">
            <v>0</v>
          </cell>
          <cell r="H731">
            <v>0</v>
          </cell>
          <cell r="I731">
            <v>0</v>
          </cell>
          <cell r="K731">
            <v>0</v>
          </cell>
          <cell r="L731">
            <v>0</v>
          </cell>
          <cell r="M731">
            <v>0</v>
          </cell>
          <cell r="T731">
            <v>6829.5190000000002</v>
          </cell>
          <cell r="U731">
            <v>0</v>
          </cell>
        </row>
        <row r="732">
          <cell r="D732">
            <v>6829.5309999999999</v>
          </cell>
          <cell r="E732" t="str">
            <v>少数股东其他综合收益_权益法下可转损益的其他综合收益</v>
          </cell>
          <cell r="G732">
            <v>0</v>
          </cell>
          <cell r="H732">
            <v>0</v>
          </cell>
          <cell r="I732">
            <v>0</v>
          </cell>
          <cell r="K732">
            <v>0</v>
          </cell>
          <cell r="L732">
            <v>0</v>
          </cell>
          <cell r="M732">
            <v>0</v>
          </cell>
          <cell r="T732">
            <v>6829.5309999999999</v>
          </cell>
          <cell r="U732">
            <v>0</v>
          </cell>
        </row>
        <row r="733">
          <cell r="D733">
            <v>6829.5320000000002</v>
          </cell>
          <cell r="E733" t="str">
            <v>少数股东其他综合收益_可供出售金融资产公允价值变动损益</v>
          </cell>
          <cell r="G733">
            <v>0</v>
          </cell>
          <cell r="H733">
            <v>0</v>
          </cell>
          <cell r="I733">
            <v>0</v>
          </cell>
          <cell r="K733">
            <v>0</v>
          </cell>
          <cell r="L733">
            <v>0</v>
          </cell>
          <cell r="M733">
            <v>0</v>
          </cell>
          <cell r="T733">
            <v>6829.5320000000002</v>
          </cell>
          <cell r="U733">
            <v>0</v>
          </cell>
        </row>
        <row r="734">
          <cell r="D734">
            <v>6829.5330000000004</v>
          </cell>
          <cell r="E734" t="str">
            <v>少数股东其他综合收益_持有至到期投资重分类为可供出售金融资产损益</v>
          </cell>
          <cell r="G734">
            <v>0</v>
          </cell>
          <cell r="H734">
            <v>0</v>
          </cell>
          <cell r="I734">
            <v>0</v>
          </cell>
          <cell r="K734">
            <v>0</v>
          </cell>
          <cell r="L734">
            <v>0</v>
          </cell>
          <cell r="M734">
            <v>0</v>
          </cell>
          <cell r="T734">
            <v>6829.5330000000004</v>
          </cell>
          <cell r="U734">
            <v>0</v>
          </cell>
        </row>
        <row r="735">
          <cell r="D735">
            <v>6829.5339999999997</v>
          </cell>
          <cell r="E735" t="str">
            <v>少数股东其他综合收益_现金流量套期损益的有效部分</v>
          </cell>
          <cell r="G735">
            <v>0</v>
          </cell>
          <cell r="H735">
            <v>0</v>
          </cell>
          <cell r="I735">
            <v>0</v>
          </cell>
          <cell r="K735">
            <v>0</v>
          </cell>
          <cell r="L735">
            <v>0</v>
          </cell>
          <cell r="M735">
            <v>0</v>
          </cell>
          <cell r="T735">
            <v>6829.5339999999997</v>
          </cell>
          <cell r="U735">
            <v>0</v>
          </cell>
        </row>
        <row r="736">
          <cell r="D736">
            <v>6829.5349999999999</v>
          </cell>
          <cell r="E736" t="str">
            <v>少数股东其他综合收益_外币财务报表折算差额</v>
          </cell>
          <cell r="G736">
            <v>0</v>
          </cell>
          <cell r="H736">
            <v>0</v>
          </cell>
          <cell r="I736">
            <v>0</v>
          </cell>
          <cell r="K736">
            <v>0</v>
          </cell>
          <cell r="L736">
            <v>0</v>
          </cell>
          <cell r="M736">
            <v>0</v>
          </cell>
          <cell r="T736">
            <v>6829.5349999999999</v>
          </cell>
          <cell r="U736">
            <v>0</v>
          </cell>
        </row>
        <row r="737">
          <cell r="D737">
            <v>6829.5360000000001</v>
          </cell>
          <cell r="E737" t="str">
            <v>少数股东其他综合收益_自用房地产或作为存货的房地产转换为以公允价值计量的投资性房地产在转换日公允价值大于账面价值部分</v>
          </cell>
          <cell r="G737">
            <v>0</v>
          </cell>
          <cell r="H737">
            <v>0</v>
          </cell>
          <cell r="I737">
            <v>0</v>
          </cell>
          <cell r="K737">
            <v>0</v>
          </cell>
          <cell r="L737">
            <v>0</v>
          </cell>
          <cell r="M737">
            <v>0</v>
          </cell>
          <cell r="T737">
            <v>6829.5360000000001</v>
          </cell>
          <cell r="U737">
            <v>0</v>
          </cell>
        </row>
        <row r="738">
          <cell r="D738">
            <v>6829.5370000000003</v>
          </cell>
          <cell r="E738" t="str">
            <v>少数股东其他综合收益_多次交易分步处置子公司股权构成一揽子交易的丧失控制权之前各次交易处置价款与对应净资产账面价值份额的差额</v>
          </cell>
          <cell r="G738">
            <v>0</v>
          </cell>
          <cell r="H738">
            <v>0</v>
          </cell>
          <cell r="I738">
            <v>0</v>
          </cell>
          <cell r="K738">
            <v>0</v>
          </cell>
          <cell r="L738">
            <v>0</v>
          </cell>
          <cell r="M738">
            <v>0</v>
          </cell>
          <cell r="T738">
            <v>6829.5370000000003</v>
          </cell>
          <cell r="U738">
            <v>0</v>
          </cell>
        </row>
        <row r="739">
          <cell r="D739">
            <v>6829.5389999999998</v>
          </cell>
          <cell r="E739" t="str">
            <v>少数股东其他综合收益_其他以后将重分类进损益的其他综合收益</v>
          </cell>
          <cell r="G739">
            <v>0</v>
          </cell>
          <cell r="H739">
            <v>0</v>
          </cell>
          <cell r="I739">
            <v>0</v>
          </cell>
          <cell r="K739">
            <v>0</v>
          </cell>
          <cell r="L739">
            <v>0</v>
          </cell>
          <cell r="M739">
            <v>0</v>
          </cell>
          <cell r="T739">
            <v>6829.5389999999998</v>
          </cell>
          <cell r="U739">
            <v>0</v>
          </cell>
        </row>
      </sheetData>
      <sheetData sheetId="8"/>
      <sheetData sheetId="9"/>
      <sheetData sheetId="10"/>
      <sheetData sheetId="11"/>
      <sheetData sheetId="12">
        <row r="35">
          <cell r="H35">
            <v>13459765.699999999</v>
          </cell>
        </row>
      </sheetData>
      <sheetData sheetId="13"/>
      <sheetData sheetId="14">
        <row r="8">
          <cell r="B8" t="str">
            <v>项目编号</v>
          </cell>
          <cell r="C8" t="str">
            <v>项       目</v>
          </cell>
          <cell r="D8" t="str">
            <v>附注</v>
          </cell>
          <cell r="E8" t="str">
            <v>本期金额</v>
          </cell>
          <cell r="F8" t="str">
            <v>上期金额</v>
          </cell>
        </row>
        <row r="9">
          <cell r="B9">
            <v>7000</v>
          </cell>
          <cell r="C9" t="str">
            <v>一、经营活动产生的现金流量：</v>
          </cell>
          <cell r="F9">
            <v>0</v>
          </cell>
        </row>
        <row r="10">
          <cell r="B10">
            <v>7001</v>
          </cell>
          <cell r="C10" t="str">
            <v>销售商品、提供劳务收到的现金</v>
          </cell>
          <cell r="E10">
            <v>125637670.59</v>
          </cell>
          <cell r="F10">
            <v>391616125.20999998</v>
          </cell>
        </row>
        <row r="11">
          <cell r="B11">
            <v>7011</v>
          </cell>
          <cell r="C11" t="str">
            <v>客户存款和同业存放款项净增加额</v>
          </cell>
          <cell r="F11">
            <v>0</v>
          </cell>
        </row>
        <row r="12">
          <cell r="B12">
            <v>7012</v>
          </cell>
          <cell r="C12" t="str">
            <v>向中央银行借款净增加额</v>
          </cell>
          <cell r="F12">
            <v>0</v>
          </cell>
        </row>
        <row r="13">
          <cell r="B13">
            <v>7013</v>
          </cell>
          <cell r="C13" t="str">
            <v>向其他金融机构拆入资金净增加额</v>
          </cell>
          <cell r="F13">
            <v>0</v>
          </cell>
        </row>
        <row r="14">
          <cell r="B14">
            <v>7014</v>
          </cell>
          <cell r="C14" t="str">
            <v>收到原保险合同保费取得的现金</v>
          </cell>
          <cell r="F14">
            <v>0</v>
          </cell>
        </row>
        <row r="15">
          <cell r="B15">
            <v>7015</v>
          </cell>
          <cell r="C15" t="str">
            <v>收到再保险业务现金净额</v>
          </cell>
          <cell r="F15">
            <v>0</v>
          </cell>
        </row>
        <row r="16">
          <cell r="B16">
            <v>7016</v>
          </cell>
          <cell r="C16" t="str">
            <v>保户储金及投资款净增加额</v>
          </cell>
          <cell r="F16">
            <v>0</v>
          </cell>
        </row>
        <row r="17">
          <cell r="B17">
            <v>7021</v>
          </cell>
          <cell r="C17" t="str">
            <v>处置以公允价值计量且其变动计入当期损益的金融资产净增加额</v>
          </cell>
          <cell r="F17">
            <v>0</v>
          </cell>
        </row>
        <row r="18">
          <cell r="B18">
            <v>7023</v>
          </cell>
          <cell r="C18" t="str">
            <v>收取利息、手续费及佣金的现金</v>
          </cell>
          <cell r="F18">
            <v>0</v>
          </cell>
        </row>
        <row r="19">
          <cell r="B19">
            <v>7025</v>
          </cell>
          <cell r="C19" t="str">
            <v>拆入资金净增加额</v>
          </cell>
          <cell r="F19">
            <v>0</v>
          </cell>
        </row>
        <row r="20">
          <cell r="B20">
            <v>7026</v>
          </cell>
          <cell r="C20" t="str">
            <v>回购业务资金净增加额</v>
          </cell>
          <cell r="F20">
            <v>0</v>
          </cell>
        </row>
        <row r="21">
          <cell r="B21">
            <v>7031</v>
          </cell>
          <cell r="C21" t="str">
            <v>收到的税费返还</v>
          </cell>
          <cell r="E21">
            <v>0</v>
          </cell>
          <cell r="F21">
            <v>0</v>
          </cell>
        </row>
        <row r="22">
          <cell r="B22">
            <v>7046</v>
          </cell>
          <cell r="C22" t="str">
            <v>收到其他与经营活动有关的现金</v>
          </cell>
          <cell r="E22">
            <v>1009248.62</v>
          </cell>
          <cell r="F22">
            <v>14091863.050000001</v>
          </cell>
        </row>
        <row r="23">
          <cell r="B23">
            <v>7048</v>
          </cell>
          <cell r="C23" t="str">
            <v>经营活动现金流入小计</v>
          </cell>
          <cell r="E23">
            <v>126646919.20999999</v>
          </cell>
          <cell r="F23">
            <v>405707988.25999999</v>
          </cell>
        </row>
        <row r="24">
          <cell r="B24">
            <v>7051</v>
          </cell>
          <cell r="C24" t="str">
            <v>购买商品、接受劳务支付的现金</v>
          </cell>
          <cell r="E24">
            <v>150439544.69999999</v>
          </cell>
          <cell r="F24">
            <v>301625485.38999999</v>
          </cell>
        </row>
        <row r="25">
          <cell r="B25">
            <v>7053</v>
          </cell>
          <cell r="C25" t="str">
            <v>客户贷款及垫款净增加额</v>
          </cell>
          <cell r="F25">
            <v>0</v>
          </cell>
        </row>
        <row r="26">
          <cell r="B26">
            <v>7054</v>
          </cell>
          <cell r="C26" t="str">
            <v>存放中央银行和同业款项净增加额</v>
          </cell>
          <cell r="F26">
            <v>0</v>
          </cell>
        </row>
        <row r="27">
          <cell r="B27">
            <v>7055</v>
          </cell>
          <cell r="C27" t="str">
            <v>支付原保险合同赔付款项的现金</v>
          </cell>
          <cell r="F27">
            <v>0</v>
          </cell>
        </row>
        <row r="28">
          <cell r="B28">
            <v>7056</v>
          </cell>
          <cell r="C28" t="str">
            <v>支付利息、手续费及佣金的现金</v>
          </cell>
          <cell r="F28">
            <v>0</v>
          </cell>
        </row>
        <row r="29">
          <cell r="B29">
            <v>7057</v>
          </cell>
          <cell r="C29" t="str">
            <v>支付保单红利的现金</v>
          </cell>
          <cell r="F29">
            <v>0</v>
          </cell>
        </row>
        <row r="30">
          <cell r="B30">
            <v>7061</v>
          </cell>
          <cell r="C30" t="str">
            <v>支付给职工以及为职工支付的现金</v>
          </cell>
          <cell r="E30">
            <v>25817090.350000001</v>
          </cell>
          <cell r="F30">
            <v>45991416.079999998</v>
          </cell>
        </row>
        <row r="31">
          <cell r="B31">
            <v>7071</v>
          </cell>
          <cell r="C31" t="str">
            <v>支付的各项税费</v>
          </cell>
          <cell r="E31">
            <v>502480.28</v>
          </cell>
          <cell r="F31">
            <v>31214180.52</v>
          </cell>
        </row>
        <row r="32">
          <cell r="B32">
            <v>7096</v>
          </cell>
          <cell r="C32" t="str">
            <v>支付其他与经营活动有关的现金</v>
          </cell>
          <cell r="E32">
            <v>60119938.380000003</v>
          </cell>
          <cell r="F32">
            <v>73666459.489999995</v>
          </cell>
        </row>
        <row r="33">
          <cell r="B33">
            <v>7098</v>
          </cell>
          <cell r="C33" t="str">
            <v>经营活动现金流出小计</v>
          </cell>
          <cell r="E33">
            <v>236879053.71000001</v>
          </cell>
          <cell r="F33">
            <v>452497541.48000002</v>
          </cell>
        </row>
        <row r="34">
          <cell r="B34">
            <v>7099</v>
          </cell>
          <cell r="C34" t="str">
            <v>经营活动产生的现金流量净额</v>
          </cell>
          <cell r="E34">
            <v>-110232134.5</v>
          </cell>
          <cell r="F34">
            <v>-46789553.219999999</v>
          </cell>
        </row>
        <row r="35">
          <cell r="B35">
            <v>7100</v>
          </cell>
          <cell r="C35" t="str">
            <v>二、投资活动产生的现金流量：</v>
          </cell>
          <cell r="F35">
            <v>0</v>
          </cell>
        </row>
        <row r="36">
          <cell r="B36">
            <v>7101</v>
          </cell>
          <cell r="C36" t="str">
            <v>收回投资收到的现金</v>
          </cell>
          <cell r="E36">
            <v>0</v>
          </cell>
          <cell r="F36">
            <v>104990000</v>
          </cell>
        </row>
        <row r="37">
          <cell r="B37">
            <v>7105</v>
          </cell>
          <cell r="C37" t="str">
            <v>取得投资收益收到的现金</v>
          </cell>
          <cell r="E37">
            <v>487100.02</v>
          </cell>
          <cell r="F37">
            <v>902178.35</v>
          </cell>
        </row>
        <row r="38">
          <cell r="B38">
            <v>7111</v>
          </cell>
          <cell r="C38" t="str">
            <v>处置固定资产、无形资产和其他长期资产收回的现金净额</v>
          </cell>
          <cell r="E38">
            <v>129290.57</v>
          </cell>
          <cell r="F38">
            <v>0</v>
          </cell>
        </row>
        <row r="39">
          <cell r="B39">
            <v>7121</v>
          </cell>
          <cell r="C39" t="str">
            <v>处置子公司及其他营业单位收到的现金净额</v>
          </cell>
          <cell r="E39">
            <v>0</v>
          </cell>
          <cell r="F39">
            <v>0</v>
          </cell>
        </row>
        <row r="40">
          <cell r="B40">
            <v>7146</v>
          </cell>
          <cell r="C40" t="str">
            <v>收到其他与投资活动有关的现金</v>
          </cell>
          <cell r="E40">
            <v>0</v>
          </cell>
          <cell r="F40">
            <v>0</v>
          </cell>
        </row>
        <row r="41">
          <cell r="B41">
            <v>7148</v>
          </cell>
          <cell r="C41" t="str">
            <v>投资活动现金流入小计</v>
          </cell>
          <cell r="E41">
            <v>616390.59</v>
          </cell>
          <cell r="F41">
            <v>105892178.34999999</v>
          </cell>
        </row>
        <row r="42">
          <cell r="B42">
            <v>7151</v>
          </cell>
          <cell r="C42" t="str">
            <v>购置固定资产、无形资产和其他长期资产支付的现金</v>
          </cell>
          <cell r="E42">
            <v>32274224.190000001</v>
          </cell>
          <cell r="F42">
            <v>26344550.879999999</v>
          </cell>
        </row>
        <row r="43">
          <cell r="B43">
            <v>7161</v>
          </cell>
          <cell r="C43" t="str">
            <v>投资支付的现金</v>
          </cell>
          <cell r="E43">
            <v>0</v>
          </cell>
          <cell r="F43">
            <v>13563393.26</v>
          </cell>
        </row>
        <row r="44">
          <cell r="B44">
            <v>7165</v>
          </cell>
          <cell r="C44" t="str">
            <v>质押贷款净增加额</v>
          </cell>
          <cell r="F44">
            <v>0</v>
          </cell>
        </row>
        <row r="45">
          <cell r="B45">
            <v>7171</v>
          </cell>
          <cell r="C45" t="str">
            <v>取得子公司及其他营业单位支付的现金净额</v>
          </cell>
          <cell r="E45">
            <v>0</v>
          </cell>
          <cell r="F45">
            <v>0</v>
          </cell>
        </row>
        <row r="46">
          <cell r="B46">
            <v>7196</v>
          </cell>
          <cell r="C46" t="str">
            <v>支付其他与投资活动有关的现金</v>
          </cell>
          <cell r="E46">
            <v>0</v>
          </cell>
          <cell r="F46">
            <v>0</v>
          </cell>
        </row>
        <row r="47">
          <cell r="B47">
            <v>7198</v>
          </cell>
          <cell r="C47" t="str">
            <v>投资活动现金流出小计</v>
          </cell>
          <cell r="E47">
            <v>32274224.190000001</v>
          </cell>
          <cell r="F47">
            <v>39907944.140000001</v>
          </cell>
        </row>
        <row r="48">
          <cell r="B48">
            <v>7199</v>
          </cell>
          <cell r="C48" t="str">
            <v>投资活动产生的现金流量净额</v>
          </cell>
          <cell r="E48">
            <v>-31657833.600000001</v>
          </cell>
          <cell r="F48">
            <v>65984234.210000001</v>
          </cell>
        </row>
        <row r="49">
          <cell r="B49">
            <v>7200</v>
          </cell>
          <cell r="C49" t="str">
            <v>三、筹资活动产生的现金流量：</v>
          </cell>
          <cell r="F49">
            <v>0</v>
          </cell>
        </row>
        <row r="50">
          <cell r="B50">
            <v>7201</v>
          </cell>
          <cell r="C50" t="str">
            <v>吸收投资收到的现金</v>
          </cell>
          <cell r="E50">
            <v>0</v>
          </cell>
          <cell r="F50">
            <v>75600001</v>
          </cell>
        </row>
        <row r="51">
          <cell r="B51">
            <v>7201.01</v>
          </cell>
          <cell r="C51" t="str">
            <v>其中：子公司吸收少数股东权益性投资收到的现金</v>
          </cell>
          <cell r="F51">
            <v>0</v>
          </cell>
        </row>
        <row r="52">
          <cell r="B52">
            <v>7211</v>
          </cell>
          <cell r="C52" t="str">
            <v>取得借款收到的现金</v>
          </cell>
          <cell r="E52">
            <v>42240699.979999997</v>
          </cell>
          <cell r="F52">
            <v>71738421.109999999</v>
          </cell>
        </row>
        <row r="53">
          <cell r="B53">
            <v>7221</v>
          </cell>
          <cell r="C53" t="str">
            <v>发行债券收到的现金</v>
          </cell>
          <cell r="E53">
            <v>0</v>
          </cell>
          <cell r="F53">
            <v>0</v>
          </cell>
        </row>
        <row r="54">
          <cell r="B54">
            <v>7246</v>
          </cell>
          <cell r="C54" t="str">
            <v>收到其他与筹资活动有关的现金</v>
          </cell>
          <cell r="E54">
            <v>14958887.6</v>
          </cell>
          <cell r="F54">
            <v>0</v>
          </cell>
        </row>
        <row r="55">
          <cell r="B55">
            <v>7248</v>
          </cell>
          <cell r="C55" t="str">
            <v>筹资活动现金流入小计</v>
          </cell>
          <cell r="E55">
            <v>57199587.579999998</v>
          </cell>
          <cell r="F55">
            <v>147338422.11000001</v>
          </cell>
        </row>
        <row r="56">
          <cell r="B56">
            <v>7251</v>
          </cell>
          <cell r="C56" t="str">
            <v>偿还债务支付的现金</v>
          </cell>
          <cell r="E56">
            <v>22320699.98</v>
          </cell>
          <cell r="F56">
            <v>29361905.199999999</v>
          </cell>
        </row>
        <row r="57">
          <cell r="B57">
            <v>7261</v>
          </cell>
          <cell r="C57" t="str">
            <v>分配股利、利润或偿付利息支付的现金</v>
          </cell>
          <cell r="E57">
            <v>2234664.42</v>
          </cell>
          <cell r="F57">
            <v>4013126.32</v>
          </cell>
        </row>
        <row r="58">
          <cell r="B58">
            <v>7261.01</v>
          </cell>
          <cell r="C58" t="str">
            <v>其中：子公司支付少数股东的现金股利</v>
          </cell>
          <cell r="F58">
            <v>0</v>
          </cell>
        </row>
        <row r="59">
          <cell r="B59">
            <v>7296</v>
          </cell>
          <cell r="C59" t="str">
            <v>支付其他与筹资活动有关的现金</v>
          </cell>
          <cell r="E59">
            <v>1359031.03</v>
          </cell>
          <cell r="F59">
            <v>31088758.620000001</v>
          </cell>
        </row>
        <row r="60">
          <cell r="B60">
            <v>7296.11</v>
          </cell>
          <cell r="C60" t="str">
            <v>其中：子公司减资支付给少数股东的现金</v>
          </cell>
          <cell r="F60">
            <v>0</v>
          </cell>
        </row>
        <row r="61">
          <cell r="B61">
            <v>7298</v>
          </cell>
          <cell r="C61" t="str">
            <v>筹资活动现金流出小计</v>
          </cell>
          <cell r="E61">
            <v>25914395.43</v>
          </cell>
          <cell r="F61">
            <v>64463790.140000001</v>
          </cell>
        </row>
        <row r="62">
          <cell r="B62">
            <v>7299</v>
          </cell>
          <cell r="C62" t="str">
            <v>筹资活动产生的现金流量净额</v>
          </cell>
          <cell r="E62">
            <v>31285192.149999999</v>
          </cell>
          <cell r="F62">
            <v>82874631.969999999</v>
          </cell>
        </row>
        <row r="63">
          <cell r="B63">
            <v>7309</v>
          </cell>
          <cell r="C63" t="str">
            <v>四、汇率变动对现金及现金等价物的影响</v>
          </cell>
          <cell r="F63">
            <v>0</v>
          </cell>
        </row>
        <row r="64">
          <cell r="B64">
            <v>7348</v>
          </cell>
          <cell r="C64" t="str">
            <v>五、现金及现金等价物净增加额</v>
          </cell>
          <cell r="E64">
            <v>-110604775.95</v>
          </cell>
          <cell r="F64">
            <v>102069312.95999999</v>
          </cell>
        </row>
        <row r="65">
          <cell r="B65">
            <v>7349</v>
          </cell>
          <cell r="C65" t="str">
            <v>加：期初现金及现金等价物余额</v>
          </cell>
          <cell r="E65">
            <v>163033259.58000001</v>
          </cell>
          <cell r="F65">
            <v>60963946.619999997</v>
          </cell>
        </row>
        <row r="66">
          <cell r="B66">
            <v>7399</v>
          </cell>
          <cell r="C66" t="str">
            <v>六、期末现金及现金等价物余额</v>
          </cell>
          <cell r="E66">
            <v>52428483.630000003</v>
          </cell>
          <cell r="F66">
            <v>163033259.58000001</v>
          </cell>
        </row>
        <row r="70">
          <cell r="C70" t="str">
            <v>补充资料</v>
          </cell>
          <cell r="E70" t="str">
            <v>本年金额</v>
          </cell>
          <cell r="F70" t="str">
            <v>上年金额</v>
          </cell>
        </row>
        <row r="71">
          <cell r="B71">
            <v>7501</v>
          </cell>
          <cell r="C71" t="str">
            <v>1.将净利润调节为经营活动现金流量：</v>
          </cell>
          <cell r="F71">
            <v>0</v>
          </cell>
        </row>
        <row r="72">
          <cell r="B72">
            <v>7502</v>
          </cell>
          <cell r="C72" t="str">
            <v>净利润</v>
          </cell>
          <cell r="E72">
            <v>17906312.969999999</v>
          </cell>
          <cell r="F72">
            <v>25697052.48</v>
          </cell>
        </row>
        <row r="73">
          <cell r="B73">
            <v>7503</v>
          </cell>
          <cell r="C73" t="str">
            <v>加：资产减值准备</v>
          </cell>
          <cell r="E73">
            <v>6944633.6500000004</v>
          </cell>
          <cell r="F73">
            <v>11514489.27</v>
          </cell>
        </row>
        <row r="74">
          <cell r="B74">
            <v>7505</v>
          </cell>
          <cell r="C74" t="str">
            <v>固定资产折旧、油气资产折耗、生产性生物资产折旧</v>
          </cell>
          <cell r="E74">
            <v>1080754.98</v>
          </cell>
          <cell r="F74">
            <v>1593497.5</v>
          </cell>
        </row>
        <row r="75">
          <cell r="B75">
            <v>7506</v>
          </cell>
          <cell r="C75" t="str">
            <v>无形资产摊销</v>
          </cell>
          <cell r="E75">
            <v>718540.94</v>
          </cell>
          <cell r="F75">
            <v>613075.88</v>
          </cell>
        </row>
        <row r="76">
          <cell r="B76">
            <v>7507</v>
          </cell>
          <cell r="C76" t="str">
            <v>长期待摊费用摊销</v>
          </cell>
          <cell r="E76">
            <v>666642.78</v>
          </cell>
          <cell r="F76">
            <v>885573.52</v>
          </cell>
        </row>
        <row r="77">
          <cell r="B77">
            <v>7508</v>
          </cell>
          <cell r="C77" t="str">
            <v>处置固定资产、无形资产和其他长期资产的损失（收益以“－”号填列）</v>
          </cell>
          <cell r="E77">
            <v>137970.93</v>
          </cell>
          <cell r="F77">
            <v>6188.4</v>
          </cell>
        </row>
        <row r="78">
          <cell r="B78">
            <v>7509</v>
          </cell>
          <cell r="C78" t="str">
            <v>固定资产报废损失（收益以“－”号填列）</v>
          </cell>
          <cell r="F78">
            <v>0</v>
          </cell>
        </row>
        <row r="79">
          <cell r="B79">
            <v>7510</v>
          </cell>
          <cell r="C79" t="str">
            <v>公允价值变动损失（收益以“－”号填列）</v>
          </cell>
          <cell r="F79">
            <v>0</v>
          </cell>
        </row>
        <row r="80">
          <cell r="B80">
            <v>7511</v>
          </cell>
          <cell r="C80" t="str">
            <v>财务费用（收益以“－”号填列）</v>
          </cell>
          <cell r="E80">
            <v>5587606.9299999997</v>
          </cell>
          <cell r="F80">
            <v>7059915.6799999997</v>
          </cell>
        </row>
        <row r="81">
          <cell r="B81">
            <v>7512</v>
          </cell>
          <cell r="C81" t="str">
            <v>投资损失（收益以“－”号填列）</v>
          </cell>
          <cell r="E81">
            <v>-487100.02</v>
          </cell>
          <cell r="F81">
            <v>-902178.35</v>
          </cell>
        </row>
        <row r="82">
          <cell r="B82">
            <v>7515</v>
          </cell>
          <cell r="C82" t="str">
            <v>递延所得税资产减少（增加以“－”号填列）</v>
          </cell>
          <cell r="E82">
            <v>-540196.35</v>
          </cell>
          <cell r="F82">
            <v>-1328968.8</v>
          </cell>
        </row>
        <row r="83">
          <cell r="B83">
            <v>7516</v>
          </cell>
          <cell r="C83" t="str">
            <v>递延所得税负债增加（减少以“－”号填列）</v>
          </cell>
          <cell r="F83">
            <v>0</v>
          </cell>
        </row>
        <row r="84">
          <cell r="B84">
            <v>7517</v>
          </cell>
          <cell r="C84" t="str">
            <v>存货的减少（增加以“－”号填列）</v>
          </cell>
          <cell r="E84">
            <v>22570437.859999999</v>
          </cell>
          <cell r="F84">
            <v>-73595142.370000005</v>
          </cell>
        </row>
        <row r="85">
          <cell r="B85">
            <v>7518</v>
          </cell>
          <cell r="C85" t="str">
            <v>经营性应收项目的减少（增加以“－”号填列）</v>
          </cell>
          <cell r="E85">
            <v>-134541487.99000001</v>
          </cell>
          <cell r="F85">
            <v>-50909710.740000002</v>
          </cell>
        </row>
        <row r="86">
          <cell r="B86">
            <v>7519</v>
          </cell>
          <cell r="C86" t="str">
            <v>经营性应付项目的增加（减少以“－”号填列）</v>
          </cell>
          <cell r="E86">
            <v>-36399431.07</v>
          </cell>
          <cell r="F86">
            <v>31017258.199999999</v>
          </cell>
        </row>
        <row r="87">
          <cell r="B87">
            <v>7523</v>
          </cell>
          <cell r="C87" t="str">
            <v>其他</v>
          </cell>
          <cell r="E87">
            <v>949244.26</v>
          </cell>
          <cell r="F87">
            <v>1559396.11</v>
          </cell>
        </row>
        <row r="88">
          <cell r="B88">
            <v>7525</v>
          </cell>
          <cell r="C88" t="str">
            <v>经营活动产生的现金流量净额</v>
          </cell>
          <cell r="E88">
            <v>-115406070.13</v>
          </cell>
          <cell r="F88">
            <v>-46789553.219999999</v>
          </cell>
        </row>
        <row r="89">
          <cell r="B89">
            <v>7526</v>
          </cell>
          <cell r="C89" t="str">
            <v>2.不涉及现金收支的重大投资和筹资活动：</v>
          </cell>
          <cell r="F89">
            <v>0</v>
          </cell>
        </row>
        <row r="90">
          <cell r="B90">
            <v>7527</v>
          </cell>
          <cell r="C90" t="str">
            <v>债务转为资本</v>
          </cell>
          <cell r="F90">
            <v>0</v>
          </cell>
        </row>
        <row r="91">
          <cell r="B91">
            <v>7528</v>
          </cell>
          <cell r="C91" t="str">
            <v>一年内到期的可转换公司债券</v>
          </cell>
          <cell r="F91">
            <v>0</v>
          </cell>
        </row>
        <row r="92">
          <cell r="B92">
            <v>7529</v>
          </cell>
          <cell r="C92" t="str">
            <v>融资租入固定资产</v>
          </cell>
          <cell r="F92">
            <v>0</v>
          </cell>
        </row>
        <row r="93">
          <cell r="B93">
            <v>7533</v>
          </cell>
          <cell r="C93" t="str">
            <v>3.现金及现金等价物净变动情况：</v>
          </cell>
          <cell r="F93">
            <v>0</v>
          </cell>
        </row>
        <row r="94">
          <cell r="B94">
            <v>7535</v>
          </cell>
          <cell r="C94" t="str">
            <v>现金的期末余额</v>
          </cell>
          <cell r="E94">
            <v>52428483.630000003</v>
          </cell>
          <cell r="F94">
            <v>163033259.58000001</v>
          </cell>
        </row>
        <row r="95">
          <cell r="B95">
            <v>7536</v>
          </cell>
          <cell r="C95" t="str">
            <v>减：现金的年初余额</v>
          </cell>
          <cell r="E95">
            <v>163033259.58000001</v>
          </cell>
          <cell r="F95">
            <v>60963946.619999997</v>
          </cell>
        </row>
        <row r="96">
          <cell r="B96">
            <v>7537</v>
          </cell>
          <cell r="C96" t="str">
            <v>加：现金等价物的期末余额</v>
          </cell>
          <cell r="F96">
            <v>0</v>
          </cell>
        </row>
        <row r="97">
          <cell r="B97">
            <v>7538</v>
          </cell>
          <cell r="C97" t="str">
            <v>减：现金等价物的年初余额</v>
          </cell>
          <cell r="F97">
            <v>0</v>
          </cell>
        </row>
        <row r="98">
          <cell r="B98">
            <v>7539</v>
          </cell>
          <cell r="C98" t="str">
            <v>现金及现金等价物净增加额</v>
          </cell>
          <cell r="E98">
            <v>-110604775.95</v>
          </cell>
          <cell r="F98">
            <v>102069312.95999999</v>
          </cell>
        </row>
      </sheetData>
      <sheetData sheetId="15">
        <row r="50">
          <cell r="C50" t="str">
            <v>现金流量表补充资料</v>
          </cell>
          <cell r="E50" t="str">
            <v>本年金额</v>
          </cell>
          <cell r="F50" t="str">
            <v>上年金额</v>
          </cell>
        </row>
        <row r="51">
          <cell r="B51">
            <v>7501</v>
          </cell>
          <cell r="C51" t="str">
            <v>1.将净利润调节为经营活动现金流量：</v>
          </cell>
        </row>
        <row r="52">
          <cell r="B52">
            <v>7502</v>
          </cell>
          <cell r="C52" t="str">
            <v>净利润</v>
          </cell>
          <cell r="E52">
            <v>23301452.34</v>
          </cell>
          <cell r="F52">
            <v>25697052.48</v>
          </cell>
        </row>
        <row r="53">
          <cell r="B53">
            <v>7503</v>
          </cell>
          <cell r="C53" t="str">
            <v>加：资产减值准备</v>
          </cell>
          <cell r="E53">
            <v>6944633.6500000004</v>
          </cell>
          <cell r="F53">
            <v>11514489.27</v>
          </cell>
        </row>
        <row r="54">
          <cell r="B54">
            <v>7505</v>
          </cell>
          <cell r="C54" t="str">
            <v>固定资产折旧、油气资产折耗、生产性生物资产折旧</v>
          </cell>
          <cell r="E54">
            <v>1080754.98</v>
          </cell>
          <cell r="F54">
            <v>1593497.5</v>
          </cell>
        </row>
        <row r="55">
          <cell r="B55">
            <v>7506</v>
          </cell>
          <cell r="C55" t="str">
            <v>无形资产摊销</v>
          </cell>
          <cell r="E55">
            <v>718540.94</v>
          </cell>
          <cell r="F55">
            <v>613075.88</v>
          </cell>
        </row>
        <row r="56">
          <cell r="B56">
            <v>7507</v>
          </cell>
          <cell r="C56" t="str">
            <v>长期待摊费用摊销</v>
          </cell>
          <cell r="E56">
            <v>666642.78</v>
          </cell>
          <cell r="F56">
            <v>885573.52</v>
          </cell>
        </row>
        <row r="57">
          <cell r="B57">
            <v>7508</v>
          </cell>
          <cell r="C57" t="str">
            <v>处置固定资产、无形资产和其他长期资产的损失（收益以“－”号填列）</v>
          </cell>
          <cell r="E57">
            <v>-129290.57</v>
          </cell>
          <cell r="F57">
            <v>6188.4</v>
          </cell>
        </row>
        <row r="58">
          <cell r="B58">
            <v>7509</v>
          </cell>
          <cell r="C58" t="str">
            <v>固定资产报废损失（收益以“－”号填列）</v>
          </cell>
          <cell r="E58">
            <v>46057.760000000002</v>
          </cell>
          <cell r="F58">
            <v>0</v>
          </cell>
        </row>
        <row r="59">
          <cell r="B59">
            <v>7510</v>
          </cell>
          <cell r="C59" t="str">
            <v>公允价值变动损失（收益以“－”号填列）</v>
          </cell>
          <cell r="E59">
            <v>0</v>
          </cell>
          <cell r="F59">
            <v>0</v>
          </cell>
        </row>
        <row r="60">
          <cell r="B60">
            <v>7511</v>
          </cell>
          <cell r="C60" t="str">
            <v>财务费用（收益以“－”号填列）</v>
          </cell>
          <cell r="E60">
            <v>5587606.9299999997</v>
          </cell>
          <cell r="F60">
            <v>7059915.6799999997</v>
          </cell>
        </row>
        <row r="61">
          <cell r="B61">
            <v>7512</v>
          </cell>
          <cell r="C61" t="str">
            <v>投资损失（收益以“－”号填列）</v>
          </cell>
          <cell r="E61">
            <v>-487100.02</v>
          </cell>
          <cell r="F61">
            <v>-902178.35</v>
          </cell>
        </row>
        <row r="62">
          <cell r="B62">
            <v>7515</v>
          </cell>
          <cell r="C62" t="str">
            <v>递延所得税资产减少（增加以“－”号填列）</v>
          </cell>
          <cell r="E62">
            <v>-540196.35</v>
          </cell>
          <cell r="F62">
            <v>-1328968.8</v>
          </cell>
        </row>
        <row r="63">
          <cell r="B63">
            <v>7516</v>
          </cell>
          <cell r="C63" t="str">
            <v>递延所得税负债增加（减少以“－”号填列）</v>
          </cell>
          <cell r="E63">
            <v>0</v>
          </cell>
          <cell r="F63">
            <v>0</v>
          </cell>
        </row>
        <row r="64">
          <cell r="B64">
            <v>7517</v>
          </cell>
          <cell r="C64" t="str">
            <v>存货的减少（增加以“－”号填列）</v>
          </cell>
          <cell r="E64">
            <v>22570437.859999999</v>
          </cell>
          <cell r="F64">
            <v>-73595142.370000005</v>
          </cell>
        </row>
        <row r="65">
          <cell r="B65">
            <v>7518</v>
          </cell>
          <cell r="C65" t="str">
            <v>经营性应收项目的减少（增加以“－”号填列）</v>
          </cell>
          <cell r="E65">
            <v>-134541487.99000001</v>
          </cell>
          <cell r="F65">
            <v>-50909710.740000002</v>
          </cell>
        </row>
        <row r="66">
          <cell r="B66">
            <v>7519</v>
          </cell>
          <cell r="C66" t="str">
            <v>经营性应付项目的增加（减少以“－”号填列）</v>
          </cell>
          <cell r="E66">
            <v>-36399431.07</v>
          </cell>
          <cell r="F66">
            <v>31017258.199999999</v>
          </cell>
        </row>
        <row r="67">
          <cell r="B67">
            <v>7523</v>
          </cell>
          <cell r="C67" t="str">
            <v>其他</v>
          </cell>
          <cell r="E67">
            <v>949244.26</v>
          </cell>
          <cell r="F67">
            <v>1559396.11</v>
          </cell>
        </row>
        <row r="68">
          <cell r="B68">
            <v>7525</v>
          </cell>
          <cell r="C68" t="str">
            <v>经营活动产生的现金流量净额</v>
          </cell>
          <cell r="E68">
            <v>-110232134.5</v>
          </cell>
          <cell r="F68">
            <v>-46789553.219999999</v>
          </cell>
        </row>
        <row r="69">
          <cell r="B69">
            <v>7526</v>
          </cell>
          <cell r="C69" t="str">
            <v>2.不涉及现金收支的重大投资和筹资活动：</v>
          </cell>
        </row>
        <row r="70">
          <cell r="B70">
            <v>7527</v>
          </cell>
          <cell r="C70" t="str">
            <v>债务转为资本</v>
          </cell>
          <cell r="E70">
            <v>0</v>
          </cell>
          <cell r="F70">
            <v>0</v>
          </cell>
        </row>
        <row r="71">
          <cell r="B71">
            <v>7528</v>
          </cell>
          <cell r="C71" t="str">
            <v>一年内到期的可转换公司债券</v>
          </cell>
          <cell r="E71">
            <v>0</v>
          </cell>
          <cell r="F71">
            <v>0</v>
          </cell>
        </row>
        <row r="72">
          <cell r="B72">
            <v>7529</v>
          </cell>
          <cell r="C72" t="str">
            <v>融资租入固定资产</v>
          </cell>
          <cell r="E72">
            <v>0</v>
          </cell>
          <cell r="F72">
            <v>0</v>
          </cell>
        </row>
        <row r="73">
          <cell r="B73">
            <v>7533</v>
          </cell>
          <cell r="C73" t="str">
            <v>3.现金及现金等价物净变动情况：</v>
          </cell>
        </row>
        <row r="74">
          <cell r="B74">
            <v>7535</v>
          </cell>
          <cell r="C74" t="str">
            <v>现金的期末余额</v>
          </cell>
          <cell r="E74">
            <v>52428483.630000003</v>
          </cell>
          <cell r="F74">
            <v>163033259.58000001</v>
          </cell>
        </row>
        <row r="75">
          <cell r="B75">
            <v>7536</v>
          </cell>
          <cell r="C75" t="str">
            <v>减：现金的年初余额</v>
          </cell>
          <cell r="E75">
            <v>163033259.58000001</v>
          </cell>
          <cell r="F75">
            <v>60963946.619999997</v>
          </cell>
        </row>
        <row r="76">
          <cell r="B76">
            <v>7537</v>
          </cell>
          <cell r="C76" t="str">
            <v>加：现金等价物的期末余额</v>
          </cell>
          <cell r="E76">
            <v>0</v>
          </cell>
          <cell r="F76">
            <v>0</v>
          </cell>
        </row>
        <row r="77">
          <cell r="B77">
            <v>7538</v>
          </cell>
          <cell r="C77" t="str">
            <v>减：现金等价物的年初余额</v>
          </cell>
          <cell r="E77">
            <v>0</v>
          </cell>
          <cell r="F77">
            <v>0</v>
          </cell>
        </row>
        <row r="78">
          <cell r="B78">
            <v>7539</v>
          </cell>
          <cell r="C78" t="str">
            <v>现金及现金等价物净增加额</v>
          </cell>
          <cell r="E78">
            <v>-110604775.95</v>
          </cell>
          <cell r="F78">
            <v>102069312.95999999</v>
          </cell>
        </row>
      </sheetData>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preCE"/>
      <sheetName val="TB"/>
      <sheetName val="坏账及减值表"/>
      <sheetName val="递延所得税计算表"/>
      <sheetName val="所得税计算表"/>
      <sheetName val="CF底稿"/>
      <sheetName val="BS"/>
      <sheetName val="IS"/>
      <sheetName val="CF"/>
      <sheetName val="CE"/>
      <sheetName val="冲销分录汇总"/>
      <sheetName val="AJE"/>
      <sheetName val="CFJE"/>
      <sheetName val="UJE"/>
      <sheetName val="AJE1"/>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E2" t="str">
            <v>：</v>
          </cell>
          <cell r="G2" t="str">
            <v>资产负债表</v>
          </cell>
          <cell r="I2">
            <v>1</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E3" t="str">
            <v>：</v>
          </cell>
          <cell r="G3" t="str">
            <v>流动资产：</v>
          </cell>
          <cell r="I3">
            <v>1000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F4">
            <v>3100</v>
          </cell>
          <cell r="G4" t="str">
            <v>货币资金</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G5" t="str">
            <v>结算备付金</v>
          </cell>
          <cell r="I5">
            <v>1021</v>
          </cell>
          <cell r="J5" t="str">
            <v>J</v>
          </cell>
          <cell r="M5" t="str">
            <v>以公允价值计量且其变动计入当期损益的金融资产</v>
          </cell>
          <cell r="P5" t="str">
            <v>支付给职工以及为职工支付的现金</v>
          </cell>
          <cell r="S5" t="str">
            <v>1101a</v>
          </cell>
          <cell r="T5" t="str">
            <v>以公允价值计量且其变动计入当期损益的金融资产</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G6" t="str">
            <v>拆出资金</v>
          </cell>
          <cell r="I6">
            <v>1302</v>
          </cell>
          <cell r="J6" t="str">
            <v>J</v>
          </cell>
          <cell r="M6" t="str">
            <v>衍生金融资产</v>
          </cell>
          <cell r="P6" t="str">
            <v>支付的各项税费</v>
          </cell>
          <cell r="S6" t="str">
            <v>1101c</v>
          </cell>
          <cell r="T6" t="str">
            <v>以公允价值计量且其变动计入当期损益的金融资产（证券公司适用）</v>
          </cell>
          <cell r="U6" t="str">
            <v>项       目</v>
          </cell>
          <cell r="V6">
            <v>1</v>
          </cell>
          <cell r="W6">
            <v>1101</v>
          </cell>
          <cell r="X6">
            <v>2</v>
          </cell>
          <cell r="AG6" t="str">
            <v>客户初步同意调整</v>
          </cell>
          <cell r="AI6" t="str">
            <v>已取得关键证据</v>
          </cell>
          <cell r="AK6" t="str">
            <v>6损益</v>
          </cell>
        </row>
        <row r="7">
          <cell r="B7">
            <v>1101</v>
          </cell>
          <cell r="C7" t="str">
            <v>以公允价值计量且其变动计入当期损益的金融资产</v>
          </cell>
          <cell r="D7">
            <v>1</v>
          </cell>
          <cell r="F7" t="str">
            <v>3210_3280</v>
          </cell>
          <cell r="G7" t="str">
            <v>以公允价值计量且其变动计入当期损益的金融资产</v>
          </cell>
          <cell r="I7">
            <v>1101</v>
          </cell>
          <cell r="J7" t="str">
            <v>J</v>
          </cell>
          <cell r="M7" t="str">
            <v>应收票据</v>
          </cell>
          <cell r="P7" t="str">
            <v>支付其他与经营活动有关的现金</v>
          </cell>
          <cell r="S7" t="str">
            <v>1115a</v>
          </cell>
          <cell r="T7" t="str">
            <v>衍生金融资产</v>
          </cell>
          <cell r="U7" t="str">
            <v>项       目</v>
          </cell>
          <cell r="V7">
            <v>1</v>
          </cell>
          <cell r="W7">
            <v>1115</v>
          </cell>
          <cell r="X7">
            <v>1</v>
          </cell>
          <cell r="AG7" t="str">
            <v>客户有异议须继续沟通</v>
          </cell>
          <cell r="AK7" t="str">
            <v>61损益_收入</v>
          </cell>
        </row>
        <row r="8">
          <cell r="B8">
            <v>1115</v>
          </cell>
          <cell r="C8" t="str">
            <v>衍生金融资产</v>
          </cell>
          <cell r="D8">
            <v>1</v>
          </cell>
          <cell r="E8" t="str">
            <v>Ｘ</v>
          </cell>
          <cell r="F8">
            <v>3280</v>
          </cell>
          <cell r="G8" t="str">
            <v>衍生金融资产</v>
          </cell>
          <cell r="I8">
            <v>1115</v>
          </cell>
          <cell r="J8" t="str">
            <v>J</v>
          </cell>
          <cell r="M8" t="str">
            <v>应收账款</v>
          </cell>
          <cell r="P8" t="str">
            <v>收回投资收到的现金</v>
          </cell>
          <cell r="S8" t="str">
            <v>1123a</v>
          </cell>
          <cell r="T8" t="str">
            <v>应收票据及应收账款分类列示</v>
          </cell>
          <cell r="U8" t="str">
            <v>项       目</v>
          </cell>
          <cell r="V8">
            <v>1</v>
          </cell>
          <cell r="W8">
            <v>1123</v>
          </cell>
          <cell r="X8">
            <v>1</v>
          </cell>
          <cell r="AG8" t="str">
            <v>客户不同意调整</v>
          </cell>
          <cell r="AK8" t="str">
            <v>65损益_费用</v>
          </cell>
        </row>
        <row r="9">
          <cell r="B9">
            <v>1121</v>
          </cell>
          <cell r="C9" t="str">
            <v>应收票据</v>
          </cell>
          <cell r="D9">
            <v>1</v>
          </cell>
          <cell r="F9">
            <v>3310</v>
          </cell>
          <cell r="G9" t="str">
            <v>其中：应收票据</v>
          </cell>
          <cell r="I9">
            <v>1121</v>
          </cell>
          <cell r="J9" t="str">
            <v>J</v>
          </cell>
          <cell r="M9" t="str">
            <v>应收账款坏账准备</v>
          </cell>
          <cell r="P9" t="str">
            <v>取得投资收益收到的现金</v>
          </cell>
          <cell r="S9" t="str">
            <v>1121a</v>
          </cell>
          <cell r="T9" t="str">
            <v>应收票据分类</v>
          </cell>
          <cell r="U9" t="str">
            <v>种       类</v>
          </cell>
          <cell r="V9">
            <v>1</v>
          </cell>
          <cell r="W9">
            <v>1121</v>
          </cell>
          <cell r="X9">
            <v>1</v>
          </cell>
          <cell r="AG9" t="str">
            <v>客户正式同意调整</v>
          </cell>
        </row>
        <row r="10">
          <cell r="B10">
            <v>1122</v>
          </cell>
          <cell r="C10" t="str">
            <v>应收账款</v>
          </cell>
          <cell r="D10">
            <v>1</v>
          </cell>
          <cell r="F10">
            <v>3320</v>
          </cell>
          <cell r="G10" t="str">
            <v>其中：应收账款</v>
          </cell>
          <cell r="I10">
            <v>1122</v>
          </cell>
          <cell r="J10" t="str">
            <v>J</v>
          </cell>
          <cell r="M10" t="str">
            <v>应收票据及应收账款</v>
          </cell>
          <cell r="P10" t="str">
            <v>处置固定资产无形资产长期资产收回的现金</v>
          </cell>
          <cell r="S10" t="str">
            <v>1121b</v>
          </cell>
          <cell r="T10" t="str">
            <v>期末已质押的应收票据</v>
          </cell>
          <cell r="U10" t="str">
            <v>种       类</v>
          </cell>
          <cell r="V10">
            <v>1</v>
          </cell>
          <cell r="W10">
            <v>1121</v>
          </cell>
          <cell r="X10">
            <v>2</v>
          </cell>
          <cell r="AG10" t="str">
            <v>经理复核</v>
          </cell>
        </row>
        <row r="11">
          <cell r="B11">
            <v>1125</v>
          </cell>
          <cell r="C11" t="str">
            <v>预付款项</v>
          </cell>
          <cell r="D11">
            <v>1</v>
          </cell>
          <cell r="F11">
            <v>3330</v>
          </cell>
          <cell r="G11" t="str">
            <v>预付款项</v>
          </cell>
          <cell r="I11">
            <v>1125</v>
          </cell>
          <cell r="J11" t="str">
            <v>J</v>
          </cell>
          <cell r="M11" t="str">
            <v>预付款项</v>
          </cell>
          <cell r="P11" t="str">
            <v>处置子公司及其他营业单位收到的现金净额</v>
          </cell>
          <cell r="S11" t="str">
            <v>1121d</v>
          </cell>
          <cell r="T11" t="str">
            <v>期末已背书或贴现但尚未到期的应收票据</v>
          </cell>
          <cell r="U11" t="str">
            <v>种       类</v>
          </cell>
          <cell r="V11">
            <v>1</v>
          </cell>
          <cell r="W11">
            <v>1121</v>
          </cell>
          <cell r="X11">
            <v>2</v>
          </cell>
          <cell r="AG11" t="str">
            <v>合伙人复核</v>
          </cell>
        </row>
        <row r="12">
          <cell r="B12">
            <v>1127</v>
          </cell>
          <cell r="C12" t="str">
            <v>应收保费</v>
          </cell>
          <cell r="D12">
            <v>1</v>
          </cell>
          <cell r="E12" t="str">
            <v>△</v>
          </cell>
          <cell r="G12" t="str">
            <v>应收保费</v>
          </cell>
          <cell r="I12">
            <v>1127</v>
          </cell>
          <cell r="J12" t="str">
            <v>J</v>
          </cell>
          <cell r="M12" t="str">
            <v>预付款项坏账准备</v>
          </cell>
          <cell r="P12" t="str">
            <v>收到其他与投资活动有关的现金</v>
          </cell>
          <cell r="S12" t="str">
            <v>1121c</v>
          </cell>
          <cell r="T12" t="str">
            <v>期末因出票人未履约而转为应收账款的票据</v>
          </cell>
          <cell r="U12" t="str">
            <v>种       类</v>
          </cell>
          <cell r="V12">
            <v>1</v>
          </cell>
          <cell r="W12">
            <v>1121</v>
          </cell>
          <cell r="X12">
            <v>2</v>
          </cell>
          <cell r="AG12" t="str">
            <v>质控部复核</v>
          </cell>
        </row>
        <row r="13">
          <cell r="B13">
            <v>1211</v>
          </cell>
          <cell r="C13" t="str">
            <v>应收分保账款</v>
          </cell>
          <cell r="D13">
            <v>1</v>
          </cell>
          <cell r="E13" t="str">
            <v>△</v>
          </cell>
          <cell r="G13" t="str">
            <v>应收分保账款</v>
          </cell>
          <cell r="I13">
            <v>1211</v>
          </cell>
          <cell r="J13" t="str">
            <v>J</v>
          </cell>
          <cell r="M13" t="str">
            <v>应收股利</v>
          </cell>
          <cell r="P13" t="str">
            <v>购置固定资产无形资产长期资产支付的现金</v>
          </cell>
          <cell r="S13" t="str">
            <v>1122a</v>
          </cell>
          <cell r="T13" t="str">
            <v>应收账款按种类列示</v>
          </cell>
          <cell r="U13" t="str">
            <v>种       类</v>
          </cell>
          <cell r="V13">
            <v>1</v>
          </cell>
          <cell r="W13">
            <v>1122</v>
          </cell>
          <cell r="X13">
            <v>1</v>
          </cell>
        </row>
        <row r="14">
          <cell r="B14">
            <v>1212</v>
          </cell>
          <cell r="C14" t="str">
            <v>应收分保合同准备金</v>
          </cell>
          <cell r="D14">
            <v>1</v>
          </cell>
          <cell r="E14" t="str">
            <v>△</v>
          </cell>
          <cell r="G14" t="str">
            <v>应收分保准备金</v>
          </cell>
          <cell r="I14">
            <v>1212</v>
          </cell>
          <cell r="J14" t="str">
            <v>J</v>
          </cell>
          <cell r="M14" t="str">
            <v>应收利息</v>
          </cell>
          <cell r="P14" t="str">
            <v>投资支付的现金</v>
          </cell>
          <cell r="S14" t="str">
            <v>1122b</v>
          </cell>
          <cell r="T14" t="str">
            <v>应收账款按种类列示（续）</v>
          </cell>
          <cell r="U14" t="str">
            <v>种       类</v>
          </cell>
          <cell r="V14">
            <v>1</v>
          </cell>
          <cell r="W14">
            <v>1122</v>
          </cell>
          <cell r="X14">
            <v>2</v>
          </cell>
        </row>
        <row r="15">
          <cell r="B15">
            <v>1132</v>
          </cell>
          <cell r="C15" t="str">
            <v>应收利息</v>
          </cell>
          <cell r="D15">
            <v>1</v>
          </cell>
          <cell r="F15">
            <v>3350</v>
          </cell>
          <cell r="G15" t="str">
            <v>其中：应收利息</v>
          </cell>
          <cell r="I15">
            <v>1132</v>
          </cell>
          <cell r="J15" t="str">
            <v>J</v>
          </cell>
          <cell r="M15" t="str">
            <v>其他应收款</v>
          </cell>
          <cell r="P15" t="str">
            <v>取得子公司及其他营业单位支付的现金净额</v>
          </cell>
          <cell r="S15" t="str">
            <v>1122g</v>
          </cell>
          <cell r="T15" t="str">
            <v>期末单项金额重大并单项计提坏账准备的应收账款</v>
          </cell>
          <cell r="U15" t="str">
            <v>应收账款（按单位）</v>
          </cell>
          <cell r="V15">
            <v>1</v>
          </cell>
          <cell r="W15">
            <v>1122</v>
          </cell>
          <cell r="X15">
            <v>2</v>
          </cell>
        </row>
        <row r="16">
          <cell r="B16">
            <v>1131</v>
          </cell>
          <cell r="C16" t="str">
            <v>应收股利</v>
          </cell>
          <cell r="D16">
            <v>1</v>
          </cell>
          <cell r="F16">
            <v>3340</v>
          </cell>
          <cell r="G16" t="str">
            <v>其中：应收股利</v>
          </cell>
          <cell r="I16">
            <v>1131</v>
          </cell>
          <cell r="J16" t="str">
            <v>J</v>
          </cell>
          <cell r="M16" t="str">
            <v>其他应收款坏账准备</v>
          </cell>
          <cell r="P16" t="str">
            <v>支付其他与投资活动有关的现金</v>
          </cell>
          <cell r="S16" t="str">
            <v>1122d</v>
          </cell>
          <cell r="T16" t="str">
            <v>组合中按账龄分析法计提坏账准备的应收账款</v>
          </cell>
          <cell r="U16" t="str">
            <v>账  龄</v>
          </cell>
          <cell r="V16">
            <v>1</v>
          </cell>
          <cell r="W16">
            <v>1122</v>
          </cell>
          <cell r="X16">
            <v>2</v>
          </cell>
        </row>
        <row r="17">
          <cell r="B17">
            <v>1221</v>
          </cell>
          <cell r="C17" t="str">
            <v>其他应收款</v>
          </cell>
          <cell r="D17">
            <v>1</v>
          </cell>
          <cell r="F17">
            <v>3360</v>
          </cell>
          <cell r="G17" t="str">
            <v>其中：其他应收款</v>
          </cell>
          <cell r="I17">
            <v>1221</v>
          </cell>
          <cell r="J17" t="str">
            <v>J</v>
          </cell>
          <cell r="M17" t="str">
            <v>持有待售资产</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1111</v>
          </cell>
          <cell r="C18" t="str">
            <v>买入返售金融资产</v>
          </cell>
          <cell r="D18">
            <v>1</v>
          </cell>
          <cell r="E18" t="str">
            <v>△</v>
          </cell>
          <cell r="G18" t="str">
            <v>买入返售金融资产</v>
          </cell>
          <cell r="I18">
            <v>1111</v>
          </cell>
          <cell r="J18" t="str">
            <v>J</v>
          </cell>
          <cell r="M18" t="str">
            <v>存货</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1400</v>
          </cell>
          <cell r="C19" t="str">
            <v>存货</v>
          </cell>
          <cell r="D19">
            <v>1</v>
          </cell>
          <cell r="F19">
            <v>3400</v>
          </cell>
          <cell r="G19" t="str">
            <v>存货</v>
          </cell>
          <cell r="I19">
            <v>1400</v>
          </cell>
          <cell r="J19" t="str">
            <v>J</v>
          </cell>
          <cell r="M19" t="str">
            <v>材料采购</v>
          </cell>
          <cell r="P19" t="str">
            <v>取得借款收到的现金</v>
          </cell>
          <cell r="S19" t="str">
            <v>1122x</v>
          </cell>
          <cell r="T19" t="str">
            <v>应收账款补充资料</v>
          </cell>
          <cell r="U19" t="str">
            <v>项       目</v>
          </cell>
          <cell r="V19">
            <v>1</v>
          </cell>
          <cell r="W19">
            <v>1122</v>
          </cell>
          <cell r="X19">
            <v>2</v>
          </cell>
        </row>
        <row r="20">
          <cell r="B20">
            <v>1315</v>
          </cell>
          <cell r="C20" t="str">
            <v>持有待售资产</v>
          </cell>
          <cell r="D20">
            <v>1</v>
          </cell>
          <cell r="E20" t="str">
            <v>Ｘ</v>
          </cell>
          <cell r="F20">
            <v>3860</v>
          </cell>
          <cell r="G20" t="str">
            <v>持有待售资产</v>
          </cell>
          <cell r="I20">
            <v>1315</v>
          </cell>
          <cell r="J20" t="str">
            <v>J</v>
          </cell>
          <cell r="M20" t="str">
            <v>在途物资</v>
          </cell>
          <cell r="P20" t="str">
            <v>收到其他与筹资活动有关的现金</v>
          </cell>
          <cell r="S20" t="str">
            <v>1122h</v>
          </cell>
          <cell r="T20" t="str">
            <v>本期坏账准备转回或收回金额重要的</v>
          </cell>
          <cell r="U20" t="str">
            <v>单位名称</v>
          </cell>
          <cell r="V20">
            <v>1</v>
          </cell>
          <cell r="W20">
            <v>1122</v>
          </cell>
          <cell r="X20">
            <v>2</v>
          </cell>
        </row>
        <row r="21">
          <cell r="B21">
            <v>1495</v>
          </cell>
          <cell r="C21" t="str">
            <v>一年内到期的非流动资产</v>
          </cell>
          <cell r="D21">
            <v>1</v>
          </cell>
          <cell r="F21">
            <v>3380</v>
          </cell>
          <cell r="G21" t="str">
            <v>一年内到期的非流动资产</v>
          </cell>
          <cell r="I21">
            <v>1495</v>
          </cell>
          <cell r="J21" t="str">
            <v>J</v>
          </cell>
          <cell r="M21" t="str">
            <v>原材料</v>
          </cell>
          <cell r="P21" t="str">
            <v>偿还债务支付的现金</v>
          </cell>
          <cell r="S21" t="str">
            <v>1122i</v>
          </cell>
          <cell r="T21" t="str">
            <v>本期重要的应收账款核销情况</v>
          </cell>
          <cell r="U21" t="str">
            <v>单位名称</v>
          </cell>
          <cell r="V21">
            <v>1</v>
          </cell>
          <cell r="W21">
            <v>1122</v>
          </cell>
          <cell r="X21">
            <v>2</v>
          </cell>
        </row>
        <row r="22">
          <cell r="B22">
            <v>1496</v>
          </cell>
          <cell r="C22" t="str">
            <v>其他流动资产</v>
          </cell>
          <cell r="D22">
            <v>1</v>
          </cell>
          <cell r="F22">
            <v>3390</v>
          </cell>
          <cell r="G22" t="str">
            <v>其他流动资产</v>
          </cell>
          <cell r="I22">
            <v>1496</v>
          </cell>
          <cell r="J22" t="str">
            <v>J</v>
          </cell>
          <cell r="M22" t="str">
            <v>材料成本差异</v>
          </cell>
          <cell r="P22" t="str">
            <v>分配利润偿付利息支付的现金</v>
          </cell>
          <cell r="S22" t="str">
            <v>1122k</v>
          </cell>
          <cell r="T22" t="str">
            <v>按欠款方归集的应收账款期末余额前五名单位情况</v>
          </cell>
          <cell r="U22" t="str">
            <v>单位名称</v>
          </cell>
          <cell r="V22">
            <v>1</v>
          </cell>
          <cell r="W22">
            <v>1122</v>
          </cell>
          <cell r="X22">
            <v>2</v>
          </cell>
        </row>
        <row r="23">
          <cell r="B23">
            <v>1498</v>
          </cell>
          <cell r="C23" t="str">
            <v>流动资产</v>
          </cell>
          <cell r="E23" t="str">
            <v>＝</v>
          </cell>
          <cell r="G23" t="str">
            <v>流动资产合计</v>
          </cell>
          <cell r="I23">
            <v>1498</v>
          </cell>
          <cell r="M23" t="str">
            <v>库存商品</v>
          </cell>
          <cell r="P23" t="str">
            <v>子公司支付少数股东的现金股利</v>
          </cell>
          <cell r="S23" t="str">
            <v>1122m</v>
          </cell>
          <cell r="T23" t="str">
            <v>因金融资产转移而终止确认的应收账款情况</v>
          </cell>
          <cell r="U23" t="str">
            <v>项       目</v>
          </cell>
          <cell r="V23">
            <v>1</v>
          </cell>
          <cell r="W23">
            <v>1122</v>
          </cell>
          <cell r="X23">
            <v>2</v>
          </cell>
        </row>
        <row r="24">
          <cell r="B24">
            <v>1500</v>
          </cell>
          <cell r="C24" t="str">
            <v>非流动资产项目</v>
          </cell>
          <cell r="E24" t="str">
            <v>：</v>
          </cell>
          <cell r="G24" t="str">
            <v>非流动资产：</v>
          </cell>
          <cell r="I24">
            <v>1500</v>
          </cell>
          <cell r="M24" t="str">
            <v>发出商品</v>
          </cell>
          <cell r="P24" t="str">
            <v>支付其他与筹资活动有关的现金</v>
          </cell>
          <cell r="S24" t="str">
            <v>1122n</v>
          </cell>
          <cell r="T24" t="str">
            <v>转移应收账款且继续涉入形成的资产的金额</v>
          </cell>
          <cell r="U24" t="str">
            <v>项       目</v>
          </cell>
          <cell r="V24">
            <v>1</v>
          </cell>
          <cell r="W24">
            <v>1122</v>
          </cell>
          <cell r="X24">
            <v>2</v>
          </cell>
        </row>
        <row r="25">
          <cell r="B25">
            <v>1600</v>
          </cell>
          <cell r="C25" t="str">
            <v>发放委托贷款及垫款</v>
          </cell>
          <cell r="D25">
            <v>1</v>
          </cell>
          <cell r="E25" t="str">
            <v>△</v>
          </cell>
          <cell r="G25" t="str">
            <v>发放贷款及垫款</v>
          </cell>
          <cell r="I25">
            <v>1600</v>
          </cell>
          <cell r="J25" t="str">
            <v>J</v>
          </cell>
          <cell r="M25" t="str">
            <v>商品进销差价</v>
          </cell>
          <cell r="P25" t="str">
            <v>子公司减资支付给少数股东的现金</v>
          </cell>
          <cell r="S25" t="str">
            <v>1122o</v>
          </cell>
          <cell r="T25" t="str">
            <v>转移应收账款且继续涉入形成的负债的金额</v>
          </cell>
          <cell r="U25" t="str">
            <v>项       目</v>
          </cell>
          <cell r="V25">
            <v>1</v>
          </cell>
          <cell r="W25">
            <v>1122</v>
          </cell>
          <cell r="X25">
            <v>2</v>
          </cell>
        </row>
        <row r="26">
          <cell r="B26">
            <v>1503</v>
          </cell>
          <cell r="C26" t="str">
            <v>可供出售金融资产</v>
          </cell>
          <cell r="D26">
            <v>1</v>
          </cell>
          <cell r="F26">
            <v>3220</v>
          </cell>
          <cell r="G26" t="str">
            <v>可供出售金融资产</v>
          </cell>
          <cell r="I26">
            <v>1503</v>
          </cell>
          <cell r="J26" t="str">
            <v>J</v>
          </cell>
          <cell r="M26" t="str">
            <v>委托加工物资</v>
          </cell>
          <cell r="P26" t="str">
            <v>汇率变动对现金及现金等价物的影响</v>
          </cell>
          <cell r="S26" t="str">
            <v>1122c</v>
          </cell>
          <cell r="T26" t="str">
            <v>外币应收账款</v>
          </cell>
          <cell r="U26" t="str">
            <v>币       种</v>
          </cell>
          <cell r="V26">
            <v>1</v>
          </cell>
          <cell r="W26">
            <v>1122</v>
          </cell>
          <cell r="X26">
            <v>2</v>
          </cell>
        </row>
        <row r="27">
          <cell r="B27">
            <v>1501</v>
          </cell>
          <cell r="C27" t="str">
            <v>持有至到期投资</v>
          </cell>
          <cell r="D27">
            <v>1</v>
          </cell>
          <cell r="F27">
            <v>3230</v>
          </cell>
          <cell r="G27" t="str">
            <v>持有至到期投资</v>
          </cell>
          <cell r="I27">
            <v>1501</v>
          </cell>
          <cell r="J27" t="str">
            <v>J</v>
          </cell>
          <cell r="M27" t="str">
            <v>周转材料</v>
          </cell>
          <cell r="P27" t="str">
            <v>收到原保险合同保费取得的现金</v>
          </cell>
          <cell r="S27" t="str">
            <v>1122l</v>
          </cell>
          <cell r="T27" t="str">
            <v>关联方应收应付款项——应收账款</v>
          </cell>
          <cell r="U27" t="str">
            <v>关联方</v>
          </cell>
          <cell r="V27">
            <v>1</v>
          </cell>
          <cell r="W27">
            <v>1122</v>
          </cell>
          <cell r="X27">
            <v>2</v>
          </cell>
        </row>
        <row r="28">
          <cell r="B28">
            <v>1531</v>
          </cell>
          <cell r="C28" t="str">
            <v>长期应收款</v>
          </cell>
          <cell r="D28">
            <v>1</v>
          </cell>
          <cell r="F28">
            <v>3840</v>
          </cell>
          <cell r="G28" t="str">
            <v>长期应收款</v>
          </cell>
          <cell r="I28">
            <v>1531</v>
          </cell>
          <cell r="J28" t="str">
            <v>J</v>
          </cell>
          <cell r="M28" t="str">
            <v>消耗性生物资产</v>
          </cell>
          <cell r="P28" t="str">
            <v>收到再保险业务现金净额</v>
          </cell>
          <cell r="S28" t="str">
            <v>1125a</v>
          </cell>
          <cell r="T28" t="str">
            <v>预付款项按账龄列示</v>
          </cell>
          <cell r="U28" t="str">
            <v>账       龄</v>
          </cell>
          <cell r="V28">
            <v>1</v>
          </cell>
          <cell r="W28">
            <v>1125</v>
          </cell>
          <cell r="X28">
            <v>1</v>
          </cell>
        </row>
        <row r="29">
          <cell r="B29">
            <v>1515</v>
          </cell>
          <cell r="C29" t="str">
            <v>设定受益计划净资产</v>
          </cell>
          <cell r="D29">
            <v>1</v>
          </cell>
          <cell r="E29" t="str">
            <v>OEI</v>
          </cell>
          <cell r="F29">
            <v>4330</v>
          </cell>
          <cell r="G29" t="str">
            <v>设定受益计划净资产</v>
          </cell>
          <cell r="I29">
            <v>1515</v>
          </cell>
          <cell r="J29" t="str">
            <v>J</v>
          </cell>
          <cell r="M29" t="str">
            <v>存货跌价准备</v>
          </cell>
          <cell r="P29" t="str">
            <v>保户储金及投资款净增加额</v>
          </cell>
          <cell r="S29" t="str">
            <v>1125d</v>
          </cell>
          <cell r="T29" t="str">
            <v>账龄超过1年的金额重要的预付账款</v>
          </cell>
          <cell r="U29" t="str">
            <v>单位名称</v>
          </cell>
          <cell r="V29">
            <v>1</v>
          </cell>
          <cell r="W29">
            <v>1125</v>
          </cell>
          <cell r="X29">
            <v>2</v>
          </cell>
        </row>
        <row r="30">
          <cell r="B30">
            <v>1511</v>
          </cell>
          <cell r="C30" t="str">
            <v>长期股权投资</v>
          </cell>
          <cell r="D30">
            <v>1</v>
          </cell>
          <cell r="F30">
            <v>3240</v>
          </cell>
          <cell r="G30" t="str">
            <v>长期股权投资</v>
          </cell>
          <cell r="I30">
            <v>1511</v>
          </cell>
          <cell r="J30" t="str">
            <v>J</v>
          </cell>
          <cell r="M30" t="str">
            <v>生产成本</v>
          </cell>
          <cell r="P30" t="str">
            <v>处置交易性金融资产净增加额</v>
          </cell>
          <cell r="S30" t="str">
            <v>1125c</v>
          </cell>
          <cell r="T30" t="str">
            <v>按预付对象归集的预付款项期末余额前五名单位情况</v>
          </cell>
          <cell r="U30" t="str">
            <v>单位名称</v>
          </cell>
          <cell r="V30">
            <v>1</v>
          </cell>
          <cell r="W30">
            <v>1125</v>
          </cell>
          <cell r="X30">
            <v>2</v>
          </cell>
        </row>
        <row r="31">
          <cell r="B31">
            <v>1521</v>
          </cell>
          <cell r="C31" t="str">
            <v>投资性房地产</v>
          </cell>
          <cell r="D31">
            <v>1</v>
          </cell>
          <cell r="F31">
            <v>3710</v>
          </cell>
          <cell r="G31" t="str">
            <v>投资性房地产</v>
          </cell>
          <cell r="I31">
            <v>1521</v>
          </cell>
          <cell r="J31" t="str">
            <v>J</v>
          </cell>
          <cell r="M31" t="str">
            <v>制造费用</v>
          </cell>
          <cell r="P31" t="str">
            <v>收取利息手续费及佣金的现金</v>
          </cell>
          <cell r="S31" t="str">
            <v>1125b</v>
          </cell>
          <cell r="T31" t="str">
            <v>外币预付款项</v>
          </cell>
          <cell r="U31" t="str">
            <v>币       种</v>
          </cell>
          <cell r="V31">
            <v>1</v>
          </cell>
          <cell r="W31">
            <v>1125</v>
          </cell>
          <cell r="X31">
            <v>2</v>
          </cell>
        </row>
        <row r="32">
          <cell r="B32">
            <v>1601</v>
          </cell>
          <cell r="C32" t="str">
            <v>固定资产</v>
          </cell>
          <cell r="D32">
            <v>1</v>
          </cell>
          <cell r="F32">
            <v>3720</v>
          </cell>
          <cell r="G32" t="str">
            <v>其中：固定资产</v>
          </cell>
          <cell r="I32">
            <v>1601</v>
          </cell>
          <cell r="J32" t="str">
            <v>J</v>
          </cell>
          <cell r="M32" t="str">
            <v>工程施工</v>
          </cell>
          <cell r="P32" t="str">
            <v>拆入资金净增加额</v>
          </cell>
          <cell r="S32" t="str">
            <v>1125e</v>
          </cell>
          <cell r="T32" t="str">
            <v>关联方应收应付款项——预付款项</v>
          </cell>
          <cell r="U32" t="str">
            <v>单位名称</v>
          </cell>
          <cell r="V32">
            <v>1</v>
          </cell>
          <cell r="W32">
            <v>1125</v>
          </cell>
          <cell r="X32">
            <v>2</v>
          </cell>
        </row>
        <row r="33">
          <cell r="B33">
            <v>1604</v>
          </cell>
          <cell r="C33" t="str">
            <v>在建工程</v>
          </cell>
          <cell r="D33">
            <v>1</v>
          </cell>
          <cell r="F33">
            <v>3730</v>
          </cell>
          <cell r="G33" t="str">
            <v>其中：在建工程</v>
          </cell>
          <cell r="I33">
            <v>1604</v>
          </cell>
          <cell r="J33" t="str">
            <v>J</v>
          </cell>
          <cell r="M33" t="str">
            <v>一年内到期的非流动资产</v>
          </cell>
          <cell r="P33" t="str">
            <v>回购业务资金净增加额</v>
          </cell>
          <cell r="S33" t="str">
            <v>1125f</v>
          </cell>
          <cell r="T33" t="str">
            <v>预付款项按项目列示</v>
          </cell>
          <cell r="U33" t="str">
            <v>项       目</v>
          </cell>
          <cell r="V33">
            <v>1</v>
          </cell>
          <cell r="W33">
            <v>1125</v>
          </cell>
          <cell r="X33">
            <v>2</v>
          </cell>
        </row>
        <row r="34">
          <cell r="B34">
            <v>1605</v>
          </cell>
          <cell r="C34" t="str">
            <v>工程物资</v>
          </cell>
          <cell r="D34">
            <v>1</v>
          </cell>
          <cell r="F34">
            <v>3740</v>
          </cell>
          <cell r="G34" t="str">
            <v>其中：工程物资</v>
          </cell>
          <cell r="I34">
            <v>1605</v>
          </cell>
          <cell r="J34" t="str">
            <v>J</v>
          </cell>
          <cell r="M34" t="str">
            <v>其他流动资产</v>
          </cell>
          <cell r="P34" t="str">
            <v>客户贷款及垫款净增加额</v>
          </cell>
          <cell r="S34" t="str">
            <v>1125x</v>
          </cell>
          <cell r="T34" t="str">
            <v>预付款项补充资料</v>
          </cell>
          <cell r="U34" t="str">
            <v>项       目</v>
          </cell>
          <cell r="V34">
            <v>1</v>
          </cell>
          <cell r="W34">
            <v>1125</v>
          </cell>
          <cell r="X34">
            <v>2</v>
          </cell>
        </row>
        <row r="35">
          <cell r="B35">
            <v>1606</v>
          </cell>
          <cell r="C35" t="str">
            <v>固定资产清理</v>
          </cell>
          <cell r="D35">
            <v>1</v>
          </cell>
          <cell r="F35">
            <v>3750</v>
          </cell>
          <cell r="G35" t="str">
            <v>其中：固定资产清理</v>
          </cell>
          <cell r="I35">
            <v>1606</v>
          </cell>
          <cell r="J35" t="str">
            <v>J</v>
          </cell>
          <cell r="M35" t="str">
            <v>持有至到期投资</v>
          </cell>
          <cell r="P35" t="str">
            <v>存放中央银行和同业款项净增加额</v>
          </cell>
          <cell r="S35" t="str">
            <v>1220a</v>
          </cell>
          <cell r="T35" t="str">
            <v>其他应收款分类列示</v>
          </cell>
          <cell r="U35" t="str">
            <v>项       目</v>
          </cell>
          <cell r="V35">
            <v>1</v>
          </cell>
          <cell r="W35">
            <v>1220</v>
          </cell>
          <cell r="X35">
            <v>1</v>
          </cell>
        </row>
        <row r="36">
          <cell r="B36">
            <v>1621</v>
          </cell>
          <cell r="C36" t="str">
            <v>生产性生物资产</v>
          </cell>
          <cell r="D36">
            <v>1</v>
          </cell>
          <cell r="F36">
            <v>3760</v>
          </cell>
          <cell r="G36" t="str">
            <v>生产性生物资产</v>
          </cell>
          <cell r="I36">
            <v>1621</v>
          </cell>
          <cell r="J36" t="str">
            <v>J</v>
          </cell>
          <cell r="M36" t="str">
            <v>持有至到期投资减值准备</v>
          </cell>
          <cell r="P36" t="str">
            <v>支付原保险合同赔付款项的现金</v>
          </cell>
          <cell r="S36" t="str">
            <v>1132a</v>
          </cell>
          <cell r="T36" t="str">
            <v>应收利息明细项目</v>
          </cell>
          <cell r="U36" t="str">
            <v>项       目</v>
          </cell>
          <cell r="V36">
            <v>1</v>
          </cell>
          <cell r="W36">
            <v>1132</v>
          </cell>
          <cell r="X36">
            <v>1</v>
          </cell>
        </row>
        <row r="37">
          <cell r="B37">
            <v>1631</v>
          </cell>
          <cell r="C37" t="str">
            <v>油气资产</v>
          </cell>
          <cell r="D37">
            <v>1</v>
          </cell>
          <cell r="F37">
            <v>3770</v>
          </cell>
          <cell r="G37" t="str">
            <v>油气资产</v>
          </cell>
          <cell r="I37">
            <v>1631</v>
          </cell>
          <cell r="J37" t="str">
            <v>J</v>
          </cell>
          <cell r="M37" t="str">
            <v>可供出售金融资产</v>
          </cell>
          <cell r="P37" t="str">
            <v>支付利息手续费及佣金的现金</v>
          </cell>
          <cell r="S37" t="str">
            <v>1132b</v>
          </cell>
          <cell r="T37" t="str">
            <v>重要的逾期应收利息</v>
          </cell>
          <cell r="U37" t="str">
            <v>借款单位</v>
          </cell>
          <cell r="V37">
            <v>1</v>
          </cell>
          <cell r="W37">
            <v>1132</v>
          </cell>
          <cell r="X37">
            <v>2</v>
          </cell>
        </row>
        <row r="38">
          <cell r="B38">
            <v>1701</v>
          </cell>
          <cell r="C38" t="str">
            <v>无形资产</v>
          </cell>
          <cell r="D38">
            <v>1</v>
          </cell>
          <cell r="F38">
            <v>3810</v>
          </cell>
          <cell r="G38" t="str">
            <v>无形资产</v>
          </cell>
          <cell r="I38">
            <v>1701</v>
          </cell>
          <cell r="J38" t="str">
            <v>J</v>
          </cell>
          <cell r="M38" t="str">
            <v>可供出售金融资产减值准备</v>
          </cell>
          <cell r="P38" t="str">
            <v>支付保单红利的现金</v>
          </cell>
          <cell r="S38" t="str">
            <v>1131a</v>
          </cell>
          <cell r="T38" t="str">
            <v>应收股利明细项目</v>
          </cell>
          <cell r="U38" t="str">
            <v>项       目</v>
          </cell>
          <cell r="V38">
            <v>1</v>
          </cell>
          <cell r="W38">
            <v>1131</v>
          </cell>
          <cell r="X38">
            <v>1</v>
          </cell>
        </row>
        <row r="39">
          <cell r="B39">
            <v>1700</v>
          </cell>
          <cell r="C39" t="str">
            <v>开发支出</v>
          </cell>
          <cell r="D39">
            <v>1</v>
          </cell>
          <cell r="F39">
            <v>3820</v>
          </cell>
          <cell r="G39" t="str">
            <v>开发支出</v>
          </cell>
          <cell r="I39">
            <v>1700</v>
          </cell>
          <cell r="J39" t="str">
            <v>J</v>
          </cell>
          <cell r="M39" t="str">
            <v>长期股权投资</v>
          </cell>
          <cell r="P39" t="str">
            <v>质押贷款净增加额</v>
          </cell>
          <cell r="S39" t="str">
            <v>1131b</v>
          </cell>
          <cell r="T39" t="str">
            <v>重要的账龄超过1年的应收股利</v>
          </cell>
          <cell r="U39" t="str">
            <v>项       目</v>
          </cell>
          <cell r="V39">
            <v>1</v>
          </cell>
          <cell r="W39">
            <v>1131</v>
          </cell>
          <cell r="X39">
            <v>2</v>
          </cell>
        </row>
        <row r="40">
          <cell r="B40">
            <v>1711</v>
          </cell>
          <cell r="C40" t="str">
            <v>商誉</v>
          </cell>
          <cell r="D40">
            <v>1</v>
          </cell>
          <cell r="F40">
            <v>3830</v>
          </cell>
          <cell r="G40" t="str">
            <v>商誉</v>
          </cell>
          <cell r="I40">
            <v>1711</v>
          </cell>
          <cell r="J40" t="str">
            <v>J</v>
          </cell>
          <cell r="M40" t="str">
            <v>长期股权投资减值准备</v>
          </cell>
          <cell r="P40" t="str">
            <v>发行债券收到的现金</v>
          </cell>
          <cell r="S40" t="str">
            <v>1221b</v>
          </cell>
          <cell r="T40" t="str">
            <v>其他应收款按种类列示（续）</v>
          </cell>
          <cell r="U40" t="str">
            <v xml:space="preserve">类       别  </v>
          </cell>
          <cell r="V40">
            <v>1</v>
          </cell>
          <cell r="W40">
            <v>1221</v>
          </cell>
          <cell r="X40">
            <v>2</v>
          </cell>
        </row>
        <row r="41">
          <cell r="B41">
            <v>1801</v>
          </cell>
          <cell r="C41" t="str">
            <v>长期待摊费用</v>
          </cell>
          <cell r="D41">
            <v>1</v>
          </cell>
          <cell r="F41">
            <v>3850</v>
          </cell>
          <cell r="G41" t="str">
            <v>长期待摊费用</v>
          </cell>
          <cell r="I41">
            <v>1801</v>
          </cell>
          <cell r="J41" t="str">
            <v>J</v>
          </cell>
          <cell r="M41" t="str">
            <v>设定受益计划净资产</v>
          </cell>
          <cell r="P41" t="str">
            <v>客户存款和同业存放款项净增加额</v>
          </cell>
          <cell r="S41" t="str">
            <v>1221a</v>
          </cell>
          <cell r="T41" t="str">
            <v>其他应收款按种类列示</v>
          </cell>
          <cell r="U41" t="str">
            <v xml:space="preserve">类       别  </v>
          </cell>
          <cell r="V41">
            <v>1</v>
          </cell>
          <cell r="W41">
            <v>1221</v>
          </cell>
          <cell r="X41">
            <v>1</v>
          </cell>
        </row>
        <row r="42">
          <cell r="B42">
            <v>1811</v>
          </cell>
          <cell r="C42" t="str">
            <v>递延所得税资产</v>
          </cell>
          <cell r="D42">
            <v>1</v>
          </cell>
          <cell r="F42">
            <v>3880</v>
          </cell>
          <cell r="G42" t="str">
            <v>递延所得税资产</v>
          </cell>
          <cell r="I42">
            <v>1811</v>
          </cell>
          <cell r="J42" t="str">
            <v>J</v>
          </cell>
          <cell r="M42" t="str">
            <v>投资性房地产</v>
          </cell>
          <cell r="P42" t="str">
            <v>向中央银行借款净增加额</v>
          </cell>
          <cell r="S42" t="str">
            <v>1221g</v>
          </cell>
          <cell r="T42" t="str">
            <v>期末单项金额重大并单项计提坏账准备的其他应收款</v>
          </cell>
          <cell r="U42" t="str">
            <v>其他应收款（按单位）</v>
          </cell>
          <cell r="V42">
            <v>1</v>
          </cell>
          <cell r="W42">
            <v>1221</v>
          </cell>
          <cell r="X42">
            <v>2</v>
          </cell>
        </row>
        <row r="43">
          <cell r="B43">
            <v>1996</v>
          </cell>
          <cell r="C43" t="str">
            <v>其他非流动资产</v>
          </cell>
          <cell r="D43">
            <v>1</v>
          </cell>
          <cell r="F43">
            <v>3890</v>
          </cell>
          <cell r="G43" t="str">
            <v>其他非流动资产</v>
          </cell>
          <cell r="I43">
            <v>1996</v>
          </cell>
          <cell r="J43" t="str">
            <v>J</v>
          </cell>
          <cell r="M43" t="str">
            <v>投资性房地产减值准备</v>
          </cell>
          <cell r="P43" t="str">
            <v>向其他金融机构拆入资金净增加额</v>
          </cell>
          <cell r="S43" t="str">
            <v>1221d</v>
          </cell>
          <cell r="T43" t="str">
            <v>组合中按账龄分析法计提坏账准备的其他应收款</v>
          </cell>
          <cell r="U43" t="str">
            <v>账  龄</v>
          </cell>
          <cell r="V43">
            <v>1</v>
          </cell>
          <cell r="W43">
            <v>1221</v>
          </cell>
          <cell r="X43">
            <v>2</v>
          </cell>
        </row>
        <row r="44">
          <cell r="B44">
            <v>1998</v>
          </cell>
          <cell r="C44" t="str">
            <v>非流动资产</v>
          </cell>
          <cell r="E44" t="str">
            <v>＝</v>
          </cell>
          <cell r="G44" t="str">
            <v>非流动资产合计</v>
          </cell>
          <cell r="I44">
            <v>1998</v>
          </cell>
          <cell r="M44" t="str">
            <v>投资性房地产累计折旧</v>
          </cell>
          <cell r="P44" t="str">
            <v>收到原保险合同保费取得的现金</v>
          </cell>
          <cell r="S44" t="str">
            <v>1221e</v>
          </cell>
          <cell r="T44" t="str">
            <v>组合中采用余额百分比法计提坏账准备的其他应收款</v>
          </cell>
          <cell r="U44" t="str">
            <v>组合名称</v>
          </cell>
          <cell r="V44">
            <v>1</v>
          </cell>
          <cell r="W44">
            <v>1221</v>
          </cell>
          <cell r="X44">
            <v>2</v>
          </cell>
        </row>
        <row r="45">
          <cell r="B45">
            <v>1999</v>
          </cell>
          <cell r="C45" t="str">
            <v>资产</v>
          </cell>
          <cell r="E45" t="str">
            <v>＝</v>
          </cell>
          <cell r="G45" t="str">
            <v>资产总计</v>
          </cell>
          <cell r="I45">
            <v>1999</v>
          </cell>
          <cell r="M45" t="str">
            <v>长期应收款</v>
          </cell>
          <cell r="P45" t="str">
            <v>收到再保险业务现金净额</v>
          </cell>
          <cell r="S45" t="str">
            <v>1221f</v>
          </cell>
          <cell r="T45" t="str">
            <v>组合中采用其他方法计提坏账准备的其他应收款</v>
          </cell>
          <cell r="U45" t="str">
            <v>组合名称</v>
          </cell>
          <cell r="V45">
            <v>1</v>
          </cell>
          <cell r="W45">
            <v>1221</v>
          </cell>
          <cell r="X45">
            <v>2</v>
          </cell>
        </row>
        <row r="46">
          <cell r="B46">
            <v>2000</v>
          </cell>
          <cell r="C46" t="str">
            <v>流动负债项目</v>
          </cell>
          <cell r="E46" t="str">
            <v>：</v>
          </cell>
          <cell r="G46" t="str">
            <v>流动负债：</v>
          </cell>
          <cell r="I46">
            <v>2000</v>
          </cell>
          <cell r="M46" t="str">
            <v>固定资产</v>
          </cell>
          <cell r="P46" t="str">
            <v>保户储金及投资款净增加额</v>
          </cell>
          <cell r="S46" t="str">
            <v>1221h</v>
          </cell>
          <cell r="T46" t="str">
            <v>本期其他应收款坏账准备转回或收回金额重要的</v>
          </cell>
          <cell r="U46" t="str">
            <v>单位名称</v>
          </cell>
          <cell r="V46">
            <v>1</v>
          </cell>
          <cell r="W46">
            <v>1221</v>
          </cell>
          <cell r="X46">
            <v>2</v>
          </cell>
        </row>
        <row r="47">
          <cell r="B47">
            <v>2001</v>
          </cell>
          <cell r="C47" t="str">
            <v>短期借款</v>
          </cell>
          <cell r="D47">
            <v>-1</v>
          </cell>
          <cell r="F47">
            <v>4110</v>
          </cell>
          <cell r="G47" t="str">
            <v>短期借款</v>
          </cell>
          <cell r="I47">
            <v>2001</v>
          </cell>
          <cell r="J47" t="str">
            <v>J</v>
          </cell>
          <cell r="M47" t="str">
            <v>累计折旧</v>
          </cell>
          <cell r="P47" t="str">
            <v>处置交易性金融资产净增加额</v>
          </cell>
          <cell r="S47" t="str">
            <v>1221i</v>
          </cell>
          <cell r="T47" t="str">
            <v>本期重要的其他应收款核销情况</v>
          </cell>
          <cell r="U47" t="str">
            <v>单位名称</v>
          </cell>
          <cell r="V47">
            <v>1</v>
          </cell>
          <cell r="W47">
            <v>1221</v>
          </cell>
          <cell r="X47">
            <v>2</v>
          </cell>
        </row>
        <row r="48">
          <cell r="B48">
            <v>2004</v>
          </cell>
          <cell r="C48" t="str">
            <v>向中央银行借款</v>
          </cell>
          <cell r="D48">
            <v>-1</v>
          </cell>
          <cell r="E48" t="str">
            <v>△</v>
          </cell>
          <cell r="G48" t="str">
            <v>向中央银行借款</v>
          </cell>
          <cell r="I48">
            <v>2004</v>
          </cell>
          <cell r="J48" t="str">
            <v>J</v>
          </cell>
          <cell r="M48" t="str">
            <v>固定资产减值准备</v>
          </cell>
          <cell r="P48" t="str">
            <v>收取利息手续费及佣金的现金</v>
          </cell>
          <cell r="S48" t="str">
            <v>1221l</v>
          </cell>
          <cell r="T48" t="str">
            <v>其他应收款按款项性质披露</v>
          </cell>
          <cell r="U48" t="str">
            <v>单位名称</v>
          </cell>
          <cell r="V48">
            <v>1</v>
          </cell>
          <cell r="W48">
            <v>1221</v>
          </cell>
          <cell r="X48">
            <v>2</v>
          </cell>
        </row>
        <row r="49">
          <cell r="B49">
            <v>2010</v>
          </cell>
          <cell r="C49" t="str">
            <v>吸收存款及同业存放</v>
          </cell>
          <cell r="D49">
            <v>-1</v>
          </cell>
          <cell r="E49" t="str">
            <v>△</v>
          </cell>
          <cell r="G49" t="str">
            <v>吸收存款及同业存放</v>
          </cell>
          <cell r="I49">
            <v>2010</v>
          </cell>
          <cell r="J49" t="str">
            <v>J</v>
          </cell>
          <cell r="M49" t="str">
            <v>在建工程</v>
          </cell>
          <cell r="P49" t="str">
            <v>拆入资金净增加额</v>
          </cell>
          <cell r="S49" t="str">
            <v>1221k</v>
          </cell>
          <cell r="T49" t="str">
            <v>按欠款方归集的其他应收款期末余额前五名单位情况</v>
          </cell>
          <cell r="U49" t="str">
            <v>单位名称</v>
          </cell>
          <cell r="V49">
            <v>1</v>
          </cell>
          <cell r="W49">
            <v>1221</v>
          </cell>
          <cell r="X49">
            <v>2</v>
          </cell>
        </row>
        <row r="50">
          <cell r="B50">
            <v>2003</v>
          </cell>
          <cell r="C50" t="str">
            <v>拆入资金</v>
          </cell>
          <cell r="D50">
            <v>-1</v>
          </cell>
          <cell r="E50" t="str">
            <v>△</v>
          </cell>
          <cell r="G50" t="str">
            <v>拆入资金</v>
          </cell>
          <cell r="I50">
            <v>2003</v>
          </cell>
          <cell r="J50" t="str">
            <v>J</v>
          </cell>
          <cell r="M50" t="str">
            <v>在建工程减值准备</v>
          </cell>
          <cell r="P50" t="str">
            <v>回购业务资金净增加额</v>
          </cell>
          <cell r="S50" t="str">
            <v>1221r</v>
          </cell>
          <cell r="T50" t="str">
            <v>应收政府补助情况</v>
          </cell>
          <cell r="U50" t="str">
            <v>单位名称</v>
          </cell>
          <cell r="V50">
            <v>1</v>
          </cell>
          <cell r="W50">
            <v>1221</v>
          </cell>
          <cell r="X50">
            <v>2</v>
          </cell>
        </row>
        <row r="51">
          <cell r="B51">
            <v>2101</v>
          </cell>
          <cell r="C51" t="str">
            <v>以公允价值计量且其变动计入当期损益的金融负债</v>
          </cell>
          <cell r="D51">
            <v>-1</v>
          </cell>
          <cell r="F51" t="str">
            <v>4610_4620</v>
          </cell>
          <cell r="G51" t="str">
            <v>以公允价值计量且其变动计入当期损益的金融负债</v>
          </cell>
          <cell r="I51">
            <v>2101</v>
          </cell>
          <cell r="J51" t="str">
            <v>J</v>
          </cell>
          <cell r="M51" t="str">
            <v>工程物资</v>
          </cell>
          <cell r="P51" t="str">
            <v>客户贷款及垫款净增加额</v>
          </cell>
          <cell r="S51" t="str">
            <v>1221n</v>
          </cell>
          <cell r="T51" t="str">
            <v>因金融资产转移而终止确认的其他应收款情况</v>
          </cell>
          <cell r="U51" t="str">
            <v>项       目</v>
          </cell>
          <cell r="V51">
            <v>1</v>
          </cell>
          <cell r="W51">
            <v>1221</v>
          </cell>
          <cell r="X51">
            <v>2</v>
          </cell>
        </row>
        <row r="52">
          <cell r="B52">
            <v>2115</v>
          </cell>
          <cell r="C52" t="str">
            <v>衍生金融负债</v>
          </cell>
          <cell r="D52">
            <v>-1</v>
          </cell>
          <cell r="E52" t="str">
            <v>Ｘ</v>
          </cell>
          <cell r="F52">
            <v>4620</v>
          </cell>
          <cell r="G52" t="str">
            <v>衍生金融负债</v>
          </cell>
          <cell r="I52">
            <v>2115</v>
          </cell>
          <cell r="J52" t="str">
            <v>J</v>
          </cell>
          <cell r="M52" t="str">
            <v>工程物资减值准备</v>
          </cell>
          <cell r="P52" t="str">
            <v>存放中央银行和同业款项净增加额</v>
          </cell>
          <cell r="S52" t="str">
            <v>1221o</v>
          </cell>
          <cell r="T52" t="str">
            <v>转移其他应收款且继续涉入形成的资产金额</v>
          </cell>
          <cell r="U52" t="str">
            <v>项       目</v>
          </cell>
          <cell r="V52">
            <v>1</v>
          </cell>
          <cell r="W52">
            <v>1221</v>
          </cell>
          <cell r="X52">
            <v>2</v>
          </cell>
        </row>
        <row r="53">
          <cell r="B53">
            <v>2201</v>
          </cell>
          <cell r="C53" t="str">
            <v>应付票据</v>
          </cell>
          <cell r="D53">
            <v>-1</v>
          </cell>
          <cell r="F53">
            <v>4220</v>
          </cell>
          <cell r="G53" t="str">
            <v>其中：应付票据</v>
          </cell>
          <cell r="I53">
            <v>2201</v>
          </cell>
          <cell r="J53" t="str">
            <v>J</v>
          </cell>
          <cell r="M53" t="str">
            <v>固定资产清理</v>
          </cell>
          <cell r="P53" t="str">
            <v>支付原保险合同赔付款项的现金</v>
          </cell>
          <cell r="S53" t="str">
            <v>1221p</v>
          </cell>
          <cell r="T53" t="str">
            <v>转移其他应收款且继续涉入形成的负债金额</v>
          </cell>
          <cell r="U53" t="str">
            <v>项       目</v>
          </cell>
          <cell r="V53">
            <v>1</v>
          </cell>
          <cell r="W53">
            <v>1221</v>
          </cell>
          <cell r="X53">
            <v>2</v>
          </cell>
        </row>
        <row r="54">
          <cell r="B54">
            <v>2202</v>
          </cell>
          <cell r="C54" t="str">
            <v>应付账款</v>
          </cell>
          <cell r="D54">
            <v>-1</v>
          </cell>
          <cell r="F54">
            <v>4230</v>
          </cell>
          <cell r="G54" t="str">
            <v>其中：应付账款</v>
          </cell>
          <cell r="I54">
            <v>2202</v>
          </cell>
          <cell r="J54" t="str">
            <v>J</v>
          </cell>
          <cell r="M54" t="str">
            <v>生产性生物资产</v>
          </cell>
          <cell r="P54" t="str">
            <v>支付利息手续费及佣金的现金</v>
          </cell>
          <cell r="S54" t="str">
            <v>1221c</v>
          </cell>
          <cell r="T54" t="str">
            <v>外币其他应收款</v>
          </cell>
          <cell r="U54" t="str">
            <v>币       种</v>
          </cell>
          <cell r="V54">
            <v>1</v>
          </cell>
          <cell r="W54">
            <v>1221</v>
          </cell>
          <cell r="X54">
            <v>2</v>
          </cell>
        </row>
        <row r="55">
          <cell r="B55">
            <v>2205</v>
          </cell>
          <cell r="C55" t="str">
            <v>预收款项</v>
          </cell>
          <cell r="D55">
            <v>-1</v>
          </cell>
          <cell r="F55">
            <v>4240</v>
          </cell>
          <cell r="G55" t="str">
            <v>预收款项</v>
          </cell>
          <cell r="I55">
            <v>2205</v>
          </cell>
          <cell r="J55" t="str">
            <v>J</v>
          </cell>
          <cell r="M55" t="str">
            <v>生产性生物资产累计折旧</v>
          </cell>
          <cell r="P55" t="str">
            <v>支付保单红利的现金</v>
          </cell>
          <cell r="S55" t="str">
            <v>1221m</v>
          </cell>
          <cell r="T55" t="str">
            <v>关联方应收应付款项——其他应收款</v>
          </cell>
          <cell r="U55" t="str">
            <v>单位名称</v>
          </cell>
          <cell r="V55">
            <v>1</v>
          </cell>
          <cell r="W55">
            <v>1221</v>
          </cell>
          <cell r="X55">
            <v>2</v>
          </cell>
        </row>
        <row r="56">
          <cell r="B56">
            <v>2111</v>
          </cell>
          <cell r="C56" t="str">
            <v>卖出回购金融资产款</v>
          </cell>
          <cell r="D56">
            <v>-1</v>
          </cell>
          <cell r="E56" t="str">
            <v>△</v>
          </cell>
          <cell r="G56" t="str">
            <v>卖出回购金融资产款</v>
          </cell>
          <cell r="I56">
            <v>2111</v>
          </cell>
          <cell r="J56" t="str">
            <v>J</v>
          </cell>
          <cell r="M56" t="str">
            <v>生产性生物资产减值准备</v>
          </cell>
          <cell r="P56" t="str">
            <v>质押贷款净增加额</v>
          </cell>
          <cell r="S56" t="str">
            <v>1221x</v>
          </cell>
          <cell r="T56" t="str">
            <v>其他应收款补充资料</v>
          </cell>
          <cell r="U56" t="str">
            <v>项       目</v>
          </cell>
          <cell r="V56">
            <v>1</v>
          </cell>
          <cell r="W56">
            <v>1221</v>
          </cell>
          <cell r="X56">
            <v>2</v>
          </cell>
        </row>
        <row r="57">
          <cell r="B57">
            <v>2240</v>
          </cell>
          <cell r="C57" t="str">
            <v>应付手续费及佣金</v>
          </cell>
          <cell r="D57">
            <v>-1</v>
          </cell>
          <cell r="E57" t="str">
            <v>△</v>
          </cell>
          <cell r="G57" t="str">
            <v>应付手续费及佣金</v>
          </cell>
          <cell r="I57">
            <v>2240</v>
          </cell>
          <cell r="J57" t="str">
            <v>J</v>
          </cell>
          <cell r="M57" t="str">
            <v>油气资产</v>
          </cell>
          <cell r="P57" t="str">
            <v>期初现金及现金等价物余额</v>
          </cell>
          <cell r="S57" t="str">
            <v>1400a</v>
          </cell>
          <cell r="T57" t="str">
            <v>存货分类列示</v>
          </cell>
          <cell r="U57" t="str">
            <v>存货种类</v>
          </cell>
          <cell r="V57">
            <v>1</v>
          </cell>
          <cell r="W57">
            <v>1400</v>
          </cell>
          <cell r="X57">
            <v>1</v>
          </cell>
        </row>
        <row r="58">
          <cell r="B58">
            <v>2211</v>
          </cell>
          <cell r="C58" t="str">
            <v>应付职工薪酬</v>
          </cell>
          <cell r="D58">
            <v>-1</v>
          </cell>
          <cell r="F58">
            <v>4300</v>
          </cell>
          <cell r="G58" t="str">
            <v>应付职工薪酬</v>
          </cell>
          <cell r="I58">
            <v>2211</v>
          </cell>
          <cell r="J58" t="str">
            <v>J</v>
          </cell>
          <cell r="M58" t="str">
            <v>累计折耗</v>
          </cell>
          <cell r="P58" t="str">
            <v>现金流量调整</v>
          </cell>
          <cell r="S58" t="str">
            <v>1400b</v>
          </cell>
          <cell r="T58" t="str">
            <v>存货跌价准备的增减变动情况</v>
          </cell>
          <cell r="U58" t="str">
            <v>存货种类</v>
          </cell>
          <cell r="V58">
            <v>1</v>
          </cell>
          <cell r="W58">
            <v>1400</v>
          </cell>
          <cell r="X58">
            <v>2</v>
          </cell>
        </row>
        <row r="59">
          <cell r="B59">
            <v>2221</v>
          </cell>
          <cell r="C59" t="str">
            <v>应交税费</v>
          </cell>
          <cell r="D59">
            <v>-1</v>
          </cell>
          <cell r="F59">
            <v>4410</v>
          </cell>
          <cell r="G59" t="str">
            <v>应交税费</v>
          </cell>
          <cell r="I59">
            <v>2221</v>
          </cell>
          <cell r="J59" t="str">
            <v>J</v>
          </cell>
          <cell r="M59" t="str">
            <v>油气资产减值准备</v>
          </cell>
          <cell r="S59" t="str">
            <v>1400c</v>
          </cell>
          <cell r="T59" t="str">
            <v>存货跌价准备计提依据与转回情况</v>
          </cell>
          <cell r="U59" t="str">
            <v>存货种类</v>
          </cell>
          <cell r="V59">
            <v>1</v>
          </cell>
          <cell r="W59">
            <v>1400</v>
          </cell>
          <cell r="X59">
            <v>2</v>
          </cell>
        </row>
        <row r="60">
          <cell r="B60">
            <v>2231</v>
          </cell>
          <cell r="C60" t="str">
            <v>应付利息</v>
          </cell>
          <cell r="D60">
            <v>-1</v>
          </cell>
          <cell r="F60">
            <v>4250</v>
          </cell>
          <cell r="G60" t="str">
            <v>其中：应付利息</v>
          </cell>
          <cell r="I60">
            <v>2231</v>
          </cell>
          <cell r="J60" t="str">
            <v>J</v>
          </cell>
          <cell r="M60" t="str">
            <v>开发支出</v>
          </cell>
          <cell r="S60" t="str">
            <v>1400t</v>
          </cell>
          <cell r="T60" t="str">
            <v>存货期末余额中含有借款费用资本化金额的说明</v>
          </cell>
          <cell r="U60" t="str">
            <v>项       目</v>
          </cell>
          <cell r="V60">
            <v>1</v>
          </cell>
          <cell r="W60">
            <v>1400</v>
          </cell>
          <cell r="X60">
            <v>2</v>
          </cell>
        </row>
        <row r="61">
          <cell r="B61">
            <v>2232</v>
          </cell>
          <cell r="C61" t="str">
            <v>应付股利</v>
          </cell>
          <cell r="D61">
            <v>-1</v>
          </cell>
          <cell r="F61">
            <v>4260</v>
          </cell>
          <cell r="G61" t="str">
            <v>其中：应付股利</v>
          </cell>
          <cell r="I61">
            <v>2232</v>
          </cell>
          <cell r="J61" t="str">
            <v>J</v>
          </cell>
          <cell r="M61" t="str">
            <v>无形资产</v>
          </cell>
          <cell r="S61" t="str">
            <v>1400d</v>
          </cell>
          <cell r="T61" t="str">
            <v>开发成本</v>
          </cell>
          <cell r="U61" t="str">
            <v>项目名称</v>
          </cell>
          <cell r="V61">
            <v>1</v>
          </cell>
          <cell r="W61">
            <v>1400</v>
          </cell>
          <cell r="X61">
            <v>2</v>
          </cell>
        </row>
        <row r="62">
          <cell r="B62">
            <v>2241</v>
          </cell>
          <cell r="C62" t="str">
            <v>其他应付款</v>
          </cell>
          <cell r="D62">
            <v>-1</v>
          </cell>
          <cell r="F62">
            <v>4270</v>
          </cell>
          <cell r="G62" t="str">
            <v>其中：其他应付款</v>
          </cell>
          <cell r="I62">
            <v>2241</v>
          </cell>
          <cell r="J62" t="str">
            <v>J</v>
          </cell>
          <cell r="M62" t="str">
            <v>累计摊销</v>
          </cell>
          <cell r="S62" t="str">
            <v>1400e</v>
          </cell>
          <cell r="T62" t="str">
            <v>开发产品</v>
          </cell>
          <cell r="U62" t="str">
            <v>项目名称</v>
          </cell>
          <cell r="V62">
            <v>1</v>
          </cell>
          <cell r="W62">
            <v>1400</v>
          </cell>
          <cell r="X62">
            <v>2</v>
          </cell>
        </row>
        <row r="63">
          <cell r="B63">
            <v>2261</v>
          </cell>
          <cell r="C63" t="str">
            <v>应付分保账款</v>
          </cell>
          <cell r="D63">
            <v>-1</v>
          </cell>
          <cell r="E63" t="str">
            <v>△</v>
          </cell>
          <cell r="G63" t="str">
            <v>应付分保账款</v>
          </cell>
          <cell r="I63">
            <v>2261</v>
          </cell>
          <cell r="J63" t="str">
            <v>J</v>
          </cell>
          <cell r="M63" t="str">
            <v>无形资产减值准备</v>
          </cell>
          <cell r="S63" t="str">
            <v>1400g</v>
          </cell>
          <cell r="T63" t="str">
            <v>周转房</v>
          </cell>
          <cell r="U63" t="str">
            <v>项目名称</v>
          </cell>
          <cell r="V63">
            <v>1</v>
          </cell>
          <cell r="W63">
            <v>1400</v>
          </cell>
          <cell r="X63">
            <v>2</v>
          </cell>
        </row>
        <row r="64">
          <cell r="B64">
            <v>2310</v>
          </cell>
          <cell r="C64" t="str">
            <v>保险合同准备金</v>
          </cell>
          <cell r="D64">
            <v>-1</v>
          </cell>
          <cell r="E64" t="str">
            <v>△</v>
          </cell>
          <cell r="G64" t="str">
            <v>保险合同准备金</v>
          </cell>
          <cell r="I64">
            <v>2310</v>
          </cell>
          <cell r="J64" t="str">
            <v>J</v>
          </cell>
          <cell r="M64" t="str">
            <v>商誉</v>
          </cell>
          <cell r="S64" t="str">
            <v>1400h</v>
          </cell>
          <cell r="T64" t="str">
            <v>建造合同形成的已完工未结算资产</v>
          </cell>
          <cell r="U64" t="str">
            <v>项       目</v>
          </cell>
          <cell r="V64">
            <v>1</v>
          </cell>
          <cell r="W64">
            <v>1400</v>
          </cell>
          <cell r="X64">
            <v>2</v>
          </cell>
        </row>
        <row r="65">
          <cell r="B65">
            <v>2311</v>
          </cell>
          <cell r="C65" t="str">
            <v>代理买卖证券款</v>
          </cell>
          <cell r="D65">
            <v>-1</v>
          </cell>
          <cell r="E65" t="str">
            <v>△</v>
          </cell>
          <cell r="G65" t="str">
            <v>代理买卖证券款</v>
          </cell>
          <cell r="I65">
            <v>2311</v>
          </cell>
          <cell r="J65" t="str">
            <v>J</v>
          </cell>
          <cell r="M65" t="str">
            <v>商誉减值准备</v>
          </cell>
          <cell r="S65" t="str">
            <v>1400s</v>
          </cell>
          <cell r="T65" t="str">
            <v>期末用于债务担保的存货</v>
          </cell>
          <cell r="U65" t="str">
            <v>项       目</v>
          </cell>
          <cell r="V65">
            <v>1</v>
          </cell>
          <cell r="W65">
            <v>1400</v>
          </cell>
          <cell r="X65">
            <v>2</v>
          </cell>
        </row>
        <row r="66">
          <cell r="B66">
            <v>2312</v>
          </cell>
          <cell r="C66" t="str">
            <v>代理承销证券款</v>
          </cell>
          <cell r="D66">
            <v>-1</v>
          </cell>
          <cell r="E66" t="str">
            <v>△</v>
          </cell>
          <cell r="G66" t="str">
            <v>代理承销证券款</v>
          </cell>
          <cell r="I66">
            <v>2312</v>
          </cell>
          <cell r="J66" t="str">
            <v>J</v>
          </cell>
          <cell r="M66" t="str">
            <v>长期待摊费用</v>
          </cell>
          <cell r="S66" t="str">
            <v>1400x</v>
          </cell>
          <cell r="T66" t="str">
            <v>存货补充资料</v>
          </cell>
          <cell r="U66" t="str">
            <v>项       目</v>
          </cell>
          <cell r="V66">
            <v>1</v>
          </cell>
          <cell r="W66">
            <v>1400</v>
          </cell>
          <cell r="X66">
            <v>2</v>
          </cell>
        </row>
        <row r="67">
          <cell r="B67">
            <v>2315</v>
          </cell>
          <cell r="C67" t="str">
            <v>持有待售负债</v>
          </cell>
          <cell r="D67">
            <v>-1</v>
          </cell>
          <cell r="E67" t="str">
            <v>Ｘ</v>
          </cell>
          <cell r="F67">
            <v>4550</v>
          </cell>
          <cell r="G67" t="str">
            <v>持有待售负债</v>
          </cell>
          <cell r="I67">
            <v>2315</v>
          </cell>
          <cell r="J67" t="str">
            <v>J</v>
          </cell>
          <cell r="M67" t="str">
            <v>递延所得税资产</v>
          </cell>
          <cell r="S67" t="str">
            <v>1315e</v>
          </cell>
          <cell r="T67" t="str">
            <v>持有待售资产明细</v>
          </cell>
          <cell r="U67" t="str">
            <v>项       目</v>
          </cell>
          <cell r="V67">
            <v>1</v>
          </cell>
          <cell r="W67">
            <v>1315</v>
          </cell>
          <cell r="X67">
            <v>1</v>
          </cell>
        </row>
        <row r="68">
          <cell r="B68">
            <v>2395</v>
          </cell>
          <cell r="C68" t="str">
            <v>一年内到期的非流动负债</v>
          </cell>
          <cell r="D68">
            <v>-1</v>
          </cell>
          <cell r="F68">
            <v>4280</v>
          </cell>
          <cell r="G68" t="str">
            <v>一年内到期的非流动负债</v>
          </cell>
          <cell r="I68">
            <v>2395</v>
          </cell>
          <cell r="J68" t="str">
            <v>J</v>
          </cell>
          <cell r="M68" t="str">
            <v>其他非流动资产</v>
          </cell>
          <cell r="S68" t="str">
            <v>1315a</v>
          </cell>
          <cell r="T68" t="str">
            <v>持有待售资产</v>
          </cell>
          <cell r="U68" t="str">
            <v>项       目</v>
          </cell>
          <cell r="V68">
            <v>1</v>
          </cell>
          <cell r="W68">
            <v>1315</v>
          </cell>
          <cell r="X68">
            <v>2</v>
          </cell>
        </row>
        <row r="69">
          <cell r="B69">
            <v>2396</v>
          </cell>
          <cell r="C69" t="str">
            <v>其他流动负债</v>
          </cell>
          <cell r="D69">
            <v>-1</v>
          </cell>
          <cell r="F69">
            <v>4290</v>
          </cell>
          <cell r="G69" t="str">
            <v>其他流动负债</v>
          </cell>
          <cell r="I69">
            <v>2396</v>
          </cell>
          <cell r="J69" t="str">
            <v>J</v>
          </cell>
          <cell r="M69" t="str">
            <v>公益性生物资产</v>
          </cell>
          <cell r="S69" t="str">
            <v>2315a</v>
          </cell>
          <cell r="T69" t="str">
            <v>持有待售负债</v>
          </cell>
          <cell r="U69" t="str">
            <v>项       目</v>
          </cell>
          <cell r="V69">
            <v>1</v>
          </cell>
          <cell r="W69">
            <v>2315</v>
          </cell>
          <cell r="X69">
            <v>1</v>
          </cell>
        </row>
        <row r="70">
          <cell r="B70">
            <v>2498</v>
          </cell>
          <cell r="C70" t="str">
            <v>流动负债</v>
          </cell>
          <cell r="E70" t="str">
            <v>＝</v>
          </cell>
          <cell r="G70" t="str">
            <v>流动负债合计</v>
          </cell>
          <cell r="I70">
            <v>2498</v>
          </cell>
          <cell r="M70" t="str">
            <v>短期借款</v>
          </cell>
          <cell r="S70" t="str">
            <v>1315f</v>
          </cell>
          <cell r="T70" t="str">
            <v>持有待售资产减值准备</v>
          </cell>
          <cell r="U70" t="str">
            <v>项       目</v>
          </cell>
          <cell r="V70">
            <v>1</v>
          </cell>
          <cell r="W70">
            <v>1315</v>
          </cell>
          <cell r="X70">
            <v>2</v>
          </cell>
        </row>
        <row r="71">
          <cell r="B71">
            <v>2500</v>
          </cell>
          <cell r="C71" t="str">
            <v>非流动负债项目</v>
          </cell>
          <cell r="E71" t="str">
            <v>：</v>
          </cell>
          <cell r="G71" t="str">
            <v>非流动负债：</v>
          </cell>
          <cell r="I71">
            <v>2500</v>
          </cell>
          <cell r="M71" t="str">
            <v>以公允价值计量且其变动计入当期损益的金融负债</v>
          </cell>
          <cell r="S71" t="str">
            <v>1315b</v>
          </cell>
          <cell r="T71" t="str">
            <v>持有待售的非流动资产</v>
          </cell>
          <cell r="U71" t="str">
            <v>项       目</v>
          </cell>
          <cell r="V71">
            <v>1</v>
          </cell>
          <cell r="W71">
            <v>1315</v>
          </cell>
          <cell r="X71">
            <v>2</v>
          </cell>
        </row>
        <row r="72">
          <cell r="B72">
            <v>2501</v>
          </cell>
          <cell r="C72" t="str">
            <v>长期借款</v>
          </cell>
          <cell r="D72">
            <v>-1</v>
          </cell>
          <cell r="F72">
            <v>4120</v>
          </cell>
          <cell r="G72" t="str">
            <v>长期借款</v>
          </cell>
          <cell r="I72">
            <v>2501</v>
          </cell>
          <cell r="J72" t="str">
            <v>J</v>
          </cell>
          <cell r="M72" t="str">
            <v>衍生金融负债</v>
          </cell>
          <cell r="S72" t="str">
            <v>1315c</v>
          </cell>
          <cell r="T72" t="str">
            <v>持有待售的处置组（一）</v>
          </cell>
          <cell r="U72" t="str">
            <v>项       目</v>
          </cell>
          <cell r="V72">
            <v>1</v>
          </cell>
          <cell r="W72">
            <v>1315</v>
          </cell>
          <cell r="X72">
            <v>2</v>
          </cell>
        </row>
        <row r="73">
          <cell r="B73">
            <v>2502</v>
          </cell>
          <cell r="C73" t="str">
            <v>应付债券</v>
          </cell>
          <cell r="D73">
            <v>-1</v>
          </cell>
          <cell r="F73">
            <v>4130</v>
          </cell>
          <cell r="G73" t="str">
            <v>应付债券</v>
          </cell>
          <cell r="I73">
            <v>2502</v>
          </cell>
          <cell r="J73" t="str">
            <v>J</v>
          </cell>
          <cell r="M73" t="str">
            <v>应付票据</v>
          </cell>
          <cell r="S73" t="str">
            <v>1315d</v>
          </cell>
          <cell r="T73" t="str">
            <v>持有待售的处置组（二）</v>
          </cell>
          <cell r="U73" t="str">
            <v>项       目</v>
          </cell>
          <cell r="V73">
            <v>1</v>
          </cell>
          <cell r="W73">
            <v>1315</v>
          </cell>
          <cell r="X73">
            <v>2</v>
          </cell>
        </row>
        <row r="74">
          <cell r="B74">
            <v>2502.11</v>
          </cell>
          <cell r="C74" t="str">
            <v>应付债券_优先股</v>
          </cell>
          <cell r="D74">
            <v>-1</v>
          </cell>
          <cell r="E74" t="str">
            <v>OEI</v>
          </cell>
          <cell r="G74" t="str">
            <v>其中：优先股</v>
          </cell>
          <cell r="I74">
            <v>2502.11</v>
          </cell>
          <cell r="J74" t="str">
            <v>J</v>
          </cell>
          <cell r="M74" t="str">
            <v>应付账款</v>
          </cell>
          <cell r="S74" t="str">
            <v>1495a</v>
          </cell>
          <cell r="T74" t="str">
            <v>一年内到期的非流动资产</v>
          </cell>
          <cell r="U74" t="str">
            <v>项       目</v>
          </cell>
          <cell r="V74">
            <v>1</v>
          </cell>
          <cell r="W74">
            <v>1495</v>
          </cell>
          <cell r="X74">
            <v>1</v>
          </cell>
        </row>
        <row r="75">
          <cell r="B75">
            <v>2502.31</v>
          </cell>
          <cell r="C75" t="str">
            <v>应付债券_永续债</v>
          </cell>
          <cell r="D75">
            <v>-1</v>
          </cell>
          <cell r="E75" t="str">
            <v>OEI</v>
          </cell>
          <cell r="G75" t="str">
            <v xml:space="preserve">      永续债</v>
          </cell>
          <cell r="I75">
            <v>2502.31</v>
          </cell>
          <cell r="J75" t="str">
            <v>J</v>
          </cell>
          <cell r="M75" t="str">
            <v>应付票据及应付账款</v>
          </cell>
          <cell r="S75" t="str">
            <v>1496a</v>
          </cell>
          <cell r="T75" t="str">
            <v>其他流动资产明细列示</v>
          </cell>
          <cell r="U75" t="str">
            <v>项       目</v>
          </cell>
          <cell r="V75">
            <v>1</v>
          </cell>
          <cell r="W75">
            <v>1496</v>
          </cell>
          <cell r="X75">
            <v>1</v>
          </cell>
        </row>
        <row r="76">
          <cell r="B76">
            <v>2701</v>
          </cell>
          <cell r="C76" t="str">
            <v>长期应付款</v>
          </cell>
          <cell r="D76">
            <v>-1</v>
          </cell>
          <cell r="F76">
            <v>4510</v>
          </cell>
          <cell r="G76" t="str">
            <v>其中：长期应付款</v>
          </cell>
          <cell r="I76">
            <v>2701</v>
          </cell>
          <cell r="J76" t="str">
            <v>J</v>
          </cell>
          <cell r="M76" t="str">
            <v>预收款项</v>
          </cell>
          <cell r="S76" t="str">
            <v>1503a</v>
          </cell>
          <cell r="T76" t="str">
            <v>可供出售金融资产情况</v>
          </cell>
          <cell r="U76" t="str">
            <v>项       目</v>
          </cell>
          <cell r="V76">
            <v>1</v>
          </cell>
          <cell r="W76">
            <v>1503</v>
          </cell>
          <cell r="X76">
            <v>1</v>
          </cell>
        </row>
        <row r="77">
          <cell r="B77">
            <v>2715</v>
          </cell>
          <cell r="C77" t="str">
            <v>长期应付职工薪酬</v>
          </cell>
          <cell r="D77">
            <v>-1</v>
          </cell>
          <cell r="F77">
            <v>4320</v>
          </cell>
          <cell r="G77" t="str">
            <v>长期应付职工薪酬</v>
          </cell>
          <cell r="I77">
            <v>2715</v>
          </cell>
          <cell r="J77" t="str">
            <v>J</v>
          </cell>
          <cell r="M77" t="str">
            <v>应付职工薪酬</v>
          </cell>
          <cell r="S77" t="str">
            <v>1503e</v>
          </cell>
          <cell r="T77" t="str">
            <v>按公允价值计量的可供出售金融资产</v>
          </cell>
          <cell r="U77" t="str">
            <v>可供出售金融资产分类</v>
          </cell>
          <cell r="V77">
            <v>1</v>
          </cell>
          <cell r="W77">
            <v>1503</v>
          </cell>
          <cell r="X77">
            <v>2</v>
          </cell>
        </row>
        <row r="78">
          <cell r="B78">
            <v>2711</v>
          </cell>
          <cell r="C78" t="str">
            <v>专项应付款</v>
          </cell>
          <cell r="D78">
            <v>-1</v>
          </cell>
          <cell r="F78">
            <v>4520</v>
          </cell>
          <cell r="G78" t="str">
            <v>其中：专项应付款</v>
          </cell>
          <cell r="I78">
            <v>2711</v>
          </cell>
          <cell r="J78" t="str">
            <v>J</v>
          </cell>
          <cell r="M78" t="str">
            <v>应交税费</v>
          </cell>
          <cell r="S78" t="str">
            <v>1503f</v>
          </cell>
          <cell r="T78" t="str">
            <v>采用成本计量的可供出售权益工具</v>
          </cell>
          <cell r="U78" t="str">
            <v>被投资单位</v>
          </cell>
          <cell r="V78">
            <v>1</v>
          </cell>
          <cell r="W78">
            <v>1503</v>
          </cell>
          <cell r="X78">
            <v>2</v>
          </cell>
        </row>
        <row r="79">
          <cell r="B79">
            <v>2801</v>
          </cell>
          <cell r="C79" t="str">
            <v>预计负债</v>
          </cell>
          <cell r="D79">
            <v>-1</v>
          </cell>
          <cell r="F79">
            <v>4530</v>
          </cell>
          <cell r="G79" t="str">
            <v>预计负债</v>
          </cell>
          <cell r="I79">
            <v>2801</v>
          </cell>
          <cell r="J79" t="str">
            <v>J</v>
          </cell>
          <cell r="M79" t="str">
            <v>应付利息</v>
          </cell>
          <cell r="S79" t="str">
            <v>1503d</v>
          </cell>
          <cell r="T79" t="str">
            <v>报告期内可供出售金融资产减值的变动情况</v>
          </cell>
          <cell r="U79" t="str">
            <v>可供出售金融资产分类</v>
          </cell>
          <cell r="V79">
            <v>1</v>
          </cell>
          <cell r="W79">
            <v>1503</v>
          </cell>
          <cell r="X79">
            <v>2</v>
          </cell>
        </row>
        <row r="80">
          <cell r="B80">
            <v>2401</v>
          </cell>
          <cell r="C80" t="str">
            <v>递延收益</v>
          </cell>
          <cell r="D80">
            <v>-1</v>
          </cell>
          <cell r="F80">
            <v>4540</v>
          </cell>
          <cell r="G80" t="str">
            <v>递延收益</v>
          </cell>
          <cell r="I80">
            <v>2401</v>
          </cell>
          <cell r="J80" t="str">
            <v>J</v>
          </cell>
          <cell r="M80" t="str">
            <v>应付股利</v>
          </cell>
          <cell r="S80" t="str">
            <v>1503g</v>
          </cell>
          <cell r="T80" t="str">
            <v>可供出售权益工具期末公允价值大幅下跌或持续下跌但未计提减值准备的相关说明</v>
          </cell>
          <cell r="U80" t="str">
            <v>可供出售权益工具项目</v>
          </cell>
          <cell r="V80">
            <v>1</v>
          </cell>
          <cell r="W80">
            <v>1503</v>
          </cell>
          <cell r="X80">
            <v>2</v>
          </cell>
        </row>
        <row r="81">
          <cell r="B81">
            <v>2901</v>
          </cell>
          <cell r="C81" t="str">
            <v>递延所得税负债</v>
          </cell>
          <cell r="D81">
            <v>-1</v>
          </cell>
          <cell r="F81">
            <v>4420</v>
          </cell>
          <cell r="G81" t="str">
            <v>递延所得税负债</v>
          </cell>
          <cell r="I81">
            <v>2901</v>
          </cell>
          <cell r="J81" t="str">
            <v>J</v>
          </cell>
          <cell r="M81" t="str">
            <v>其他应付款</v>
          </cell>
          <cell r="S81" t="str">
            <v>1501a</v>
          </cell>
          <cell r="T81" t="str">
            <v>持有至到期投资分项列示</v>
          </cell>
          <cell r="U81" t="str">
            <v>项       目</v>
          </cell>
          <cell r="V81">
            <v>1</v>
          </cell>
          <cell r="W81">
            <v>1501</v>
          </cell>
          <cell r="X81">
            <v>1</v>
          </cell>
        </row>
        <row r="82">
          <cell r="B82">
            <v>2996</v>
          </cell>
          <cell r="C82" t="str">
            <v>其他非流动负债</v>
          </cell>
          <cell r="D82">
            <v>-1</v>
          </cell>
          <cell r="F82">
            <v>4590</v>
          </cell>
          <cell r="G82" t="str">
            <v>其他非流动负债</v>
          </cell>
          <cell r="I82">
            <v>2996</v>
          </cell>
          <cell r="J82" t="str">
            <v>J</v>
          </cell>
          <cell r="M82" t="str">
            <v>持有待售负债</v>
          </cell>
          <cell r="S82" t="str">
            <v>1501d</v>
          </cell>
          <cell r="T82" t="str">
            <v>重要的持有至到期投资</v>
          </cell>
          <cell r="U82" t="str">
            <v>债券项目</v>
          </cell>
          <cell r="V82">
            <v>1</v>
          </cell>
          <cell r="W82">
            <v>1501</v>
          </cell>
          <cell r="X82">
            <v>2</v>
          </cell>
        </row>
        <row r="83">
          <cell r="B83">
            <v>2998</v>
          </cell>
          <cell r="C83" t="str">
            <v>非流动负债</v>
          </cell>
          <cell r="E83" t="str">
            <v>＝</v>
          </cell>
          <cell r="G83" t="str">
            <v>非流动负债合计</v>
          </cell>
          <cell r="I83">
            <v>2998</v>
          </cell>
          <cell r="M83" t="str">
            <v>一年内到期的非流动负债</v>
          </cell>
          <cell r="S83" t="str">
            <v>1501e</v>
          </cell>
          <cell r="T83" t="str">
            <v>持有至到期投资重分类情况</v>
          </cell>
          <cell r="U83" t="str">
            <v>项       目</v>
          </cell>
          <cell r="V83">
            <v>1</v>
          </cell>
          <cell r="W83">
            <v>1501</v>
          </cell>
          <cell r="X83">
            <v>2</v>
          </cell>
        </row>
        <row r="84">
          <cell r="B84">
            <v>2999</v>
          </cell>
          <cell r="C84" t="str">
            <v>负债</v>
          </cell>
          <cell r="E84" t="str">
            <v>＝</v>
          </cell>
          <cell r="G84" t="str">
            <v>负债合计</v>
          </cell>
          <cell r="I84">
            <v>2999</v>
          </cell>
          <cell r="M84" t="str">
            <v>其他流动负债</v>
          </cell>
          <cell r="S84" t="str">
            <v>1531a</v>
          </cell>
          <cell r="T84" t="str">
            <v>长期应收款按性质披露</v>
          </cell>
          <cell r="U84" t="str">
            <v>项       目</v>
          </cell>
          <cell r="V84">
            <v>1</v>
          </cell>
          <cell r="W84">
            <v>1531</v>
          </cell>
          <cell r="X84">
            <v>1</v>
          </cell>
        </row>
        <row r="85">
          <cell r="B85">
            <v>4000</v>
          </cell>
          <cell r="C85" t="str">
            <v>所有者权益项目</v>
          </cell>
          <cell r="E85" t="str">
            <v>：</v>
          </cell>
          <cell r="G85" t="str">
            <v>股东（或所有者）权益：</v>
          </cell>
          <cell r="H85" t="str">
            <v>所有者权益(或股东权益)：</v>
          </cell>
          <cell r="I85">
            <v>4000</v>
          </cell>
          <cell r="M85" t="str">
            <v>递延收益</v>
          </cell>
          <cell r="S85" t="str">
            <v>1531b</v>
          </cell>
          <cell r="T85" t="str">
            <v>长期应收款逾期情况</v>
          </cell>
          <cell r="U85" t="str">
            <v>逾  期</v>
          </cell>
          <cell r="V85">
            <v>1</v>
          </cell>
          <cell r="W85">
            <v>1531</v>
          </cell>
          <cell r="X85">
            <v>2</v>
          </cell>
        </row>
        <row r="86">
          <cell r="B86">
            <v>4001</v>
          </cell>
          <cell r="C86" t="str">
            <v>实收资本</v>
          </cell>
          <cell r="D86">
            <v>-1</v>
          </cell>
          <cell r="F86">
            <v>5110</v>
          </cell>
          <cell r="G86" t="str">
            <v>股本</v>
          </cell>
          <cell r="H86" t="str">
            <v>实收资本（或股本）</v>
          </cell>
          <cell r="I86">
            <v>4001</v>
          </cell>
          <cell r="J86" t="str">
            <v>J</v>
          </cell>
          <cell r="M86" t="str">
            <v>长期借款</v>
          </cell>
          <cell r="S86" t="str">
            <v>1531c</v>
          </cell>
          <cell r="T86" t="str">
            <v>终止确认的长期应收款情况</v>
          </cell>
          <cell r="U86" t="str">
            <v>项       目</v>
          </cell>
          <cell r="V86">
            <v>1</v>
          </cell>
          <cell r="W86">
            <v>1531</v>
          </cell>
          <cell r="X86">
            <v>2</v>
          </cell>
        </row>
        <row r="87">
          <cell r="B87">
            <v>4015</v>
          </cell>
          <cell r="C87" t="str">
            <v>其他权益工具</v>
          </cell>
          <cell r="D87">
            <v>-1</v>
          </cell>
          <cell r="E87" t="str">
            <v>OEI</v>
          </cell>
          <cell r="F87">
            <v>5120</v>
          </cell>
          <cell r="G87" t="str">
            <v>其他权益工具</v>
          </cell>
          <cell r="H87" t="str">
            <v>其他权益工具</v>
          </cell>
          <cell r="I87">
            <v>4015</v>
          </cell>
          <cell r="J87" t="str">
            <v>J</v>
          </cell>
          <cell r="M87" t="str">
            <v>应付债券</v>
          </cell>
          <cell r="S87" t="str">
            <v>1531d</v>
          </cell>
          <cell r="T87" t="str">
            <v>转移长期应收款且继续涉入形成的资产</v>
          </cell>
          <cell r="U87" t="str">
            <v>项       目</v>
          </cell>
          <cell r="V87">
            <v>1</v>
          </cell>
          <cell r="W87">
            <v>1531</v>
          </cell>
          <cell r="X87">
            <v>2</v>
          </cell>
        </row>
        <row r="88">
          <cell r="B88">
            <v>4015.11</v>
          </cell>
          <cell r="C88" t="str">
            <v>其他权益工具_优先股</v>
          </cell>
          <cell r="D88">
            <v>-1</v>
          </cell>
          <cell r="E88" t="str">
            <v>OEI</v>
          </cell>
          <cell r="G88" t="str">
            <v>其中：优先股</v>
          </cell>
          <cell r="H88" t="str">
            <v>其中：优先股</v>
          </cell>
          <cell r="I88">
            <v>4015.11</v>
          </cell>
          <cell r="J88" t="str">
            <v>J</v>
          </cell>
          <cell r="M88" t="str">
            <v>应付债券_优先股</v>
          </cell>
          <cell r="S88" t="str">
            <v>1531e</v>
          </cell>
          <cell r="T88" t="str">
            <v>转移长期应收款且继续涉入形成的负债</v>
          </cell>
          <cell r="U88" t="str">
            <v>项       目</v>
          </cell>
          <cell r="V88">
            <v>1</v>
          </cell>
          <cell r="W88">
            <v>1531</v>
          </cell>
          <cell r="X88">
            <v>2</v>
          </cell>
        </row>
        <row r="89">
          <cell r="B89">
            <v>4015.31</v>
          </cell>
          <cell r="C89" t="str">
            <v>其他权益工具_永续债</v>
          </cell>
          <cell r="D89">
            <v>-1</v>
          </cell>
          <cell r="E89" t="str">
            <v>OEI</v>
          </cell>
          <cell r="G89" t="str">
            <v xml:space="preserve">      永续债</v>
          </cell>
          <cell r="H89" t="str">
            <v xml:space="preserve">      永续债</v>
          </cell>
          <cell r="I89">
            <v>4015.31</v>
          </cell>
          <cell r="J89" t="str">
            <v>J</v>
          </cell>
          <cell r="M89" t="str">
            <v>应付债券_永续债</v>
          </cell>
          <cell r="S89" t="str">
            <v>1531f</v>
          </cell>
          <cell r="T89" t="str">
            <v>外币长期应收款</v>
          </cell>
          <cell r="U89" t="str">
            <v>币       种</v>
          </cell>
          <cell r="V89">
            <v>1</v>
          </cell>
          <cell r="W89">
            <v>1531</v>
          </cell>
          <cell r="X89">
            <v>2</v>
          </cell>
        </row>
        <row r="90">
          <cell r="B90">
            <v>4015.91</v>
          </cell>
          <cell r="C90" t="str">
            <v>其他权益工具_其他</v>
          </cell>
          <cell r="D90">
            <v>-1</v>
          </cell>
          <cell r="E90" t="str">
            <v>OEI</v>
          </cell>
          <cell r="G90" t="str">
            <v xml:space="preserve">      其他</v>
          </cell>
          <cell r="H90" t="str">
            <v xml:space="preserve">      其他</v>
          </cell>
          <cell r="I90">
            <v>4015.91</v>
          </cell>
          <cell r="J90" t="str">
            <v>J</v>
          </cell>
          <cell r="M90" t="str">
            <v>长期应付款</v>
          </cell>
          <cell r="S90" t="str">
            <v>1515a</v>
          </cell>
          <cell r="T90" t="str">
            <v>设定受益计划净资产</v>
          </cell>
          <cell r="U90" t="str">
            <v>项       目</v>
          </cell>
          <cell r="V90">
            <v>1</v>
          </cell>
          <cell r="W90">
            <v>1515</v>
          </cell>
          <cell r="X90">
            <v>1</v>
          </cell>
        </row>
        <row r="91">
          <cell r="B91">
            <v>4002</v>
          </cell>
          <cell r="C91" t="str">
            <v>资本公积</v>
          </cell>
          <cell r="D91">
            <v>-1</v>
          </cell>
          <cell r="F91">
            <v>5210</v>
          </cell>
          <cell r="G91" t="str">
            <v>资本公积</v>
          </cell>
          <cell r="H91" t="str">
            <v>资本公积</v>
          </cell>
          <cell r="I91">
            <v>4002</v>
          </cell>
          <cell r="J91" t="str">
            <v>J</v>
          </cell>
          <cell r="M91" t="str">
            <v>专项应付款</v>
          </cell>
          <cell r="S91" t="str">
            <v>1515b</v>
          </cell>
          <cell r="T91" t="str">
            <v>设定受益计划义务现值变动情况</v>
          </cell>
          <cell r="U91" t="str">
            <v>项       目</v>
          </cell>
          <cell r="V91">
            <v>1</v>
          </cell>
          <cell r="W91">
            <v>1515</v>
          </cell>
          <cell r="X91">
            <v>2</v>
          </cell>
        </row>
        <row r="92">
          <cell r="B92">
            <v>4201</v>
          </cell>
          <cell r="C92" t="str">
            <v>库存股</v>
          </cell>
          <cell r="D92">
            <v>1</v>
          </cell>
          <cell r="F92">
            <v>5310</v>
          </cell>
          <cell r="G92" t="str">
            <v>减：库存股</v>
          </cell>
          <cell r="H92" t="str">
            <v>减：库存股</v>
          </cell>
          <cell r="I92">
            <v>4201</v>
          </cell>
          <cell r="J92" t="str">
            <v>J</v>
          </cell>
          <cell r="M92" t="str">
            <v>长期应付职工薪酬</v>
          </cell>
          <cell r="S92" t="str">
            <v>1515c</v>
          </cell>
          <cell r="T92" t="str">
            <v>设定受益计划资产变动情况</v>
          </cell>
          <cell r="U92" t="str">
            <v>项       目</v>
          </cell>
          <cell r="V92">
            <v>1</v>
          </cell>
          <cell r="W92">
            <v>1515</v>
          </cell>
          <cell r="X92">
            <v>2</v>
          </cell>
        </row>
        <row r="93">
          <cell r="B93">
            <v>4215</v>
          </cell>
          <cell r="C93" t="str">
            <v>其他综合收益</v>
          </cell>
          <cell r="D93">
            <v>-1</v>
          </cell>
          <cell r="F93">
            <v>6710</v>
          </cell>
          <cell r="G93" t="str">
            <v>其他综合收益</v>
          </cell>
          <cell r="H93" t="str">
            <v>其他综合收益</v>
          </cell>
          <cell r="I93">
            <v>4215</v>
          </cell>
          <cell r="J93" t="str">
            <v>J</v>
          </cell>
          <cell r="M93" t="str">
            <v>预计负债</v>
          </cell>
          <cell r="S93" t="str">
            <v>1515d</v>
          </cell>
          <cell r="T93" t="str">
            <v>设定受益计划净资产变动情况</v>
          </cell>
          <cell r="U93" t="str">
            <v>项       目</v>
          </cell>
          <cell r="V93">
            <v>1</v>
          </cell>
          <cell r="W93">
            <v>1515</v>
          </cell>
          <cell r="X93">
            <v>2</v>
          </cell>
        </row>
        <row r="94">
          <cell r="B94">
            <v>4301</v>
          </cell>
          <cell r="C94" t="str">
            <v>专项储备</v>
          </cell>
          <cell r="D94">
            <v>-1</v>
          </cell>
          <cell r="F94">
            <v>5510</v>
          </cell>
          <cell r="G94" t="str">
            <v>专项储备</v>
          </cell>
          <cell r="H94" t="str">
            <v>专项储备</v>
          </cell>
          <cell r="I94">
            <v>4301</v>
          </cell>
          <cell r="J94" t="str">
            <v>J</v>
          </cell>
          <cell r="M94" t="str">
            <v>递延所得税负债</v>
          </cell>
          <cell r="S94" t="str">
            <v>1515e</v>
          </cell>
          <cell r="T94" t="str">
            <v>未折现的离职后福利预计到期分析</v>
          </cell>
          <cell r="U94" t="str">
            <v>项       目</v>
          </cell>
          <cell r="V94">
            <v>1</v>
          </cell>
          <cell r="W94">
            <v>1515</v>
          </cell>
          <cell r="X94">
            <v>2</v>
          </cell>
        </row>
        <row r="95">
          <cell r="B95">
            <v>4101</v>
          </cell>
          <cell r="C95" t="str">
            <v>盈余公积</v>
          </cell>
          <cell r="D95">
            <v>-1</v>
          </cell>
          <cell r="F95">
            <v>5410</v>
          </cell>
          <cell r="G95" t="str">
            <v>盈余公积</v>
          </cell>
          <cell r="H95" t="str">
            <v>盈余公积</v>
          </cell>
          <cell r="I95">
            <v>4101</v>
          </cell>
          <cell r="J95" t="str">
            <v>J</v>
          </cell>
          <cell r="M95" t="str">
            <v>其他非流动负债</v>
          </cell>
          <cell r="S95" t="str">
            <v>1515f</v>
          </cell>
          <cell r="T95" t="str">
            <v>设定受益计划资产明细</v>
          </cell>
          <cell r="U95" t="str">
            <v>项       目</v>
          </cell>
          <cell r="V95">
            <v>1</v>
          </cell>
          <cell r="W95">
            <v>1515</v>
          </cell>
          <cell r="X95">
            <v>2</v>
          </cell>
        </row>
        <row r="96">
          <cell r="B96">
            <v>4102</v>
          </cell>
          <cell r="C96" t="str">
            <v>一般风险准备</v>
          </cell>
          <cell r="D96">
            <v>-1</v>
          </cell>
          <cell r="G96" t="str">
            <v>一般风险准备</v>
          </cell>
          <cell r="H96" t="str">
            <v>一般风险准备</v>
          </cell>
          <cell r="I96">
            <v>4102</v>
          </cell>
          <cell r="J96" t="str">
            <v>J</v>
          </cell>
          <cell r="M96" t="str">
            <v>营业收入</v>
          </cell>
          <cell r="S96" t="str">
            <v>1515g</v>
          </cell>
          <cell r="T96" t="str">
            <v>设定受益计划精算假设</v>
          </cell>
          <cell r="U96" t="str">
            <v>项       目</v>
          </cell>
          <cell r="V96">
            <v>1</v>
          </cell>
          <cell r="W96">
            <v>1515</v>
          </cell>
          <cell r="X96">
            <v>2</v>
          </cell>
        </row>
        <row r="97">
          <cell r="B97">
            <v>4200</v>
          </cell>
          <cell r="C97" t="str">
            <v>未分配利润</v>
          </cell>
          <cell r="D97">
            <v>-1</v>
          </cell>
          <cell r="F97">
            <v>5610</v>
          </cell>
          <cell r="G97" t="str">
            <v>未分配利润</v>
          </cell>
          <cell r="H97" t="str">
            <v>未分配利润</v>
          </cell>
          <cell r="I97">
            <v>4200</v>
          </cell>
          <cell r="J97" t="str">
            <v>J</v>
          </cell>
          <cell r="M97" t="str">
            <v>公允价值变动收益</v>
          </cell>
          <cell r="S97" t="str">
            <v>1515h</v>
          </cell>
          <cell r="T97" t="str">
            <v>设定受益计划敏感性分析</v>
          </cell>
          <cell r="U97" t="str">
            <v>项       目</v>
          </cell>
          <cell r="V97">
            <v>1</v>
          </cell>
          <cell r="W97">
            <v>1515</v>
          </cell>
          <cell r="X97">
            <v>2</v>
          </cell>
        </row>
        <row r="98">
          <cell r="B98">
            <v>4210</v>
          </cell>
          <cell r="C98" t="str">
            <v>外币报表折算差额</v>
          </cell>
          <cell r="D98">
            <v>-1</v>
          </cell>
          <cell r="E98" t="str">
            <v>※</v>
          </cell>
          <cell r="G98" t="str">
            <v>外币报表折算差额</v>
          </cell>
          <cell r="H98" t="str">
            <v>外币报表折算差额</v>
          </cell>
          <cell r="I98">
            <v>4210</v>
          </cell>
          <cell r="M98" t="str">
            <v>投资收益</v>
          </cell>
          <cell r="S98" t="str">
            <v>1511b</v>
          </cell>
          <cell r="T98" t="str">
            <v>长期股权投资本期增减变动</v>
          </cell>
          <cell r="U98" t="str">
            <v>被投资单位</v>
          </cell>
          <cell r="V98">
            <v>1</v>
          </cell>
          <cell r="W98">
            <v>1511</v>
          </cell>
          <cell r="X98">
            <v>1</v>
          </cell>
        </row>
        <row r="99">
          <cell r="B99">
            <v>4298</v>
          </cell>
          <cell r="C99" t="str">
            <v>归属于母公司所有者权益</v>
          </cell>
          <cell r="E99" t="str">
            <v>※</v>
          </cell>
          <cell r="G99" t="str">
            <v>归属于母公司股东权益合计</v>
          </cell>
          <cell r="H99" t="str">
            <v>归属于母公司所有者权益合计</v>
          </cell>
          <cell r="I99">
            <v>4298</v>
          </cell>
          <cell r="M99" t="str">
            <v>对联营企业和合营企业的投资收益</v>
          </cell>
          <cell r="S99" t="str">
            <v>1511a</v>
          </cell>
          <cell r="T99" t="str">
            <v>长期股权投资分项列示</v>
          </cell>
          <cell r="U99" t="str">
            <v>被投资单位</v>
          </cell>
          <cell r="V99">
            <v>1</v>
          </cell>
          <cell r="W99">
            <v>1511</v>
          </cell>
          <cell r="X99">
            <v>2</v>
          </cell>
        </row>
        <row r="100">
          <cell r="B100">
            <v>4398</v>
          </cell>
          <cell r="C100" t="str">
            <v>少数股东权益</v>
          </cell>
          <cell r="D100">
            <v>-1</v>
          </cell>
          <cell r="E100" t="str">
            <v>※</v>
          </cell>
          <cell r="G100" t="str">
            <v>少数股东权益</v>
          </cell>
          <cell r="H100" t="str">
            <v>少数股东权益</v>
          </cell>
          <cell r="I100">
            <v>4398</v>
          </cell>
          <cell r="J100" t="str">
            <v>J</v>
          </cell>
          <cell r="M100" t="str">
            <v>资产处置收益</v>
          </cell>
          <cell r="S100" t="str">
            <v>1521d</v>
          </cell>
          <cell r="T100" t="str">
            <v>按成本计量的投资性房地产账面原值</v>
          </cell>
          <cell r="U100" t="str">
            <v>项       目</v>
          </cell>
          <cell r="V100">
            <v>1</v>
          </cell>
          <cell r="W100">
            <v>1521</v>
          </cell>
          <cell r="X100">
            <v>2</v>
          </cell>
        </row>
        <row r="101">
          <cell r="B101">
            <v>4999</v>
          </cell>
          <cell r="C101" t="str">
            <v>所有者权益</v>
          </cell>
          <cell r="E101" t="str">
            <v>＝</v>
          </cell>
          <cell r="G101" t="str">
            <v>股东（或所有者）权益合计</v>
          </cell>
          <cell r="H101" t="str">
            <v>所有者权益（或股东权益）合计</v>
          </cell>
          <cell r="I101">
            <v>4999</v>
          </cell>
          <cell r="M101" t="str">
            <v>其他收益</v>
          </cell>
          <cell r="S101" t="str">
            <v>1521e</v>
          </cell>
          <cell r="T101" t="str">
            <v>按成本计量的投资性房地产累计折旧和累计摊销</v>
          </cell>
          <cell r="U101" t="str">
            <v>项       目</v>
          </cell>
          <cell r="V101">
            <v>1</v>
          </cell>
          <cell r="W101">
            <v>1521</v>
          </cell>
          <cell r="X101">
            <v>2</v>
          </cell>
        </row>
        <row r="102">
          <cell r="B102">
            <v>5000</v>
          </cell>
          <cell r="C102" t="str">
            <v>负债和所有者权益</v>
          </cell>
          <cell r="E102" t="str">
            <v>＝</v>
          </cell>
          <cell r="G102" t="str">
            <v>负债和股东（或所有者）权益总计</v>
          </cell>
          <cell r="H102" t="str">
            <v>负债和所有者权益（或股东权益）总计</v>
          </cell>
          <cell r="I102">
            <v>5000</v>
          </cell>
          <cell r="M102" t="str">
            <v>营业成本</v>
          </cell>
          <cell r="S102" t="str">
            <v>1521f</v>
          </cell>
          <cell r="T102" t="str">
            <v>按成本计量的投资性房地产减值准备</v>
          </cell>
          <cell r="U102" t="str">
            <v>项       目</v>
          </cell>
          <cell r="V102">
            <v>1</v>
          </cell>
          <cell r="W102">
            <v>1521</v>
          </cell>
          <cell r="X102">
            <v>2</v>
          </cell>
        </row>
        <row r="103">
          <cell r="B103">
            <v>6</v>
          </cell>
          <cell r="C103" t="str">
            <v>利润表</v>
          </cell>
          <cell r="E103" t="str">
            <v>：</v>
          </cell>
          <cell r="G103" t="str">
            <v>利润表</v>
          </cell>
          <cell r="I103">
            <v>6</v>
          </cell>
          <cell r="M103" t="str">
            <v>税金及附加</v>
          </cell>
          <cell r="S103" t="str">
            <v>1521g</v>
          </cell>
          <cell r="T103" t="str">
            <v>按成本计量的投资性房地产账面价值</v>
          </cell>
          <cell r="U103" t="str">
            <v>项       目</v>
          </cell>
          <cell r="V103">
            <v>1</v>
          </cell>
          <cell r="W103">
            <v>1521</v>
          </cell>
          <cell r="X103">
            <v>1</v>
          </cell>
        </row>
        <row r="104">
          <cell r="B104">
            <v>6098</v>
          </cell>
          <cell r="C104" t="str">
            <v>营业总收入</v>
          </cell>
          <cell r="E104" t="str">
            <v>※</v>
          </cell>
          <cell r="G104" t="str">
            <v>一、营业总收入</v>
          </cell>
          <cell r="H104" t="str">
            <v>一、营业总收入</v>
          </cell>
          <cell r="I104">
            <v>6098</v>
          </cell>
          <cell r="M104" t="str">
            <v>销售费用</v>
          </cell>
          <cell r="S104" t="str">
            <v>1521b</v>
          </cell>
          <cell r="T104" t="str">
            <v>按公允价值计量的投资性房地产</v>
          </cell>
          <cell r="U104" t="str">
            <v>项       目</v>
          </cell>
          <cell r="V104">
            <v>1</v>
          </cell>
          <cell r="W104">
            <v>1521</v>
          </cell>
          <cell r="X104">
            <v>2</v>
          </cell>
        </row>
        <row r="105">
          <cell r="B105">
            <v>6001</v>
          </cell>
          <cell r="C105" t="str">
            <v>营业收入</v>
          </cell>
          <cell r="D105">
            <v>-1</v>
          </cell>
          <cell r="F105">
            <v>6100</v>
          </cell>
          <cell r="G105" t="str">
            <v>一、营业收入</v>
          </cell>
          <cell r="H105" t="str">
            <v>其中：营业收入</v>
          </cell>
          <cell r="I105">
            <v>6001</v>
          </cell>
          <cell r="J105" t="str">
            <v>J</v>
          </cell>
          <cell r="M105" t="str">
            <v>管理费用</v>
          </cell>
          <cell r="S105" t="str">
            <v>1521c</v>
          </cell>
          <cell r="T105" t="str">
            <v>未办妥产权证书的情况</v>
          </cell>
          <cell r="U105" t="str">
            <v>项       目</v>
          </cell>
          <cell r="V105">
            <v>1</v>
          </cell>
          <cell r="W105">
            <v>1521</v>
          </cell>
          <cell r="X105">
            <v>2</v>
          </cell>
        </row>
        <row r="106">
          <cell r="B106">
            <v>6011</v>
          </cell>
          <cell r="C106" t="str">
            <v>利息收入</v>
          </cell>
          <cell r="D106">
            <v>-1</v>
          </cell>
          <cell r="E106" t="str">
            <v>△</v>
          </cell>
          <cell r="G106" t="str">
            <v>利息收入</v>
          </cell>
          <cell r="H106" t="str">
            <v>利息收入</v>
          </cell>
          <cell r="I106">
            <v>6011</v>
          </cell>
          <cell r="J106" t="str">
            <v>J</v>
          </cell>
          <cell r="M106" t="str">
            <v>财务费用</v>
          </cell>
          <cell r="S106" t="str">
            <v>1521s</v>
          </cell>
          <cell r="T106" t="str">
            <v>投资性房地产抵押情况</v>
          </cell>
          <cell r="U106" t="str">
            <v>抵押资产明细项目</v>
          </cell>
          <cell r="V106">
            <v>1</v>
          </cell>
          <cell r="W106">
            <v>1521</v>
          </cell>
          <cell r="X106">
            <v>2</v>
          </cell>
        </row>
        <row r="107">
          <cell r="B107">
            <v>6030</v>
          </cell>
          <cell r="C107" t="str">
            <v>已赚保费</v>
          </cell>
          <cell r="D107">
            <v>-1</v>
          </cell>
          <cell r="E107" t="str">
            <v>△</v>
          </cell>
          <cell r="G107" t="str">
            <v>已赚保费</v>
          </cell>
          <cell r="H107" t="str">
            <v>已赚保费</v>
          </cell>
          <cell r="I107">
            <v>6030</v>
          </cell>
          <cell r="J107" t="str">
            <v>J</v>
          </cell>
          <cell r="M107" t="str">
            <v>财务费用_利息费用</v>
          </cell>
          <cell r="S107" t="str">
            <v>1521a</v>
          </cell>
          <cell r="T107" t="str">
            <v>采用成本计量模式的投资性房地产增减变动</v>
          </cell>
          <cell r="U107" t="str">
            <v>项       目</v>
          </cell>
          <cell r="V107">
            <v>1</v>
          </cell>
          <cell r="W107">
            <v>1521</v>
          </cell>
          <cell r="X107">
            <v>2</v>
          </cell>
        </row>
        <row r="108">
          <cell r="B108">
            <v>6021</v>
          </cell>
          <cell r="C108" t="str">
            <v>手续费及佣金收入</v>
          </cell>
          <cell r="D108">
            <v>-1</v>
          </cell>
          <cell r="E108" t="str">
            <v>△</v>
          </cell>
          <cell r="G108" t="str">
            <v>手续费及佣金收入</v>
          </cell>
          <cell r="H108" t="str">
            <v>手续费及佣金收入</v>
          </cell>
          <cell r="I108">
            <v>6021</v>
          </cell>
          <cell r="J108" t="str">
            <v>J</v>
          </cell>
          <cell r="M108" t="str">
            <v>财务费用_利息收入</v>
          </cell>
          <cell r="S108" t="str">
            <v>1611a</v>
          </cell>
          <cell r="T108" t="str">
            <v>固定资产分类列示</v>
          </cell>
          <cell r="U108" t="str">
            <v>项       目</v>
          </cell>
          <cell r="V108">
            <v>1</v>
          </cell>
          <cell r="W108">
            <v>1611</v>
          </cell>
          <cell r="X108">
            <v>1</v>
          </cell>
        </row>
        <row r="109">
          <cell r="B109">
            <v>6598</v>
          </cell>
          <cell r="C109" t="str">
            <v>营业总成本</v>
          </cell>
          <cell r="E109" t="str">
            <v>※</v>
          </cell>
          <cell r="G109" t="str">
            <v>二、营业总成本</v>
          </cell>
          <cell r="H109" t="str">
            <v>二、营业总成本</v>
          </cell>
          <cell r="I109">
            <v>6598</v>
          </cell>
          <cell r="M109" t="str">
            <v>研发费用</v>
          </cell>
          <cell r="S109" t="str">
            <v>1601g</v>
          </cell>
          <cell r="T109" t="str">
            <v>固定资产原值</v>
          </cell>
          <cell r="U109" t="str">
            <v>项       目</v>
          </cell>
          <cell r="V109">
            <v>1</v>
          </cell>
          <cell r="W109">
            <v>1601</v>
          </cell>
          <cell r="X109">
            <v>2</v>
          </cell>
        </row>
        <row r="110">
          <cell r="B110">
            <v>6401</v>
          </cell>
          <cell r="C110" t="str">
            <v>营业成本</v>
          </cell>
          <cell r="D110">
            <v>1</v>
          </cell>
          <cell r="F110">
            <v>6200</v>
          </cell>
          <cell r="G110" t="str">
            <v>减：营业成本</v>
          </cell>
          <cell r="H110" t="str">
            <v>其中：营业成本</v>
          </cell>
          <cell r="I110">
            <v>6401</v>
          </cell>
          <cell r="J110" t="str">
            <v>J</v>
          </cell>
          <cell r="M110" t="str">
            <v>资产减值损失</v>
          </cell>
          <cell r="S110" t="str">
            <v>1601h</v>
          </cell>
          <cell r="T110" t="str">
            <v>固定资产累计折旧</v>
          </cell>
          <cell r="U110" t="str">
            <v>项       目</v>
          </cell>
          <cell r="V110">
            <v>1</v>
          </cell>
          <cell r="W110">
            <v>1601</v>
          </cell>
          <cell r="X110">
            <v>2</v>
          </cell>
        </row>
        <row r="111">
          <cell r="B111">
            <v>6411</v>
          </cell>
          <cell r="C111" t="str">
            <v>利息支出</v>
          </cell>
          <cell r="D111">
            <v>1</v>
          </cell>
          <cell r="E111" t="str">
            <v>△</v>
          </cell>
          <cell r="G111" t="str">
            <v>利息支出</v>
          </cell>
          <cell r="H111" t="str">
            <v>利息支出</v>
          </cell>
          <cell r="I111">
            <v>6411</v>
          </cell>
          <cell r="J111" t="str">
            <v>J</v>
          </cell>
          <cell r="M111" t="str">
            <v>营业外收入</v>
          </cell>
          <cell r="S111" t="str">
            <v>1601i</v>
          </cell>
          <cell r="T111" t="str">
            <v>固定资产减值准备</v>
          </cell>
          <cell r="U111" t="str">
            <v>项       目</v>
          </cell>
          <cell r="V111">
            <v>1</v>
          </cell>
          <cell r="W111">
            <v>1601</v>
          </cell>
          <cell r="X111">
            <v>2</v>
          </cell>
        </row>
        <row r="112">
          <cell r="B112">
            <v>6421</v>
          </cell>
          <cell r="C112" t="str">
            <v>手续费及佣金支出</v>
          </cell>
          <cell r="D112">
            <v>1</v>
          </cell>
          <cell r="E112" t="str">
            <v>△</v>
          </cell>
          <cell r="G112" t="str">
            <v>手续费及佣金支出</v>
          </cell>
          <cell r="H112" t="str">
            <v>手续费及佣金支出</v>
          </cell>
          <cell r="I112">
            <v>6421</v>
          </cell>
          <cell r="J112" t="str">
            <v>J</v>
          </cell>
          <cell r="M112" t="str">
            <v>营业外支出</v>
          </cell>
          <cell r="S112" t="str">
            <v>1601j</v>
          </cell>
          <cell r="T112" t="str">
            <v>固定资产账面价值</v>
          </cell>
          <cell r="U112" t="str">
            <v>项       目</v>
          </cell>
          <cell r="V112">
            <v>1</v>
          </cell>
          <cell r="W112">
            <v>1601</v>
          </cell>
          <cell r="X112">
            <v>1</v>
          </cell>
        </row>
        <row r="113">
          <cell r="B113">
            <v>6531</v>
          </cell>
          <cell r="C113" t="str">
            <v>退保金</v>
          </cell>
          <cell r="D113">
            <v>1</v>
          </cell>
          <cell r="E113" t="str">
            <v>△</v>
          </cell>
          <cell r="G113" t="str">
            <v>退保金</v>
          </cell>
          <cell r="H113" t="str">
            <v>退保金</v>
          </cell>
          <cell r="I113">
            <v>6531</v>
          </cell>
          <cell r="J113" t="str">
            <v>J</v>
          </cell>
          <cell r="M113" t="str">
            <v>所得税费用</v>
          </cell>
          <cell r="S113" t="str">
            <v>1601b</v>
          </cell>
          <cell r="T113" t="str">
            <v>暂时闲置的固定资产情况</v>
          </cell>
          <cell r="U113" t="str">
            <v>类       别</v>
          </cell>
          <cell r="V113">
            <v>1</v>
          </cell>
          <cell r="W113">
            <v>1601</v>
          </cell>
          <cell r="X113">
            <v>2</v>
          </cell>
        </row>
        <row r="114">
          <cell r="B114">
            <v>6510</v>
          </cell>
          <cell r="C114" t="str">
            <v>赔付支出净额</v>
          </cell>
          <cell r="D114">
            <v>1</v>
          </cell>
          <cell r="E114" t="str">
            <v>△</v>
          </cell>
          <cell r="G114" t="str">
            <v>赔付支出净额</v>
          </cell>
          <cell r="H114" t="str">
            <v>赔付支出净额</v>
          </cell>
          <cell r="I114">
            <v>6510</v>
          </cell>
          <cell r="J114" t="str">
            <v>J</v>
          </cell>
          <cell r="M114" t="str">
            <v>少数股东损益</v>
          </cell>
          <cell r="S114" t="str">
            <v>1601c</v>
          </cell>
          <cell r="T114" t="str">
            <v>通过融资租赁租入的固定资产情况</v>
          </cell>
          <cell r="U114" t="str">
            <v>资产类别</v>
          </cell>
          <cell r="V114">
            <v>1</v>
          </cell>
          <cell r="W114">
            <v>1601</v>
          </cell>
          <cell r="X114">
            <v>2</v>
          </cell>
        </row>
        <row r="115">
          <cell r="B115">
            <v>6505</v>
          </cell>
          <cell r="C115" t="str">
            <v>提取保险合同准备金净额</v>
          </cell>
          <cell r="D115">
            <v>1</v>
          </cell>
          <cell r="E115" t="str">
            <v>△</v>
          </cell>
          <cell r="G115" t="str">
            <v>提取保险合同准备金净额</v>
          </cell>
          <cell r="H115" t="str">
            <v>提取保险合同准备金净额</v>
          </cell>
          <cell r="I115">
            <v>6505</v>
          </cell>
          <cell r="J115" t="str">
            <v>J</v>
          </cell>
          <cell r="M115" t="str">
            <v>重新计量设定受益计划变动额</v>
          </cell>
          <cell r="S115" t="str">
            <v>1601d</v>
          </cell>
          <cell r="T115" t="str">
            <v>通过经营租赁租出的固定资产</v>
          </cell>
          <cell r="U115" t="str">
            <v>资产类别</v>
          </cell>
          <cell r="V115">
            <v>1</v>
          </cell>
          <cell r="W115">
            <v>1601</v>
          </cell>
          <cell r="X115">
            <v>2</v>
          </cell>
        </row>
        <row r="116">
          <cell r="B116">
            <v>6521</v>
          </cell>
          <cell r="C116" t="str">
            <v>保单红利支出</v>
          </cell>
          <cell r="D116">
            <v>1</v>
          </cell>
          <cell r="E116" t="str">
            <v>△</v>
          </cell>
          <cell r="G116" t="str">
            <v>保单红利支出</v>
          </cell>
          <cell r="H116" t="str">
            <v>保单红利支出</v>
          </cell>
          <cell r="I116">
            <v>6521</v>
          </cell>
          <cell r="J116" t="str">
            <v>J</v>
          </cell>
          <cell r="M116" t="str">
            <v>权益法下不能转损益的其他综合收益</v>
          </cell>
          <cell r="S116" t="str">
            <v>1601f</v>
          </cell>
          <cell r="T116" t="str">
            <v>未办妥产权证书的固定资产情况</v>
          </cell>
          <cell r="U116" t="str">
            <v>项       目</v>
          </cell>
          <cell r="V116">
            <v>1</v>
          </cell>
          <cell r="W116">
            <v>1601</v>
          </cell>
          <cell r="X116">
            <v>2</v>
          </cell>
        </row>
        <row r="117">
          <cell r="B117">
            <v>6542</v>
          </cell>
          <cell r="C117" t="str">
            <v>分保费用</v>
          </cell>
          <cell r="D117">
            <v>1</v>
          </cell>
          <cell r="E117" t="str">
            <v>△</v>
          </cell>
          <cell r="G117" t="str">
            <v>分保费用</v>
          </cell>
          <cell r="H117" t="str">
            <v>分保费用</v>
          </cell>
          <cell r="I117">
            <v>6542</v>
          </cell>
          <cell r="J117" t="str">
            <v>J</v>
          </cell>
          <cell r="M117" t="str">
            <v>其他以后不能重分类进损益的其他综合收益</v>
          </cell>
          <cell r="S117" t="str">
            <v>1601s</v>
          </cell>
          <cell r="T117" t="str">
            <v>固定资产抵押情况</v>
          </cell>
          <cell r="U117" t="str">
            <v>抵押资产明细项目</v>
          </cell>
          <cell r="V117">
            <v>1</v>
          </cell>
          <cell r="W117">
            <v>1601</v>
          </cell>
          <cell r="X117">
            <v>2</v>
          </cell>
        </row>
        <row r="118">
          <cell r="B118">
            <v>6600</v>
          </cell>
          <cell r="C118" t="str">
            <v>税金及附加</v>
          </cell>
          <cell r="D118">
            <v>1</v>
          </cell>
          <cell r="F118">
            <v>6610</v>
          </cell>
          <cell r="G118" t="str">
            <v>税金及附加</v>
          </cell>
          <cell r="H118" t="str">
            <v>税金及附加</v>
          </cell>
          <cell r="I118">
            <v>6600</v>
          </cell>
          <cell r="J118" t="str">
            <v>J</v>
          </cell>
          <cell r="M118" t="str">
            <v>权益法下可转损益的其他综合收益</v>
          </cell>
          <cell r="S118" t="str">
            <v>1601t</v>
          </cell>
          <cell r="T118" t="str">
            <v>本期冲减固定资产账面价值的政府补助</v>
          </cell>
          <cell r="U118" t="str">
            <v>项       目</v>
          </cell>
          <cell r="V118">
            <v>1</v>
          </cell>
          <cell r="W118">
            <v>1601</v>
          </cell>
          <cell r="X118">
            <v>2</v>
          </cell>
        </row>
        <row r="119">
          <cell r="B119">
            <v>6601</v>
          </cell>
          <cell r="C119" t="str">
            <v>销售费用</v>
          </cell>
          <cell r="D119">
            <v>1</v>
          </cell>
          <cell r="F119">
            <v>6310</v>
          </cell>
          <cell r="G119" t="str">
            <v>销售费用</v>
          </cell>
          <cell r="H119" t="str">
            <v>销售费用</v>
          </cell>
          <cell r="I119">
            <v>6601</v>
          </cell>
          <cell r="J119" t="str">
            <v>J</v>
          </cell>
          <cell r="M119" t="str">
            <v>可供出售金融资产公允价值变动损益</v>
          </cell>
          <cell r="S119" t="str">
            <v>1601a</v>
          </cell>
          <cell r="T119" t="str">
            <v>固定资产及其累计折旧明细项目和增减变动</v>
          </cell>
          <cell r="U119" t="str">
            <v>项       目</v>
          </cell>
          <cell r="V119">
            <v>1</v>
          </cell>
          <cell r="W119">
            <v>1601</v>
          </cell>
          <cell r="X119">
            <v>2</v>
          </cell>
        </row>
        <row r="120">
          <cell r="B120">
            <v>6602</v>
          </cell>
          <cell r="C120" t="str">
            <v>管理费用</v>
          </cell>
          <cell r="D120">
            <v>1</v>
          </cell>
          <cell r="F120">
            <v>6320</v>
          </cell>
          <cell r="G120" t="str">
            <v>管理费用</v>
          </cell>
          <cell r="H120" t="str">
            <v>管理费用</v>
          </cell>
          <cell r="I120">
            <v>6602</v>
          </cell>
          <cell r="J120" t="str">
            <v>J</v>
          </cell>
          <cell r="M120" t="str">
            <v>持有至到期投资重分类为可供出售金融资产损益</v>
          </cell>
          <cell r="S120" t="str">
            <v>1601x</v>
          </cell>
          <cell r="T120" t="str">
            <v>固定资产累计折旧补充资料</v>
          </cell>
          <cell r="U120" t="str">
            <v>项       目</v>
          </cell>
          <cell r="V120">
            <v>1</v>
          </cell>
          <cell r="W120">
            <v>1601</v>
          </cell>
          <cell r="X120">
            <v>2</v>
          </cell>
        </row>
        <row r="121">
          <cell r="B121">
            <v>6603</v>
          </cell>
          <cell r="C121" t="str">
            <v>财务费用</v>
          </cell>
          <cell r="D121">
            <v>1</v>
          </cell>
          <cell r="F121">
            <v>6330</v>
          </cell>
          <cell r="G121" t="str">
            <v>财务费用</v>
          </cell>
          <cell r="H121" t="str">
            <v>财务费用</v>
          </cell>
          <cell r="I121">
            <v>6603</v>
          </cell>
          <cell r="J121" t="str">
            <v>J</v>
          </cell>
          <cell r="M121" t="str">
            <v>现金流量套期损益的有效部分</v>
          </cell>
          <cell r="S121" t="str">
            <v>1616a</v>
          </cell>
          <cell r="T121" t="str">
            <v>在建工程分类列示</v>
          </cell>
          <cell r="U121" t="str">
            <v>项       目</v>
          </cell>
          <cell r="V121">
            <v>1</v>
          </cell>
          <cell r="W121">
            <v>1616</v>
          </cell>
          <cell r="X121">
            <v>1</v>
          </cell>
        </row>
        <row r="122">
          <cell r="B122">
            <v>6671</v>
          </cell>
          <cell r="C122" t="str">
            <v>资产减值损失</v>
          </cell>
          <cell r="D122">
            <v>1</v>
          </cell>
          <cell r="F122">
            <v>6350</v>
          </cell>
          <cell r="G122" t="str">
            <v>资产减值损失</v>
          </cell>
          <cell r="H122" t="str">
            <v>资产减值损失</v>
          </cell>
          <cell r="I122">
            <v>6671</v>
          </cell>
          <cell r="J122" t="str">
            <v>J</v>
          </cell>
          <cell r="M122" t="str">
            <v>外币财务报表折算差额</v>
          </cell>
          <cell r="S122" t="str">
            <v>1604a</v>
          </cell>
          <cell r="T122" t="str">
            <v>在建工程明细</v>
          </cell>
          <cell r="U122" t="str">
            <v>项       目</v>
          </cell>
          <cell r="V122">
            <v>1</v>
          </cell>
          <cell r="W122">
            <v>1604</v>
          </cell>
          <cell r="X122">
            <v>1</v>
          </cell>
        </row>
        <row r="123">
          <cell r="B123">
            <v>6101</v>
          </cell>
          <cell r="C123" t="str">
            <v>公允价值变动收益</v>
          </cell>
          <cell r="D123">
            <v>-1</v>
          </cell>
          <cell r="F123">
            <v>6410</v>
          </cell>
          <cell r="G123" t="str">
            <v>公允价值变动收益（损失以“-”号填列）</v>
          </cell>
          <cell r="H123" t="str">
            <v>公允价值变动收益（损失以“-”号填列）</v>
          </cell>
          <cell r="I123">
            <v>6101</v>
          </cell>
          <cell r="J123" t="str">
            <v>J</v>
          </cell>
          <cell r="M123" t="str">
            <v>自用房地产或作为存货的房地产转换为以公允价值计量的投资性房地产在转换日公允价值大于账面价值部分</v>
          </cell>
          <cell r="S123" t="str">
            <v>1604c</v>
          </cell>
          <cell r="T123" t="str">
            <v>重要在建工程项目变动情况（续）</v>
          </cell>
          <cell r="U123" t="str">
            <v>工程名称</v>
          </cell>
          <cell r="V123">
            <v>1</v>
          </cell>
          <cell r="W123">
            <v>1604</v>
          </cell>
          <cell r="X123">
            <v>2</v>
          </cell>
        </row>
        <row r="124">
          <cell r="B124">
            <v>6111</v>
          </cell>
          <cell r="C124" t="str">
            <v>投资收益</v>
          </cell>
          <cell r="D124">
            <v>-1</v>
          </cell>
          <cell r="F124">
            <v>6420</v>
          </cell>
          <cell r="G124" t="str">
            <v>投资收益（损失以“-”号填列）</v>
          </cell>
          <cell r="H124" t="str">
            <v>投资收益（损失以“-”号填列）</v>
          </cell>
          <cell r="I124">
            <v>6111</v>
          </cell>
          <cell r="J124" t="str">
            <v>J</v>
          </cell>
          <cell r="M124" t="str">
            <v>多次交易分步处置子公司股权构成一揽子交易的丧失控制权之前各次交易处置价款与对应净资产账面价值份额的差额</v>
          </cell>
          <cell r="S124" t="str">
            <v>1604b</v>
          </cell>
          <cell r="T124" t="str">
            <v>重要在建工程项目变动情况</v>
          </cell>
          <cell r="U124" t="str">
            <v>工程名称</v>
          </cell>
          <cell r="V124">
            <v>1</v>
          </cell>
          <cell r="W124">
            <v>1604</v>
          </cell>
          <cell r="X124">
            <v>2</v>
          </cell>
        </row>
        <row r="125">
          <cell r="B125">
            <v>6111.01</v>
          </cell>
          <cell r="C125" t="str">
            <v>对联营企业和合营企业的投资收益</v>
          </cell>
          <cell r="D125">
            <v>-1</v>
          </cell>
          <cell r="G125" t="str">
            <v>其中：对联营企业和合营企业的投资收益</v>
          </cell>
          <cell r="H125" t="str">
            <v>其中：对联营企业和合营企业的投资收益</v>
          </cell>
          <cell r="I125">
            <v>6111.01</v>
          </cell>
          <cell r="J125" t="str">
            <v>J</v>
          </cell>
          <cell r="M125" t="str">
            <v>其他以后将重分类进损益的其他综合收益</v>
          </cell>
          <cell r="S125" t="str">
            <v>1604d</v>
          </cell>
          <cell r="T125" t="str">
            <v>在建工程减值准备</v>
          </cell>
          <cell r="U125" t="str">
            <v>项       目</v>
          </cell>
          <cell r="V125">
            <v>1</v>
          </cell>
          <cell r="W125">
            <v>1604</v>
          </cell>
          <cell r="X125">
            <v>2</v>
          </cell>
        </row>
        <row r="126">
          <cell r="B126">
            <v>6161</v>
          </cell>
          <cell r="C126" t="str">
            <v>汇兑收益</v>
          </cell>
          <cell r="D126">
            <v>-1</v>
          </cell>
          <cell r="E126" t="str">
            <v>△</v>
          </cell>
          <cell r="G126" t="str">
            <v>汇兑收益（损失以“-”号填列）</v>
          </cell>
          <cell r="H126" t="str">
            <v>汇兑收益（损失以“-”号填列）</v>
          </cell>
          <cell r="I126">
            <v>6161</v>
          </cell>
          <cell r="J126" t="str">
            <v>J</v>
          </cell>
          <cell r="M126" t="str">
            <v>少数股东其他综合收益_重新计量设定受益计划变动额</v>
          </cell>
          <cell r="S126" t="str">
            <v>1605a</v>
          </cell>
          <cell r="T126" t="str">
            <v>工程物资明细项目</v>
          </cell>
          <cell r="U126" t="str">
            <v>项       目</v>
          </cell>
          <cell r="V126">
            <v>1</v>
          </cell>
          <cell r="W126">
            <v>1605</v>
          </cell>
          <cell r="X126">
            <v>1</v>
          </cell>
        </row>
        <row r="127">
          <cell r="B127">
            <v>6689</v>
          </cell>
          <cell r="C127" t="str">
            <v>营业利润</v>
          </cell>
          <cell r="E127" t="str">
            <v>＝</v>
          </cell>
          <cell r="G127" t="str">
            <v>二、营业利润（亏损以“-”号填列）</v>
          </cell>
          <cell r="H127" t="str">
            <v>三、营业利润（亏损以“-”号填列）</v>
          </cell>
          <cell r="I127">
            <v>6689</v>
          </cell>
          <cell r="M127" t="str">
            <v>少数股东其他综合收益_权益法下不能转损益的其他综合收益</v>
          </cell>
          <cell r="S127" t="str">
            <v>1606a</v>
          </cell>
          <cell r="T127" t="str">
            <v>固定资产清理明细项目</v>
          </cell>
          <cell r="U127" t="str">
            <v>类       别</v>
          </cell>
          <cell r="V127">
            <v>1</v>
          </cell>
          <cell r="W127">
            <v>1606</v>
          </cell>
          <cell r="X127">
            <v>1</v>
          </cell>
        </row>
        <row r="128">
          <cell r="B128">
            <v>6710</v>
          </cell>
          <cell r="C128" t="str">
            <v>营业外收入</v>
          </cell>
          <cell r="D128">
            <v>-1</v>
          </cell>
          <cell r="F128">
            <v>6510</v>
          </cell>
          <cell r="G128" t="str">
            <v>加：营业外收入</v>
          </cell>
          <cell r="H128" t="str">
            <v>加：营业外收入</v>
          </cell>
          <cell r="I128">
            <v>6710</v>
          </cell>
          <cell r="J128" t="str">
            <v>J</v>
          </cell>
          <cell r="M128" t="str">
            <v>少数股东其他综合收益_其他以后不能重分类进损益的其他综合收益</v>
          </cell>
          <cell r="S128" t="str">
            <v>1621c</v>
          </cell>
          <cell r="T128" t="str">
            <v>以成本计量的生产性生物资产账面原值</v>
          </cell>
          <cell r="U128" t="str">
            <v>项       目</v>
          </cell>
          <cell r="V128">
            <v>1</v>
          </cell>
          <cell r="W128">
            <v>1621</v>
          </cell>
          <cell r="X128">
            <v>2</v>
          </cell>
        </row>
        <row r="129">
          <cell r="B129">
            <v>6710.11</v>
          </cell>
          <cell r="C129" t="str">
            <v>营业外收入_非流动资产处置利得</v>
          </cell>
          <cell r="D129">
            <v>-1</v>
          </cell>
          <cell r="G129" t="str">
            <v>其中：非流动资产处置利得</v>
          </cell>
          <cell r="H129" t="str">
            <v>其中：非流动资产处置利得</v>
          </cell>
          <cell r="I129">
            <v>6710.11</v>
          </cell>
          <cell r="M129" t="str">
            <v>少数股东其他综合收益_权益法下可转损益的其他综合收益</v>
          </cell>
          <cell r="S129" t="str">
            <v>1621d</v>
          </cell>
          <cell r="T129" t="str">
            <v>以成本计量的生产性生物资产累计折旧</v>
          </cell>
          <cell r="U129" t="str">
            <v>项       目</v>
          </cell>
          <cell r="V129">
            <v>1</v>
          </cell>
          <cell r="W129">
            <v>1621</v>
          </cell>
          <cell r="X129">
            <v>2</v>
          </cell>
        </row>
        <row r="130">
          <cell r="B130">
            <v>6711</v>
          </cell>
          <cell r="C130" t="str">
            <v>营业外支出</v>
          </cell>
          <cell r="D130">
            <v>1</v>
          </cell>
          <cell r="F130">
            <v>6520</v>
          </cell>
          <cell r="G130" t="str">
            <v>减：营业外支出</v>
          </cell>
          <cell r="H130" t="str">
            <v>减：营业外支出</v>
          </cell>
          <cell r="I130">
            <v>6711</v>
          </cell>
          <cell r="J130" t="str">
            <v>J</v>
          </cell>
          <cell r="M130" t="str">
            <v>少数股东其他综合收益_可供出售金融资产公允价值变动损益</v>
          </cell>
          <cell r="S130" t="str">
            <v>1621e</v>
          </cell>
          <cell r="T130" t="str">
            <v>以成本计量的生产性生物资产减值准备</v>
          </cell>
          <cell r="U130" t="str">
            <v>项       目</v>
          </cell>
          <cell r="V130">
            <v>1</v>
          </cell>
          <cell r="W130">
            <v>1621</v>
          </cell>
          <cell r="X130">
            <v>2</v>
          </cell>
        </row>
        <row r="131">
          <cell r="B131">
            <v>6711.01</v>
          </cell>
          <cell r="C131" t="str">
            <v>非流动资产处置损失</v>
          </cell>
          <cell r="D131">
            <v>1</v>
          </cell>
          <cell r="G131" t="str">
            <v>其中：非流动资产处置损失</v>
          </cell>
          <cell r="H131" t="str">
            <v>其中：非流动资产处置损失</v>
          </cell>
          <cell r="I131">
            <v>6711.01</v>
          </cell>
          <cell r="M131" t="str">
            <v>少数股东其他综合收益_持有至到期投资重分类为可供出售金融资产损益</v>
          </cell>
          <cell r="S131" t="str">
            <v>1621f</v>
          </cell>
          <cell r="T131" t="str">
            <v>以成本计量的生产性生物资产账面价值</v>
          </cell>
          <cell r="U131" t="str">
            <v>项       目</v>
          </cell>
          <cell r="V131">
            <v>1</v>
          </cell>
          <cell r="W131">
            <v>1621</v>
          </cell>
          <cell r="X131">
            <v>1</v>
          </cell>
        </row>
        <row r="132">
          <cell r="B132">
            <v>6788</v>
          </cell>
          <cell r="C132" t="str">
            <v>利润总额</v>
          </cell>
          <cell r="E132" t="str">
            <v>＝</v>
          </cell>
          <cell r="G132" t="str">
            <v>三、利润总额（亏损总额以“-”号填列）</v>
          </cell>
          <cell r="H132" t="str">
            <v>四、利润总额（亏损总额以“-”号填列）</v>
          </cell>
          <cell r="I132">
            <v>6788</v>
          </cell>
          <cell r="M132" t="str">
            <v>少数股东其他综合收益_现金流量套期损益的有效部分</v>
          </cell>
          <cell r="S132" t="str">
            <v>1621b</v>
          </cell>
          <cell r="T132" t="str">
            <v>以公允价值计量的生产性生物资产明细列示</v>
          </cell>
          <cell r="U132" t="str">
            <v>项       目</v>
          </cell>
          <cell r="V132">
            <v>1</v>
          </cell>
          <cell r="W132">
            <v>1621</v>
          </cell>
          <cell r="X132">
            <v>2</v>
          </cell>
        </row>
        <row r="133">
          <cell r="B133">
            <v>6791</v>
          </cell>
          <cell r="C133" t="str">
            <v>所得税费用</v>
          </cell>
          <cell r="D133">
            <v>1</v>
          </cell>
          <cell r="F133">
            <v>6620</v>
          </cell>
          <cell r="G133" t="str">
            <v>减：所得税费用</v>
          </cell>
          <cell r="H133" t="str">
            <v>减：所得税费用</v>
          </cell>
          <cell r="I133">
            <v>6791</v>
          </cell>
          <cell r="J133" t="str">
            <v>J</v>
          </cell>
          <cell r="M133" t="str">
            <v>少数股东其他综合收益_外币财务报表折算差额</v>
          </cell>
          <cell r="S133" t="str">
            <v>1621a</v>
          </cell>
          <cell r="T133" t="str">
            <v>以成本计量的生产性生物资产明细列示</v>
          </cell>
          <cell r="U133" t="str">
            <v>项       目</v>
          </cell>
          <cell r="V133">
            <v>1</v>
          </cell>
          <cell r="W133">
            <v>1621</v>
          </cell>
          <cell r="X133">
            <v>2</v>
          </cell>
        </row>
        <row r="134">
          <cell r="B134">
            <v>6799</v>
          </cell>
          <cell r="C134" t="str">
            <v>净利润</v>
          </cell>
          <cell r="E134" t="str">
            <v>＝</v>
          </cell>
          <cell r="G134" t="str">
            <v>四、净利润（净亏损以“-”号填列）</v>
          </cell>
          <cell r="H134" t="str">
            <v>五、净利润（净亏损以“-”号填列）</v>
          </cell>
          <cell r="I134">
            <v>6799</v>
          </cell>
          <cell r="M134" t="str">
            <v>少数股东其他综合收益_自用房地产或作为存货的房地产转换为以公允价值计量的投资性房地产在转换日公允价值大于账面价值部分</v>
          </cell>
          <cell r="S134" t="str">
            <v>1631a</v>
          </cell>
          <cell r="T134" t="str">
            <v>油气资产明细项目</v>
          </cell>
          <cell r="U134" t="str">
            <v>项       目</v>
          </cell>
          <cell r="V134">
            <v>1</v>
          </cell>
          <cell r="W134">
            <v>1631</v>
          </cell>
          <cell r="X134">
            <v>1</v>
          </cell>
        </row>
        <row r="135">
          <cell r="B135">
            <v>6805</v>
          </cell>
          <cell r="C135" t="str">
            <v>同一控制下企业合并的被合并方在合并前实现的净利润</v>
          </cell>
          <cell r="D135">
            <v>1</v>
          </cell>
          <cell r="E135" t="str">
            <v>※</v>
          </cell>
          <cell r="G135" t="str">
            <v>其中：同一控制下企业合并的被合并方在合并前实现的净利润</v>
          </cell>
          <cell r="H135" t="str">
            <v>其中：同一控制下企业合并的被合并方在合并前实现的净利润</v>
          </cell>
          <cell r="I135">
            <v>6805</v>
          </cell>
          <cell r="M135" t="str">
            <v>少数股东其他综合收益_多次交易分步处置子公司股权构成一揽子交易的丧失控制权之前各次交易处置价款与对应净资产账面价值份额的差额</v>
          </cell>
          <cell r="S135" t="str">
            <v>1705b</v>
          </cell>
          <cell r="T135" t="str">
            <v>开发支出明细项目</v>
          </cell>
          <cell r="U135" t="str">
            <v>项       目</v>
          </cell>
          <cell r="V135">
            <v>-1</v>
          </cell>
          <cell r="W135">
            <v>1700</v>
          </cell>
          <cell r="X135">
            <v>1</v>
          </cell>
        </row>
        <row r="136">
          <cell r="B136">
            <v>6811</v>
          </cell>
          <cell r="C136" t="str">
            <v>归属于母公司所有者的净利润</v>
          </cell>
          <cell r="D136">
            <v>-1</v>
          </cell>
          <cell r="E136" t="str">
            <v>※</v>
          </cell>
          <cell r="G136" t="str">
            <v>归属于母公司股东的净利润</v>
          </cell>
          <cell r="H136" t="str">
            <v>归属于母公司股东的净利润（净亏损以“-”号填列）</v>
          </cell>
          <cell r="I136">
            <v>6811</v>
          </cell>
          <cell r="M136" t="str">
            <v>少数股东其他综合收益_其他以后将重分类进损益的其他综合收益</v>
          </cell>
          <cell r="S136" t="str">
            <v>1701a</v>
          </cell>
          <cell r="T136" t="str">
            <v>无形资产账面原值</v>
          </cell>
          <cell r="U136" t="str">
            <v>项       目</v>
          </cell>
          <cell r="V136">
            <v>1</v>
          </cell>
          <cell r="W136">
            <v>1701</v>
          </cell>
          <cell r="X136">
            <v>2</v>
          </cell>
        </row>
        <row r="137">
          <cell r="B137">
            <v>6812</v>
          </cell>
          <cell r="C137" t="str">
            <v>少数股东损益</v>
          </cell>
          <cell r="D137">
            <v>1</v>
          </cell>
          <cell r="E137" t="str">
            <v>※</v>
          </cell>
          <cell r="G137" t="str">
            <v>少数股东损益</v>
          </cell>
          <cell r="H137" t="str">
            <v>其中：少数股东损益（净亏损以“-”号填列）</v>
          </cell>
          <cell r="I137">
            <v>6812</v>
          </cell>
          <cell r="J137" t="str">
            <v>J</v>
          </cell>
          <cell r="M137" t="str">
            <v>实收资本_上年年末余额</v>
          </cell>
          <cell r="S137" t="str">
            <v>1701b</v>
          </cell>
          <cell r="T137" t="str">
            <v>无形资产累计摊销</v>
          </cell>
          <cell r="U137" t="str">
            <v>项       目</v>
          </cell>
          <cell r="V137">
            <v>1</v>
          </cell>
          <cell r="W137">
            <v>1701</v>
          </cell>
          <cell r="X137">
            <v>2</v>
          </cell>
        </row>
        <row r="138">
          <cell r="B138">
            <v>6820</v>
          </cell>
          <cell r="C138" t="str">
            <v>每股收益</v>
          </cell>
          <cell r="E138" t="str">
            <v>：</v>
          </cell>
          <cell r="G138" t="str">
            <v>七、每股收益：</v>
          </cell>
          <cell r="H138" t="str">
            <v>八、每股收益：</v>
          </cell>
          <cell r="I138">
            <v>6820</v>
          </cell>
          <cell r="M138" t="str">
            <v>实收资本_会计政策变更调整上年年末余额</v>
          </cell>
          <cell r="S138" t="str">
            <v>1701c</v>
          </cell>
          <cell r="T138" t="str">
            <v>无形资产减值准备</v>
          </cell>
          <cell r="U138" t="str">
            <v>项       目</v>
          </cell>
          <cell r="V138">
            <v>1</v>
          </cell>
          <cell r="W138">
            <v>1701</v>
          </cell>
          <cell r="X138">
            <v>2</v>
          </cell>
        </row>
        <row r="139">
          <cell r="B139">
            <v>6821</v>
          </cell>
          <cell r="C139" t="str">
            <v>基本每股收益</v>
          </cell>
          <cell r="G139" t="str">
            <v>（一）基本每股收益</v>
          </cell>
          <cell r="H139" t="str">
            <v>基本每股收益</v>
          </cell>
          <cell r="I139">
            <v>6821</v>
          </cell>
          <cell r="M139" t="str">
            <v>实收资本_前期差错更正调整上年年末余额</v>
          </cell>
          <cell r="S139" t="str">
            <v>1701d</v>
          </cell>
          <cell r="T139" t="str">
            <v>无形资产账面价值</v>
          </cell>
          <cell r="U139" t="str">
            <v>项       目</v>
          </cell>
          <cell r="V139">
            <v>1</v>
          </cell>
          <cell r="W139">
            <v>1701</v>
          </cell>
          <cell r="X139">
            <v>1</v>
          </cell>
        </row>
        <row r="140">
          <cell r="B140">
            <v>6822</v>
          </cell>
          <cell r="C140" t="str">
            <v>稀释每股收益</v>
          </cell>
          <cell r="G140" t="str">
            <v>（二）稀释每股收益</v>
          </cell>
          <cell r="H140" t="str">
            <v>稀释每股收益</v>
          </cell>
          <cell r="I140">
            <v>6822</v>
          </cell>
          <cell r="M140" t="str">
            <v>实收资本_同一控制下企业合并调整上年年末余额</v>
          </cell>
          <cell r="S140" t="str">
            <v>1701e</v>
          </cell>
          <cell r="T140" t="str">
            <v>未办妥产权证书的土地使用权情况</v>
          </cell>
          <cell r="U140" t="str">
            <v>项       目</v>
          </cell>
          <cell r="V140">
            <v>1</v>
          </cell>
          <cell r="W140">
            <v>1701</v>
          </cell>
          <cell r="X140">
            <v>2</v>
          </cell>
        </row>
        <row r="141">
          <cell r="B141">
            <v>6829</v>
          </cell>
          <cell r="C141" t="str">
            <v>其他综合收益的税后净额</v>
          </cell>
          <cell r="E141" t="str">
            <v>＝</v>
          </cell>
          <cell r="G141" t="str">
            <v>五、其他综合收益的税后净额</v>
          </cell>
          <cell r="H141" t="str">
            <v>六、其他综合收益的税后净额</v>
          </cell>
          <cell r="I141">
            <v>6829</v>
          </cell>
          <cell r="M141" t="str">
            <v>实收资本_其他原因调整上年年末余额</v>
          </cell>
          <cell r="S141" t="str">
            <v>1705t</v>
          </cell>
          <cell r="T141" t="str">
            <v>无形资产抵押情况</v>
          </cell>
          <cell r="U141" t="str">
            <v>项       目</v>
          </cell>
          <cell r="V141">
            <v>1</v>
          </cell>
          <cell r="W141">
            <v>1701</v>
          </cell>
          <cell r="X141">
            <v>2</v>
          </cell>
        </row>
        <row r="142">
          <cell r="B142">
            <v>6829.2</v>
          </cell>
          <cell r="C142" t="str">
            <v>归属于母公司所有者的其他综合收益的税后净额</v>
          </cell>
          <cell r="E142" t="str">
            <v>※</v>
          </cell>
          <cell r="G142" t="str">
            <v>归属于母公司股东的其他综合收益的税后净额</v>
          </cell>
          <cell r="H142" t="str">
            <v>归属于母公司股东的其他综合收益的税后净额</v>
          </cell>
          <cell r="I142">
            <v>6829.2</v>
          </cell>
          <cell r="M142" t="str">
            <v>实收资本_净利润增加权益</v>
          </cell>
          <cell r="S142" t="str">
            <v>1705a</v>
          </cell>
          <cell r="T142" t="str">
            <v>无形资产情况</v>
          </cell>
          <cell r="U142" t="str">
            <v>项       目</v>
          </cell>
          <cell r="V142">
            <v>-1</v>
          </cell>
          <cell r="W142">
            <v>1701</v>
          </cell>
          <cell r="X142">
            <v>2</v>
          </cell>
        </row>
        <row r="143">
          <cell r="B143">
            <v>6829.21</v>
          </cell>
          <cell r="C143" t="str">
            <v>以后不能重分类进损益的其他综合收益</v>
          </cell>
          <cell r="E143" t="str">
            <v>＝</v>
          </cell>
          <cell r="G143" t="str">
            <v>（一）不能重分类进损益的其他综合收益</v>
          </cell>
          <cell r="H143" t="str">
            <v>（一）不能重分类进损益的其他综合收益</v>
          </cell>
          <cell r="I143">
            <v>6829.21</v>
          </cell>
          <cell r="M143" t="str">
            <v>实收资本_其他综合收益增加权益</v>
          </cell>
          <cell r="S143" t="str">
            <v>1701x</v>
          </cell>
          <cell r="T143" t="str">
            <v>无形资产累计摊销补充资料</v>
          </cell>
          <cell r="U143" t="str">
            <v>项       目</v>
          </cell>
          <cell r="V143">
            <v>1</v>
          </cell>
          <cell r="W143">
            <v>1701</v>
          </cell>
          <cell r="X143">
            <v>2</v>
          </cell>
        </row>
        <row r="144">
          <cell r="B144">
            <v>6829.2110000000002</v>
          </cell>
          <cell r="C144" t="str">
            <v>重新计量设定受益计划变动额</v>
          </cell>
          <cell r="D144">
            <v>-1</v>
          </cell>
          <cell r="E144" t="str">
            <v>Ｘ</v>
          </cell>
          <cell r="G144" t="str">
            <v>1、重新计量设定受益计划变动额</v>
          </cell>
          <cell r="H144" t="str">
            <v>其中：1.重新计量设定受益计划变动额</v>
          </cell>
          <cell r="I144">
            <v>6829.2110000000002</v>
          </cell>
          <cell r="J144" t="str">
            <v>J</v>
          </cell>
          <cell r="M144" t="str">
            <v>实收资本_综合收益总额增加权益</v>
          </cell>
          <cell r="S144" t="str">
            <v>1711a</v>
          </cell>
          <cell r="T144" t="str">
            <v>商誉账面原值</v>
          </cell>
          <cell r="U144" t="str">
            <v>被投资单位名称或形成商誉的事项</v>
          </cell>
          <cell r="V144">
            <v>1</v>
          </cell>
          <cell r="W144">
            <v>1711</v>
          </cell>
          <cell r="X144">
            <v>1</v>
          </cell>
        </row>
        <row r="145">
          <cell r="B145">
            <v>6829.2120000000004</v>
          </cell>
          <cell r="C145" t="str">
            <v>权益法下不能转损益的其他综合收益</v>
          </cell>
          <cell r="D145">
            <v>-1</v>
          </cell>
          <cell r="E145" t="str">
            <v>Ｘ</v>
          </cell>
          <cell r="G145" t="str">
            <v>2、权益法下不能转损益的其他综合收益</v>
          </cell>
          <cell r="H145" t="str">
            <v>2.权益法下不能转损益的其他综合收益</v>
          </cell>
          <cell r="I145">
            <v>6829.2120000000004</v>
          </cell>
          <cell r="J145" t="str">
            <v>J</v>
          </cell>
          <cell r="M145" t="str">
            <v>实收资本_所有者投入资本</v>
          </cell>
          <cell r="S145" t="str">
            <v>1711b</v>
          </cell>
          <cell r="T145" t="str">
            <v xml:space="preserve">商誉减值准备 </v>
          </cell>
          <cell r="U145" t="str">
            <v>被投资单位名称或形成商誉的事项</v>
          </cell>
          <cell r="V145">
            <v>1</v>
          </cell>
          <cell r="W145">
            <v>1711</v>
          </cell>
          <cell r="X145">
            <v>2</v>
          </cell>
        </row>
        <row r="146">
          <cell r="B146">
            <v>6829.2190000000001</v>
          </cell>
          <cell r="C146" t="str">
            <v>其他以后不能重分类进损益的其他综合收益</v>
          </cell>
          <cell r="D146">
            <v>-1</v>
          </cell>
          <cell r="G146" t="str">
            <v>3、其他</v>
          </cell>
          <cell r="H146" t="str">
            <v>3.其他</v>
          </cell>
          <cell r="I146">
            <v>6829.2190000000001</v>
          </cell>
          <cell r="J146" t="str">
            <v>J</v>
          </cell>
          <cell r="M146" t="str">
            <v>实收资本_股份支付计入所有者权益的金额</v>
          </cell>
          <cell r="S146" t="str">
            <v>1801a</v>
          </cell>
          <cell r="T146" t="str">
            <v>长期待摊费用明细项目</v>
          </cell>
          <cell r="U146" t="str">
            <v>项       目</v>
          </cell>
          <cell r="V146">
            <v>1</v>
          </cell>
          <cell r="W146">
            <v>1801</v>
          </cell>
          <cell r="X146">
            <v>1</v>
          </cell>
        </row>
        <row r="147">
          <cell r="B147">
            <v>6829.23</v>
          </cell>
          <cell r="C147" t="str">
            <v>以后将重分类进损益的其他综合收益</v>
          </cell>
          <cell r="E147" t="str">
            <v>＝</v>
          </cell>
          <cell r="G147" t="str">
            <v>（二）将重分类进损益的其他综合收益</v>
          </cell>
          <cell r="H147" t="str">
            <v>（二）将重分类进损益的其他综合收益</v>
          </cell>
          <cell r="I147">
            <v>6829.23</v>
          </cell>
          <cell r="M147" t="str">
            <v>实收资本_其他权益工具持有者投入资本</v>
          </cell>
          <cell r="S147" t="str">
            <v>1801x</v>
          </cell>
          <cell r="T147" t="str">
            <v>长期待摊费用补充资料</v>
          </cell>
          <cell r="U147" t="str">
            <v>项       目</v>
          </cell>
          <cell r="V147">
            <v>1</v>
          </cell>
          <cell r="W147">
            <v>1801</v>
          </cell>
          <cell r="X147">
            <v>2</v>
          </cell>
        </row>
        <row r="148">
          <cell r="B148">
            <v>6829.2309999999998</v>
          </cell>
          <cell r="C148" t="str">
            <v>权益法下可转损益的其他综合收益</v>
          </cell>
          <cell r="D148">
            <v>-1</v>
          </cell>
          <cell r="E148" t="str">
            <v>Ｘ</v>
          </cell>
          <cell r="G148" t="str">
            <v>1、权益法下可转损益的其他综合收益</v>
          </cell>
          <cell r="H148" t="str">
            <v>其中：1.权益法下可转损益的其他综合收益</v>
          </cell>
          <cell r="I148">
            <v>6829.2309999999998</v>
          </cell>
          <cell r="J148" t="str">
            <v>J</v>
          </cell>
          <cell r="M148" t="str">
            <v>实收资本_所有者其他投入和减少资本</v>
          </cell>
          <cell r="S148" t="str">
            <v>1829a</v>
          </cell>
          <cell r="T148" t="str">
            <v>未经抵销的递延所得税资产</v>
          </cell>
          <cell r="U148" t="str">
            <v>项       目</v>
          </cell>
          <cell r="V148">
            <v>-1</v>
          </cell>
          <cell r="W148">
            <v>1811</v>
          </cell>
          <cell r="X148">
            <v>1</v>
          </cell>
        </row>
        <row r="149">
          <cell r="B149">
            <v>6829.232</v>
          </cell>
          <cell r="C149" t="str">
            <v>可供出售金融资产公允价值变动损益</v>
          </cell>
          <cell r="D149">
            <v>-1</v>
          </cell>
          <cell r="E149" t="str">
            <v>Ｘ</v>
          </cell>
          <cell r="G149" t="str">
            <v>2、可供出售金融资产公允价值变动损益</v>
          </cell>
          <cell r="H149" t="str">
            <v>2.可供出售金融资产公允价值变动损益</v>
          </cell>
          <cell r="I149">
            <v>6829.232</v>
          </cell>
          <cell r="J149" t="str">
            <v>J</v>
          </cell>
          <cell r="M149" t="str">
            <v>实收资本_提取盈余公积影响权益</v>
          </cell>
          <cell r="S149" t="str">
            <v>1829b</v>
          </cell>
          <cell r="T149" t="str">
            <v>未经抵销的递延所得税负债</v>
          </cell>
          <cell r="U149" t="str">
            <v>项       目</v>
          </cell>
          <cell r="V149">
            <v>-1</v>
          </cell>
          <cell r="W149">
            <v>2901</v>
          </cell>
          <cell r="X149">
            <v>1</v>
          </cell>
        </row>
        <row r="150">
          <cell r="B150">
            <v>6829.2330000000002</v>
          </cell>
          <cell r="C150" t="str">
            <v>持有至到期投资重分类为可供出售金融资产损益</v>
          </cell>
          <cell r="D150">
            <v>-1</v>
          </cell>
          <cell r="E150" t="str">
            <v>Ｘ</v>
          </cell>
          <cell r="G150" t="str">
            <v>3、持有至到期投资重分类为可供出售金融资产损益</v>
          </cell>
          <cell r="H150" t="str">
            <v>3.持有至到期投资重分类为可供出售金融资产损益</v>
          </cell>
          <cell r="I150">
            <v>6829.2330000000002</v>
          </cell>
          <cell r="J150" t="str">
            <v>J</v>
          </cell>
          <cell r="M150" t="str">
            <v>实收资本_提取一般风险准备影响权益</v>
          </cell>
          <cell r="S150" t="str">
            <v>1829c</v>
          </cell>
          <cell r="T150" t="str">
            <v>以抵销后净额列示的递延所得税资产或负债</v>
          </cell>
          <cell r="U150" t="str">
            <v>项       目</v>
          </cell>
          <cell r="V150">
            <v>-1</v>
          </cell>
          <cell r="X150">
            <v>2</v>
          </cell>
        </row>
        <row r="151">
          <cell r="B151">
            <v>6829.2340000000004</v>
          </cell>
          <cell r="C151" t="str">
            <v>现金流量套期损益的有效部分</v>
          </cell>
          <cell r="D151">
            <v>-1</v>
          </cell>
          <cell r="E151" t="str">
            <v>Ｘ</v>
          </cell>
          <cell r="G151" t="str">
            <v>4、现金流量套期损益的有效部分</v>
          </cell>
          <cell r="H151" t="str">
            <v>4.现金流量套期损益的有效部分</v>
          </cell>
          <cell r="I151">
            <v>6829.2340000000004</v>
          </cell>
          <cell r="J151" t="str">
            <v>J</v>
          </cell>
          <cell r="M151" t="str">
            <v>实收资本_对所有者的分配影响权益</v>
          </cell>
          <cell r="S151" t="str">
            <v>1829e</v>
          </cell>
          <cell r="T151" t="str">
            <v>未确认递延所得税资产的可抵扣暂时性差异及可抵扣亏损明细</v>
          </cell>
          <cell r="U151" t="str">
            <v>项       目</v>
          </cell>
          <cell r="V151">
            <v>-1</v>
          </cell>
          <cell r="X151">
            <v>2</v>
          </cell>
        </row>
        <row r="152">
          <cell r="B152">
            <v>6829.2349999999997</v>
          </cell>
          <cell r="C152" t="str">
            <v>外币财务报表折算差额</v>
          </cell>
          <cell r="D152">
            <v>-1</v>
          </cell>
          <cell r="E152" t="str">
            <v>Ｘ</v>
          </cell>
          <cell r="G152" t="str">
            <v>5、外币财务报表折算差额</v>
          </cell>
          <cell r="H152" t="str">
            <v>5.外币财务报表折算差额</v>
          </cell>
          <cell r="I152">
            <v>6829.2349999999997</v>
          </cell>
          <cell r="J152" t="str">
            <v>J</v>
          </cell>
          <cell r="M152" t="str">
            <v>实收资本_其他利润分配影响权益</v>
          </cell>
          <cell r="S152" t="str">
            <v>1829f</v>
          </cell>
          <cell r="T152" t="str">
            <v>未确认递延所得税资产的可抵扣亏损将于以下年度到期</v>
          </cell>
          <cell r="U152" t="str">
            <v>年       份</v>
          </cell>
          <cell r="V152">
            <v>-1</v>
          </cell>
          <cell r="X152">
            <v>2</v>
          </cell>
        </row>
        <row r="153">
          <cell r="B153">
            <v>6829.2359999999999</v>
          </cell>
          <cell r="C153" t="str">
            <v>自用房地产或作为存货的房地产转换为以公允价值计量的投资性房地产在转换日公允价值大于账面价值部分</v>
          </cell>
          <cell r="D153">
            <v>-1</v>
          </cell>
          <cell r="E153" t="str">
            <v>Ｘ</v>
          </cell>
          <cell r="G153" t="str">
            <v>6、自用房地产或作为存货的房地产转换为以公允价值计量的投资性房地产在转换日公允价值大于账面价值部分</v>
          </cell>
          <cell r="H153" t="str">
            <v>6.自用房地产或作为存货的房地产转换为以公允价值计量的投资性房地产在转换日公允价值大于账面价值部分</v>
          </cell>
          <cell r="I153">
            <v>6829.2359999999999</v>
          </cell>
          <cell r="J153" t="str">
            <v>J</v>
          </cell>
          <cell r="M153" t="str">
            <v>实收资本_资本公积转增</v>
          </cell>
          <cell r="S153" t="str">
            <v>1996a</v>
          </cell>
          <cell r="T153" t="str">
            <v>其他非流动资产明细项目</v>
          </cell>
          <cell r="U153" t="str">
            <v>项       目</v>
          </cell>
          <cell r="V153">
            <v>1</v>
          </cell>
          <cell r="W153">
            <v>1996</v>
          </cell>
          <cell r="X153">
            <v>1</v>
          </cell>
        </row>
        <row r="154">
          <cell r="B154">
            <v>6829.2370000000001</v>
          </cell>
          <cell r="C154" t="str">
            <v>多次交易分步处置子公司股权构成一揽子交易的丧失控制权之前各次交易处置价款与对应净资产账面价值份额的差额</v>
          </cell>
          <cell r="D154">
            <v>-1</v>
          </cell>
          <cell r="E154" t="str">
            <v>Ｘ</v>
          </cell>
          <cell r="G154" t="str">
            <v>7、多次交易分步处置子公司股权构成一揽子交易的，丧失控制权之前各次交易处置价款与对应净资产账面价值份额的差额</v>
          </cell>
          <cell r="H154" t="str">
            <v>7.多次交易分步处置子公司股权构成一揽子交易的，丧失控制权之前各次交易处置价款与对应净资产账面价值份额的差额</v>
          </cell>
          <cell r="I154">
            <v>6829.2370000000001</v>
          </cell>
          <cell r="J154" t="str">
            <v>J</v>
          </cell>
          <cell r="M154" t="str">
            <v>实收资本_盈余公积转增</v>
          </cell>
          <cell r="S154" t="str">
            <v>2001a</v>
          </cell>
          <cell r="T154" t="str">
            <v>短期借款明细项目</v>
          </cell>
          <cell r="U154" t="str">
            <v>借款类别</v>
          </cell>
          <cell r="V154">
            <v>1</v>
          </cell>
          <cell r="W154">
            <v>2001</v>
          </cell>
          <cell r="X154">
            <v>1</v>
          </cell>
        </row>
        <row r="155">
          <cell r="B155">
            <v>6829.2389999999996</v>
          </cell>
          <cell r="C155" t="str">
            <v>其他以后将重分类进损益的其他综合收益</v>
          </cell>
          <cell r="D155">
            <v>-1</v>
          </cell>
          <cell r="G155" t="str">
            <v>8、其他</v>
          </cell>
          <cell r="H155" t="str">
            <v>8.其他</v>
          </cell>
          <cell r="I155">
            <v>6829.2389999999996</v>
          </cell>
          <cell r="J155" t="str">
            <v>J</v>
          </cell>
          <cell r="M155" t="str">
            <v>实收资本_盈余公积弥补亏损影响权益</v>
          </cell>
          <cell r="S155" t="str">
            <v>2001b</v>
          </cell>
          <cell r="T155" t="str">
            <v>重要的逾期借款情况</v>
          </cell>
          <cell r="U155" t="str">
            <v>贷款单位</v>
          </cell>
          <cell r="V155">
            <v>1</v>
          </cell>
          <cell r="W155">
            <v>2001</v>
          </cell>
          <cell r="X155">
            <v>2</v>
          </cell>
        </row>
        <row r="156">
          <cell r="B156">
            <v>6829.5</v>
          </cell>
          <cell r="C156" t="str">
            <v>归属于少数股东的其他综合收益的税后净额</v>
          </cell>
          <cell r="D156">
            <v>1</v>
          </cell>
          <cell r="E156" t="str">
            <v>※</v>
          </cell>
          <cell r="G156" t="str">
            <v>归属于少数股东的其他综合收益的税后净额</v>
          </cell>
          <cell r="H156" t="str">
            <v>归属于少数股东的其他综合收益的税后净额</v>
          </cell>
          <cell r="I156">
            <v>6829.5</v>
          </cell>
          <cell r="M156" t="str">
            <v>实收资本_设定受益计划变动额结转留存收益</v>
          </cell>
          <cell r="S156" t="str">
            <v>2001c</v>
          </cell>
          <cell r="T156" t="str">
            <v>外币短期借款</v>
          </cell>
          <cell r="U156" t="str">
            <v>币       种</v>
          </cell>
          <cell r="V156">
            <v>1</v>
          </cell>
          <cell r="W156">
            <v>2001</v>
          </cell>
          <cell r="X156">
            <v>2</v>
          </cell>
        </row>
        <row r="157">
          <cell r="B157">
            <v>6839</v>
          </cell>
          <cell r="C157" t="str">
            <v>综合收益总额</v>
          </cell>
          <cell r="E157" t="str">
            <v>＝</v>
          </cell>
          <cell r="G157" t="str">
            <v>六、综合收益总额</v>
          </cell>
          <cell r="H157" t="str">
            <v>七、综合收益总额</v>
          </cell>
          <cell r="I157">
            <v>6839</v>
          </cell>
          <cell r="M157" t="str">
            <v>实收资本_所有者权益其他内部结转</v>
          </cell>
          <cell r="S157" t="str">
            <v>2001d</v>
          </cell>
          <cell r="T157" t="str">
            <v>短期借款中的质押借款明细列示</v>
          </cell>
          <cell r="U157" t="str">
            <v>项       目</v>
          </cell>
          <cell r="V157">
            <v>1</v>
          </cell>
          <cell r="W157">
            <v>2001</v>
          </cell>
          <cell r="X157">
            <v>2</v>
          </cell>
        </row>
        <row r="158">
          <cell r="B158">
            <v>6841</v>
          </cell>
          <cell r="C158" t="str">
            <v>归属于母公司所有者的综合收益总额</v>
          </cell>
          <cell r="D158">
            <v>-1</v>
          </cell>
          <cell r="E158" t="str">
            <v>※</v>
          </cell>
          <cell r="G158" t="str">
            <v>归属于母公司股东的综合收益总额</v>
          </cell>
          <cell r="H158" t="str">
            <v>归属于母公司所有者的综合收益总额</v>
          </cell>
          <cell r="I158">
            <v>6841</v>
          </cell>
          <cell r="M158" t="str">
            <v>实收资本_专项储备本期提取</v>
          </cell>
          <cell r="S158" t="str">
            <v>2001e</v>
          </cell>
          <cell r="T158" t="str">
            <v>短期借款中的抵押借款明细列示</v>
          </cell>
          <cell r="U158" t="str">
            <v>项       目</v>
          </cell>
          <cell r="V158">
            <v>1</v>
          </cell>
          <cell r="W158">
            <v>2001</v>
          </cell>
          <cell r="X158">
            <v>2</v>
          </cell>
        </row>
        <row r="159">
          <cell r="B159">
            <v>6842</v>
          </cell>
          <cell r="C159" t="str">
            <v>归属于少数股东的综合收益总额</v>
          </cell>
          <cell r="D159">
            <v>1</v>
          </cell>
          <cell r="E159" t="str">
            <v>※</v>
          </cell>
          <cell r="G159" t="str">
            <v>归属于少数股东的综合收益总额</v>
          </cell>
          <cell r="H159" t="str">
            <v>归属于少数股东的综合收益总额</v>
          </cell>
          <cell r="I159">
            <v>6842</v>
          </cell>
          <cell r="M159" t="str">
            <v>实收资本_专项储备本期使用</v>
          </cell>
          <cell r="S159" t="str">
            <v>2001f</v>
          </cell>
          <cell r="T159" t="str">
            <v>短期借款中的保证借款明细列示</v>
          </cell>
          <cell r="U159" t="str">
            <v>项       目</v>
          </cell>
          <cell r="V159">
            <v>1</v>
          </cell>
          <cell r="W159">
            <v>2001</v>
          </cell>
          <cell r="X159">
            <v>2</v>
          </cell>
        </row>
        <row r="160">
          <cell r="B160">
            <v>8</v>
          </cell>
          <cell r="C160" t="str">
            <v>所有者权益变动表</v>
          </cell>
          <cell r="E160" t="str">
            <v>：</v>
          </cell>
          <cell r="G160" t="str">
            <v>所有者权益变动表</v>
          </cell>
          <cell r="H160" t="str">
            <v>所有者权益变动表</v>
          </cell>
          <cell r="I160">
            <v>8</v>
          </cell>
          <cell r="M160" t="str">
            <v>实收资本_本期其他增减变动</v>
          </cell>
          <cell r="S160" t="str">
            <v>2101a</v>
          </cell>
          <cell r="T160" t="str">
            <v>以公允价值计量且其变动计入当期损益的金融负债</v>
          </cell>
          <cell r="U160" t="str">
            <v>项       目</v>
          </cell>
          <cell r="V160">
            <v>1</v>
          </cell>
          <cell r="W160">
            <v>2101</v>
          </cell>
          <cell r="X160">
            <v>1</v>
          </cell>
        </row>
        <row r="161">
          <cell r="B161">
            <v>8000</v>
          </cell>
          <cell r="C161" t="str">
            <v>所有者权益增减变动</v>
          </cell>
          <cell r="E161" t="str">
            <v>：</v>
          </cell>
          <cell r="G161" t="str">
            <v>所有者权益增减变动</v>
          </cell>
          <cell r="H161" t="str">
            <v>所有者权益增减变动</v>
          </cell>
          <cell r="I161">
            <v>8000</v>
          </cell>
          <cell r="M161" t="str">
            <v>资本公积_上年年末余额</v>
          </cell>
          <cell r="S161" t="str">
            <v>2115a</v>
          </cell>
          <cell r="T161" t="str">
            <v>衍生金融负债</v>
          </cell>
          <cell r="U161" t="str">
            <v>项       目</v>
          </cell>
          <cell r="V161">
            <v>1</v>
          </cell>
          <cell r="W161">
            <v>2115</v>
          </cell>
          <cell r="X161">
            <v>1</v>
          </cell>
        </row>
        <row r="162">
          <cell r="B162">
            <v>8001</v>
          </cell>
          <cell r="C162" t="str">
            <v>所有者权益_上年年末余额</v>
          </cell>
          <cell r="D162">
            <v>-1</v>
          </cell>
          <cell r="E162" t="str">
            <v>＝</v>
          </cell>
          <cell r="G162" t="str">
            <v>一、上年年末余额</v>
          </cell>
          <cell r="H162" t="str">
            <v>一、上年年末余额</v>
          </cell>
          <cell r="I162">
            <v>8001</v>
          </cell>
          <cell r="M162" t="str">
            <v>资本公积_会计政策变更调整上年年末余额</v>
          </cell>
          <cell r="S162" t="str">
            <v>2203a</v>
          </cell>
          <cell r="T162" t="str">
            <v>应付票据及应付账款分类列示</v>
          </cell>
          <cell r="U162" t="str">
            <v>项       目</v>
          </cell>
          <cell r="V162">
            <v>1</v>
          </cell>
          <cell r="W162">
            <v>2203</v>
          </cell>
          <cell r="X162">
            <v>1</v>
          </cell>
        </row>
        <row r="163">
          <cell r="B163">
            <v>8002</v>
          </cell>
          <cell r="C163" t="str">
            <v>所有者权益_会计政策变更调整上年年末余额</v>
          </cell>
          <cell r="D163">
            <v>-1</v>
          </cell>
          <cell r="E163" t="str">
            <v>＝</v>
          </cell>
          <cell r="G163" t="str">
            <v>加：会计政策变更</v>
          </cell>
          <cell r="H163" t="str">
            <v>加：会计政策变更</v>
          </cell>
          <cell r="I163">
            <v>8002</v>
          </cell>
          <cell r="M163" t="str">
            <v>资本公积_前期差错更正调整上年年末余额</v>
          </cell>
          <cell r="S163" t="str">
            <v>2201a</v>
          </cell>
          <cell r="T163" t="str">
            <v>应付票据明细项目</v>
          </cell>
          <cell r="U163" t="str">
            <v>种       类</v>
          </cell>
          <cell r="V163">
            <v>1</v>
          </cell>
          <cell r="W163">
            <v>2201</v>
          </cell>
          <cell r="X163">
            <v>1</v>
          </cell>
        </row>
        <row r="164">
          <cell r="B164">
            <v>8003</v>
          </cell>
          <cell r="C164" t="str">
            <v>所有者权益_前期差错更正调整上年年末余额</v>
          </cell>
          <cell r="D164">
            <v>-1</v>
          </cell>
          <cell r="E164" t="str">
            <v>＝</v>
          </cell>
          <cell r="G164" t="str">
            <v>前期差错更正</v>
          </cell>
          <cell r="H164" t="str">
            <v>前期差错更正</v>
          </cell>
          <cell r="I164">
            <v>8003</v>
          </cell>
          <cell r="M164" t="str">
            <v>资本公积_同一控制下企业合并调整上年年末余额</v>
          </cell>
          <cell r="S164" t="str">
            <v>2202e</v>
          </cell>
          <cell r="T164" t="str">
            <v>应付账款按项目列示</v>
          </cell>
          <cell r="U164" t="str">
            <v>项       目</v>
          </cell>
          <cell r="V164">
            <v>1</v>
          </cell>
          <cell r="W164">
            <v>2202</v>
          </cell>
          <cell r="X164">
            <v>1</v>
          </cell>
        </row>
        <row r="165">
          <cell r="B165">
            <v>8004</v>
          </cell>
          <cell r="C165" t="str">
            <v>所有者权益_同一控制下企业合并调整上年年末余额</v>
          </cell>
          <cell r="D165">
            <v>-1</v>
          </cell>
          <cell r="E165" t="str">
            <v>※＝</v>
          </cell>
          <cell r="G165" t="str">
            <v>同一控制下企业合并</v>
          </cell>
          <cell r="H165" t="str">
            <v>同一控制下企业合并</v>
          </cell>
          <cell r="I165">
            <v>8004</v>
          </cell>
          <cell r="M165" t="str">
            <v>资本公积_其他原因调整上年年末余额</v>
          </cell>
          <cell r="S165" t="str">
            <v>2202a</v>
          </cell>
          <cell r="T165" t="str">
            <v>账龄超过1年的重要应付账款</v>
          </cell>
          <cell r="U165" t="str">
            <v>债权人名称</v>
          </cell>
          <cell r="V165">
            <v>1</v>
          </cell>
          <cell r="W165">
            <v>2202</v>
          </cell>
          <cell r="X165">
            <v>2</v>
          </cell>
        </row>
        <row r="166">
          <cell r="B166">
            <v>8009</v>
          </cell>
          <cell r="C166" t="str">
            <v>所有者权益_其他原因调整上年年末余额</v>
          </cell>
          <cell r="D166">
            <v>-1</v>
          </cell>
          <cell r="E166" t="str">
            <v>＝</v>
          </cell>
          <cell r="G166" t="str">
            <v>其他</v>
          </cell>
          <cell r="H166" t="str">
            <v>其他</v>
          </cell>
          <cell r="I166">
            <v>8009</v>
          </cell>
          <cell r="M166" t="str">
            <v>资本公积_净利润增加权益</v>
          </cell>
          <cell r="S166" t="str">
            <v>2202d</v>
          </cell>
          <cell r="T166" t="str">
            <v>外币应付账款</v>
          </cell>
          <cell r="U166" t="str">
            <v>币       种</v>
          </cell>
          <cell r="V166">
            <v>1</v>
          </cell>
          <cell r="W166">
            <v>2202</v>
          </cell>
          <cell r="X166">
            <v>2</v>
          </cell>
        </row>
        <row r="167">
          <cell r="B167">
            <v>8010</v>
          </cell>
          <cell r="C167" t="str">
            <v>所有者权益_本年年初余额</v>
          </cell>
          <cell r="E167" t="str">
            <v>＝</v>
          </cell>
          <cell r="G167" t="str">
            <v>二、本年年初余额</v>
          </cell>
          <cell r="H167" t="str">
            <v>二、本年年初余额</v>
          </cell>
          <cell r="I167">
            <v>8010</v>
          </cell>
          <cell r="M167" t="str">
            <v>资本公积_其他综合收益</v>
          </cell>
          <cell r="S167" t="str">
            <v>2202c</v>
          </cell>
          <cell r="T167" t="str">
            <v>关联方应收应付款项——应付账款</v>
          </cell>
          <cell r="U167" t="str">
            <v>关联方</v>
          </cell>
          <cell r="V167">
            <v>1</v>
          </cell>
          <cell r="W167">
            <v>2202</v>
          </cell>
          <cell r="X167">
            <v>2</v>
          </cell>
        </row>
        <row r="168">
          <cell r="B168">
            <v>8090</v>
          </cell>
          <cell r="C168" t="str">
            <v>所有者权益_本期增减变动金额</v>
          </cell>
          <cell r="E168" t="str">
            <v>＝</v>
          </cell>
          <cell r="G168" t="str">
            <v>三、本年增减变动金额（减少以“－”号填列）</v>
          </cell>
          <cell r="H168" t="str">
            <v>三、本年增减变动金额（减少以“－”号填列）</v>
          </cell>
          <cell r="I168">
            <v>8090</v>
          </cell>
          <cell r="M168" t="str">
            <v>资本公积_综合收益总额增加权益</v>
          </cell>
          <cell r="S168" t="str">
            <v>2202f</v>
          </cell>
          <cell r="T168" t="str">
            <v>应付账款按账龄列示</v>
          </cell>
          <cell r="U168" t="str">
            <v>账       龄</v>
          </cell>
          <cell r="V168">
            <v>1</v>
          </cell>
          <cell r="W168">
            <v>2202</v>
          </cell>
          <cell r="X168">
            <v>2</v>
          </cell>
        </row>
        <row r="169">
          <cell r="B169">
            <v>8021</v>
          </cell>
          <cell r="C169" t="str">
            <v>所有者权益_净利润增加权益</v>
          </cell>
          <cell r="D169">
            <v>-1</v>
          </cell>
          <cell r="E169" t="str">
            <v>＝</v>
          </cell>
          <cell r="G169" t="str">
            <v>（一）净利润</v>
          </cell>
          <cell r="I169">
            <v>8021</v>
          </cell>
          <cell r="M169" t="str">
            <v>资本公积_所有者投入资本</v>
          </cell>
          <cell r="S169" t="str">
            <v>2202g</v>
          </cell>
          <cell r="T169" t="str">
            <v>单项金额较大的应付账款</v>
          </cell>
          <cell r="U169" t="str">
            <v>项       目</v>
          </cell>
          <cell r="V169">
            <v>1</v>
          </cell>
          <cell r="W169">
            <v>2202</v>
          </cell>
          <cell r="X169">
            <v>2</v>
          </cell>
        </row>
        <row r="170">
          <cell r="B170">
            <v>8030</v>
          </cell>
          <cell r="C170" t="str">
            <v>所有者权益_其他综合收益增加权益</v>
          </cell>
          <cell r="D170">
            <v>-1</v>
          </cell>
          <cell r="E170" t="str">
            <v>＝</v>
          </cell>
          <cell r="G170" t="str">
            <v>（二）其他综合收益</v>
          </cell>
          <cell r="I170">
            <v>8030</v>
          </cell>
          <cell r="M170" t="str">
            <v>资本公积_股份支付</v>
          </cell>
          <cell r="S170" t="str">
            <v>2202x</v>
          </cell>
          <cell r="T170" t="str">
            <v>应付账款补充资料</v>
          </cell>
          <cell r="U170" t="str">
            <v>项       目</v>
          </cell>
          <cell r="V170">
            <v>1</v>
          </cell>
          <cell r="W170">
            <v>2202</v>
          </cell>
          <cell r="X170">
            <v>2</v>
          </cell>
        </row>
        <row r="171">
          <cell r="B171">
            <v>8040</v>
          </cell>
          <cell r="C171" t="str">
            <v>所有者权益_综合收益总额增加权益</v>
          </cell>
          <cell r="E171" t="str">
            <v>＝</v>
          </cell>
          <cell r="G171" t="str">
            <v>（一）综合收益总额</v>
          </cell>
          <cell r="H171" t="str">
            <v>（一）综合收益总额</v>
          </cell>
          <cell r="I171">
            <v>8040</v>
          </cell>
          <cell r="M171" t="str">
            <v>资本公积_其他权益工具持有者投入资本</v>
          </cell>
          <cell r="S171" t="str">
            <v>2205f</v>
          </cell>
          <cell r="T171" t="str">
            <v>预收账款按项目列示</v>
          </cell>
          <cell r="U171" t="str">
            <v>项       目</v>
          </cell>
          <cell r="V171">
            <v>1</v>
          </cell>
          <cell r="W171">
            <v>2205</v>
          </cell>
          <cell r="X171">
            <v>1</v>
          </cell>
        </row>
        <row r="172">
          <cell r="B172">
            <v>8050</v>
          </cell>
          <cell r="C172" t="str">
            <v>所有者权益_所有者投入和减少资本影响权益</v>
          </cell>
          <cell r="E172" t="str">
            <v>＝</v>
          </cell>
          <cell r="G172" t="str">
            <v>（二）所有者投入和减少资本</v>
          </cell>
          <cell r="H172" t="str">
            <v>（二）股东（或所有者）投入和减少资本</v>
          </cell>
          <cell r="I172">
            <v>8050</v>
          </cell>
          <cell r="M172" t="str">
            <v>资本公积_所有者其他投入和减少资本</v>
          </cell>
          <cell r="S172" t="str">
            <v>2205g</v>
          </cell>
          <cell r="T172" t="str">
            <v>预收账款按账龄列示</v>
          </cell>
          <cell r="U172" t="str">
            <v>账       龄</v>
          </cell>
          <cell r="V172">
            <v>1</v>
          </cell>
          <cell r="W172">
            <v>2205</v>
          </cell>
          <cell r="X172">
            <v>2</v>
          </cell>
        </row>
        <row r="173">
          <cell r="B173">
            <v>8051</v>
          </cell>
          <cell r="C173" t="str">
            <v>所有者权益_所有者投入资本增加权益</v>
          </cell>
          <cell r="D173">
            <v>-1</v>
          </cell>
          <cell r="E173" t="str">
            <v>＝</v>
          </cell>
          <cell r="G173" t="str">
            <v>1.所有者投入的普通股</v>
          </cell>
          <cell r="H173" t="str">
            <v>1．股东投入的普通股</v>
          </cell>
          <cell r="I173">
            <v>8051</v>
          </cell>
          <cell r="M173" t="str">
            <v>资本公积_提取盈余公积影响权益</v>
          </cell>
          <cell r="S173" t="str">
            <v>2205a</v>
          </cell>
          <cell r="T173" t="str">
            <v>账龄超过1年的重要预收款项</v>
          </cell>
          <cell r="U173" t="str">
            <v>项       目</v>
          </cell>
          <cell r="V173">
            <v>1</v>
          </cell>
          <cell r="W173">
            <v>2205</v>
          </cell>
          <cell r="X173">
            <v>2</v>
          </cell>
        </row>
        <row r="174">
          <cell r="B174">
            <v>8053</v>
          </cell>
          <cell r="C174" t="str">
            <v>所有者权益_其他权益工具持有者投入资本</v>
          </cell>
          <cell r="D174">
            <v>-1</v>
          </cell>
          <cell r="E174" t="str">
            <v>OEI＝</v>
          </cell>
          <cell r="G174" t="str">
            <v>2.其他权益工具持有者投入资本</v>
          </cell>
          <cell r="H174" t="str">
            <v>2．其他权益工具持有者投入资本</v>
          </cell>
          <cell r="I174">
            <v>8053</v>
          </cell>
          <cell r="M174" t="str">
            <v>资本公积_提取一般风险准备影响权益</v>
          </cell>
          <cell r="S174" t="str">
            <v>2205h</v>
          </cell>
          <cell r="T174" t="str">
            <v>建造合同形成的已结算未完工项目</v>
          </cell>
          <cell r="U174" t="str">
            <v>项       目</v>
          </cell>
          <cell r="V174">
            <v>1</v>
          </cell>
          <cell r="W174">
            <v>2205</v>
          </cell>
          <cell r="X174">
            <v>2</v>
          </cell>
        </row>
        <row r="175">
          <cell r="B175">
            <v>8052</v>
          </cell>
          <cell r="C175" t="str">
            <v>所有者权益_股份支付计入所有者权益的金额</v>
          </cell>
          <cell r="D175">
            <v>-1</v>
          </cell>
          <cell r="E175" t="str">
            <v>＝</v>
          </cell>
          <cell r="G175" t="str">
            <v>3.股份支付计入所有者权益的金额</v>
          </cell>
          <cell r="H175" t="str">
            <v>3．股份支付计入股东权益的金额</v>
          </cell>
          <cell r="I175">
            <v>8052</v>
          </cell>
          <cell r="M175" t="str">
            <v>资本公积_对所有者的分配影响权益</v>
          </cell>
          <cell r="S175" t="str">
            <v>2205e</v>
          </cell>
          <cell r="T175" t="str">
            <v>预收款项中预售房产收款情况</v>
          </cell>
          <cell r="U175" t="str">
            <v>项目名称</v>
          </cell>
          <cell r="V175">
            <v>1</v>
          </cell>
          <cell r="W175">
            <v>2205</v>
          </cell>
          <cell r="X175">
            <v>2</v>
          </cell>
        </row>
        <row r="176">
          <cell r="B176">
            <v>8056</v>
          </cell>
          <cell r="C176" t="str">
            <v>所有者权益_所有者其他投入和减少资本</v>
          </cell>
          <cell r="D176">
            <v>-1</v>
          </cell>
          <cell r="E176" t="str">
            <v>＝</v>
          </cell>
          <cell r="G176" t="str">
            <v>4.其他</v>
          </cell>
          <cell r="H176" t="str">
            <v>4．其他</v>
          </cell>
          <cell r="I176">
            <v>8056</v>
          </cell>
          <cell r="M176" t="str">
            <v>资本公积_其他利润分配</v>
          </cell>
          <cell r="S176" t="str">
            <v>2205d</v>
          </cell>
          <cell r="T176" t="str">
            <v>外币预收款项</v>
          </cell>
          <cell r="U176" t="str">
            <v>币       种</v>
          </cell>
          <cell r="V176">
            <v>1</v>
          </cell>
          <cell r="W176">
            <v>2205</v>
          </cell>
          <cell r="X176">
            <v>2</v>
          </cell>
        </row>
        <row r="177">
          <cell r="B177">
            <v>8060</v>
          </cell>
          <cell r="C177" t="str">
            <v>所有者权益_利润分配影响权益</v>
          </cell>
          <cell r="E177" t="str">
            <v>＝</v>
          </cell>
          <cell r="G177" t="str">
            <v>（四）利润分配</v>
          </cell>
          <cell r="H177" t="str">
            <v>（三）利润分配</v>
          </cell>
          <cell r="I177">
            <v>8060</v>
          </cell>
          <cell r="M177" t="str">
            <v>资本公积_转增资本</v>
          </cell>
          <cell r="S177" t="str">
            <v>2205c</v>
          </cell>
          <cell r="T177" t="str">
            <v>关联方应收应付款项——预收款项</v>
          </cell>
          <cell r="U177" t="str">
            <v>单位名称</v>
          </cell>
          <cell r="V177">
            <v>1</v>
          </cell>
          <cell r="W177">
            <v>2205</v>
          </cell>
          <cell r="X177">
            <v>2</v>
          </cell>
        </row>
        <row r="178">
          <cell r="B178">
            <v>8061</v>
          </cell>
          <cell r="C178" t="str">
            <v>所有者权益_提取盈余公积影响权益</v>
          </cell>
          <cell r="D178">
            <v>-1</v>
          </cell>
          <cell r="E178" t="str">
            <v>＝</v>
          </cell>
          <cell r="G178" t="str">
            <v>1.提取盈余公积</v>
          </cell>
          <cell r="H178" t="str">
            <v>1．提取盈余公积</v>
          </cell>
          <cell r="I178">
            <v>8061</v>
          </cell>
          <cell r="M178" t="str">
            <v>资本公积_盈余公积转增资本影响权益</v>
          </cell>
          <cell r="S178" t="str">
            <v>2205x</v>
          </cell>
          <cell r="T178" t="str">
            <v>预收款项补充资料</v>
          </cell>
          <cell r="U178" t="str">
            <v>项       目</v>
          </cell>
          <cell r="V178">
            <v>1</v>
          </cell>
          <cell r="W178">
            <v>2205</v>
          </cell>
          <cell r="X178">
            <v>2</v>
          </cell>
        </row>
        <row r="179">
          <cell r="B179">
            <v>8062</v>
          </cell>
          <cell r="C179" t="str">
            <v>所有者权益_提取一般风险准备影响权益</v>
          </cell>
          <cell r="D179">
            <v>-1</v>
          </cell>
          <cell r="E179" t="str">
            <v>＝</v>
          </cell>
          <cell r="G179" t="str">
            <v>2.提取一般风险准备</v>
          </cell>
          <cell r="H179" t="str">
            <v>2．提取一般风险准备</v>
          </cell>
          <cell r="I179">
            <v>8062</v>
          </cell>
          <cell r="M179" t="str">
            <v>资本公积_盈余公积弥补亏损影响权益</v>
          </cell>
          <cell r="S179" t="str">
            <v>2211a</v>
          </cell>
          <cell r="T179" t="str">
            <v>应付职工薪酬明细项目</v>
          </cell>
          <cell r="U179" t="str">
            <v>项       目</v>
          </cell>
          <cell r="V179">
            <v>1</v>
          </cell>
          <cell r="W179">
            <v>2211</v>
          </cell>
          <cell r="X179">
            <v>1</v>
          </cell>
        </row>
        <row r="180">
          <cell r="B180">
            <v>8063</v>
          </cell>
          <cell r="C180" t="str">
            <v>所有者权益_对所有者的分配影响权益</v>
          </cell>
          <cell r="D180">
            <v>-1</v>
          </cell>
          <cell r="E180" t="str">
            <v>＝</v>
          </cell>
          <cell r="G180" t="str">
            <v>3.对所有者（或股东）的分配</v>
          </cell>
          <cell r="H180" t="str">
            <v>3．对股东（或所有者）的分配</v>
          </cell>
          <cell r="I180">
            <v>8063</v>
          </cell>
          <cell r="M180" t="str">
            <v>资本公积_设定受益计划变动额结转留存收益</v>
          </cell>
          <cell r="S180" t="str">
            <v>2211b</v>
          </cell>
          <cell r="T180" t="str">
            <v>短期薪酬</v>
          </cell>
          <cell r="U180" t="str">
            <v>项       目</v>
          </cell>
          <cell r="V180">
            <v>1</v>
          </cell>
          <cell r="W180">
            <v>2211</v>
          </cell>
          <cell r="X180">
            <v>2</v>
          </cell>
        </row>
        <row r="181">
          <cell r="B181">
            <v>8066</v>
          </cell>
          <cell r="C181" t="str">
            <v>所有者权益_其他利润分配影响权益</v>
          </cell>
          <cell r="D181">
            <v>-1</v>
          </cell>
          <cell r="E181" t="str">
            <v>＝</v>
          </cell>
          <cell r="G181" t="str">
            <v>4.其他</v>
          </cell>
          <cell r="H181" t="str">
            <v>4．其他</v>
          </cell>
          <cell r="I181">
            <v>8066</v>
          </cell>
          <cell r="M181" t="str">
            <v>资本公积_所有者权益其他内部结转</v>
          </cell>
          <cell r="S181" t="str">
            <v>2211c</v>
          </cell>
          <cell r="T181" t="str">
            <v>设定提存计划</v>
          </cell>
          <cell r="U181" t="str">
            <v>项       目</v>
          </cell>
          <cell r="V181">
            <v>1</v>
          </cell>
          <cell r="W181">
            <v>2211</v>
          </cell>
          <cell r="X181">
            <v>2</v>
          </cell>
        </row>
        <row r="182">
          <cell r="B182">
            <v>8070</v>
          </cell>
          <cell r="C182" t="str">
            <v>所有者权益_所有者权益内部结转</v>
          </cell>
          <cell r="E182" t="str">
            <v>＝</v>
          </cell>
          <cell r="G182" t="str">
            <v>（五）所有者权益内部结转</v>
          </cell>
          <cell r="H182" t="str">
            <v>（四）股东权益内部结转</v>
          </cell>
          <cell r="I182">
            <v>8070</v>
          </cell>
          <cell r="M182" t="str">
            <v>资本公积_专项储备本期提取</v>
          </cell>
          <cell r="S182" t="str">
            <v>2211d</v>
          </cell>
          <cell r="T182" t="str">
            <v>应付职工薪酬分类列示</v>
          </cell>
          <cell r="U182" t="str">
            <v>项       目</v>
          </cell>
          <cell r="V182">
            <v>1</v>
          </cell>
          <cell r="W182">
            <v>2211</v>
          </cell>
          <cell r="X182">
            <v>2</v>
          </cell>
        </row>
        <row r="183">
          <cell r="B183">
            <v>8071</v>
          </cell>
          <cell r="C183" t="str">
            <v>所有者权益_资本公积转增资本影响权益</v>
          </cell>
          <cell r="D183">
            <v>-1</v>
          </cell>
          <cell r="E183" t="str">
            <v>＝</v>
          </cell>
          <cell r="G183" t="str">
            <v>1.资本公积转增资本（或股本）</v>
          </cell>
          <cell r="H183" t="str">
            <v>1．资本公积转增股本（或资本）</v>
          </cell>
          <cell r="I183">
            <v>8071</v>
          </cell>
          <cell r="M183" t="str">
            <v>资本公积_专项储备本期使用</v>
          </cell>
          <cell r="S183" t="str">
            <v>2211x</v>
          </cell>
          <cell r="T183" t="str">
            <v>应付职工薪酬补充资料</v>
          </cell>
          <cell r="U183" t="str">
            <v>项       目</v>
          </cell>
          <cell r="V183">
            <v>1</v>
          </cell>
          <cell r="W183">
            <v>2211</v>
          </cell>
          <cell r="X183">
            <v>2</v>
          </cell>
        </row>
        <row r="184">
          <cell r="B184">
            <v>8072</v>
          </cell>
          <cell r="C184" t="str">
            <v>所有者权益_盈余公积转增资本影响权益</v>
          </cell>
          <cell r="D184">
            <v>-1</v>
          </cell>
          <cell r="E184" t="str">
            <v>＝</v>
          </cell>
          <cell r="G184" t="str">
            <v>2.盈余公积转增资本（或股本）</v>
          </cell>
          <cell r="H184" t="str">
            <v>2．盈余公积转增股本（或资本）</v>
          </cell>
          <cell r="I184">
            <v>8072</v>
          </cell>
          <cell r="M184" t="str">
            <v>资本公积_本期其他增减变动</v>
          </cell>
          <cell r="S184" t="str">
            <v>2221a</v>
          </cell>
          <cell r="T184" t="str">
            <v>应交税费明细项目</v>
          </cell>
          <cell r="U184" t="str">
            <v>项       目</v>
          </cell>
          <cell r="V184">
            <v>1</v>
          </cell>
          <cell r="W184">
            <v>2221</v>
          </cell>
          <cell r="X184">
            <v>1</v>
          </cell>
        </row>
        <row r="185">
          <cell r="B185">
            <v>8073</v>
          </cell>
          <cell r="C185" t="str">
            <v>所有者权益_盈余公积弥补亏损影响权益</v>
          </cell>
          <cell r="D185">
            <v>-1</v>
          </cell>
          <cell r="E185" t="str">
            <v>＝</v>
          </cell>
          <cell r="G185" t="str">
            <v>3.盈余公积弥补亏损</v>
          </cell>
          <cell r="H185" t="str">
            <v>3．盈余公积弥补亏损</v>
          </cell>
          <cell r="I185">
            <v>8073</v>
          </cell>
          <cell r="M185" t="str">
            <v>库存股_上年年末余额</v>
          </cell>
          <cell r="S185" t="str">
            <v>2221x</v>
          </cell>
          <cell r="T185" t="str">
            <v>应交税费补充资料</v>
          </cell>
          <cell r="U185" t="str">
            <v>项       目</v>
          </cell>
          <cell r="V185">
            <v>1</v>
          </cell>
          <cell r="W185">
            <v>2221</v>
          </cell>
          <cell r="X185">
            <v>2</v>
          </cell>
        </row>
        <row r="186">
          <cell r="B186">
            <v>8075</v>
          </cell>
          <cell r="C186" t="str">
            <v>所有者权益_设定受益计划变动额结转留存收益</v>
          </cell>
          <cell r="D186">
            <v>-1</v>
          </cell>
          <cell r="E186" t="str">
            <v>OEI＝</v>
          </cell>
          <cell r="G186" t="str">
            <v>4. 设定受益计划变动额结转留存收益</v>
          </cell>
          <cell r="H186" t="str">
            <v>4．设定受益计划变动额结转留存收益</v>
          </cell>
          <cell r="I186">
            <v>8075</v>
          </cell>
          <cell r="M186" t="str">
            <v>库存股_会计政策变更调整上年年末余额</v>
          </cell>
          <cell r="S186" t="str">
            <v>2246a</v>
          </cell>
          <cell r="T186" t="str">
            <v>其他应付款分类列示</v>
          </cell>
          <cell r="U186" t="str">
            <v>项       目</v>
          </cell>
          <cell r="V186">
            <v>1</v>
          </cell>
          <cell r="W186">
            <v>2246</v>
          </cell>
          <cell r="X186">
            <v>1</v>
          </cell>
        </row>
        <row r="187">
          <cell r="B187">
            <v>8076</v>
          </cell>
          <cell r="C187" t="str">
            <v>所有者权益_所有者权益其他内部结转</v>
          </cell>
          <cell r="D187">
            <v>-1</v>
          </cell>
          <cell r="E187" t="str">
            <v>＝</v>
          </cell>
          <cell r="G187" t="str">
            <v>5.其他</v>
          </cell>
          <cell r="H187" t="str">
            <v>5．其他</v>
          </cell>
          <cell r="I187">
            <v>8076</v>
          </cell>
          <cell r="M187" t="str">
            <v>库存股_前期差错更正调整上年年末余额</v>
          </cell>
          <cell r="S187" t="str">
            <v>2231a</v>
          </cell>
          <cell r="T187" t="str">
            <v>应付利息明细项目</v>
          </cell>
          <cell r="U187" t="str">
            <v>项       目</v>
          </cell>
          <cell r="V187">
            <v>1</v>
          </cell>
          <cell r="W187">
            <v>2231</v>
          </cell>
          <cell r="X187">
            <v>1</v>
          </cell>
        </row>
        <row r="188">
          <cell r="B188">
            <v>8080</v>
          </cell>
          <cell r="C188" t="str">
            <v>所有者权益_专项储备影响权益</v>
          </cell>
          <cell r="E188" t="str">
            <v>＝</v>
          </cell>
          <cell r="G188" t="str">
            <v>（三）专项储备提取和使用</v>
          </cell>
          <cell r="H188" t="str">
            <v>（五）专项储备</v>
          </cell>
          <cell r="I188">
            <v>8080</v>
          </cell>
          <cell r="M188" t="str">
            <v>库存股_同一控制下企业合并调整上年年末余额</v>
          </cell>
          <cell r="S188" t="str">
            <v>2231b</v>
          </cell>
          <cell r="T188" t="str">
            <v xml:space="preserve">重要的逾期未付利息 </v>
          </cell>
          <cell r="U188" t="str">
            <v>借款单位</v>
          </cell>
          <cell r="V188">
            <v>1</v>
          </cell>
          <cell r="W188">
            <v>2231</v>
          </cell>
          <cell r="X188">
            <v>2</v>
          </cell>
        </row>
        <row r="189">
          <cell r="B189">
            <v>8081</v>
          </cell>
          <cell r="C189" t="str">
            <v>所有者权益_专项储备本期提取</v>
          </cell>
          <cell r="D189">
            <v>-1</v>
          </cell>
          <cell r="E189" t="str">
            <v>＝</v>
          </cell>
          <cell r="G189" t="str">
            <v>1.提取专项储备</v>
          </cell>
          <cell r="H189" t="str">
            <v>1．本期提取</v>
          </cell>
          <cell r="I189">
            <v>8081</v>
          </cell>
          <cell r="M189" t="str">
            <v>库存股_其他原因调整上年年末余额</v>
          </cell>
          <cell r="S189" t="str">
            <v>2232a</v>
          </cell>
          <cell r="T189" t="str">
            <v>应付股利明细项目</v>
          </cell>
          <cell r="U189" t="str">
            <v>项目（或股东名称）</v>
          </cell>
          <cell r="V189">
            <v>1</v>
          </cell>
          <cell r="W189">
            <v>2232</v>
          </cell>
          <cell r="X189">
            <v>1</v>
          </cell>
        </row>
        <row r="190">
          <cell r="B190">
            <v>8082</v>
          </cell>
          <cell r="C190" t="str">
            <v>所有者权益_专项储备本期使用</v>
          </cell>
          <cell r="D190">
            <v>-1</v>
          </cell>
          <cell r="E190" t="str">
            <v>＝</v>
          </cell>
          <cell r="G190" t="str">
            <v>2.使用专项储备</v>
          </cell>
          <cell r="H190" t="str">
            <v>2．本期使用（以负号填列）</v>
          </cell>
          <cell r="I190">
            <v>8082</v>
          </cell>
          <cell r="M190" t="str">
            <v>库存股_净利润增加权益</v>
          </cell>
          <cell r="S190" t="str">
            <v>2232b</v>
          </cell>
          <cell r="T190" t="str">
            <v>重要的超过1年未支付的应付股利</v>
          </cell>
          <cell r="U190" t="str">
            <v>股东名称</v>
          </cell>
          <cell r="V190">
            <v>1</v>
          </cell>
          <cell r="W190">
            <v>2232</v>
          </cell>
          <cell r="X190">
            <v>2</v>
          </cell>
        </row>
        <row r="191">
          <cell r="B191">
            <v>8096</v>
          </cell>
          <cell r="C191" t="str">
            <v>所有者权益_本期其他增减变动</v>
          </cell>
          <cell r="D191">
            <v>-1</v>
          </cell>
          <cell r="E191" t="str">
            <v>＝</v>
          </cell>
          <cell r="G191" t="str">
            <v>（六）其他</v>
          </cell>
          <cell r="H191" t="str">
            <v>（六）其他</v>
          </cell>
          <cell r="I191">
            <v>8096</v>
          </cell>
          <cell r="M191" t="str">
            <v>库存股_其他综合收益增加权益</v>
          </cell>
          <cell r="S191" t="str">
            <v>2241e</v>
          </cell>
          <cell r="T191" t="str">
            <v>其他应付款按款项性质列示</v>
          </cell>
          <cell r="U191" t="str">
            <v>项       目</v>
          </cell>
          <cell r="V191">
            <v>1</v>
          </cell>
          <cell r="W191">
            <v>2241</v>
          </cell>
          <cell r="X191">
            <v>1</v>
          </cell>
        </row>
        <row r="192">
          <cell r="B192">
            <v>8099</v>
          </cell>
          <cell r="C192" t="str">
            <v>所有者权益_本期期末余额</v>
          </cell>
          <cell r="E192" t="str">
            <v>＝</v>
          </cell>
          <cell r="G192" t="str">
            <v>四、本年年末余额</v>
          </cell>
          <cell r="H192" t="str">
            <v>四、本年年末余额</v>
          </cell>
          <cell r="I192">
            <v>8099</v>
          </cell>
          <cell r="M192" t="str">
            <v>库存股_综合收益总额增加权益</v>
          </cell>
          <cell r="S192" t="str">
            <v>2241f</v>
          </cell>
          <cell r="T192" t="str">
            <v>其他应付款按账龄列示</v>
          </cell>
          <cell r="U192" t="str">
            <v>项       目</v>
          </cell>
          <cell r="V192">
            <v>1</v>
          </cell>
          <cell r="W192">
            <v>2241</v>
          </cell>
          <cell r="X192">
            <v>2</v>
          </cell>
        </row>
        <row r="193">
          <cell r="B193">
            <v>8100</v>
          </cell>
          <cell r="C193" t="str">
            <v>实收资本增减变动</v>
          </cell>
          <cell r="E193" t="str">
            <v>：</v>
          </cell>
          <cell r="G193" t="str">
            <v>实收资本(或股本)增减变动</v>
          </cell>
          <cell r="I193">
            <v>8100</v>
          </cell>
          <cell r="M193" t="str">
            <v>库存股_所有者投入资本</v>
          </cell>
          <cell r="S193" t="str">
            <v>2241c</v>
          </cell>
          <cell r="T193" t="str">
            <v>账龄超过1年的重要其他应付款</v>
          </cell>
          <cell r="U193" t="str">
            <v>项       目</v>
          </cell>
          <cell r="V193">
            <v>1</v>
          </cell>
          <cell r="W193">
            <v>2241</v>
          </cell>
          <cell r="X193">
            <v>2</v>
          </cell>
        </row>
        <row r="194">
          <cell r="B194">
            <v>8101</v>
          </cell>
          <cell r="C194" t="str">
            <v>实收资本_上年年末余额</v>
          </cell>
          <cell r="D194">
            <v>-1</v>
          </cell>
          <cell r="F194">
            <v>5110</v>
          </cell>
          <cell r="G194" t="str">
            <v>一、上年年末余额</v>
          </cell>
          <cell r="I194">
            <v>8101</v>
          </cell>
          <cell r="J194" t="str">
            <v>J</v>
          </cell>
          <cell r="M194" t="str">
            <v>库存股_股份支付</v>
          </cell>
          <cell r="S194" t="str">
            <v>2241g</v>
          </cell>
          <cell r="T194" t="str">
            <v>外币其他应付款</v>
          </cell>
          <cell r="U194" t="str">
            <v>币       种</v>
          </cell>
          <cell r="V194">
            <v>1</v>
          </cell>
          <cell r="W194">
            <v>2241</v>
          </cell>
          <cell r="X194">
            <v>2</v>
          </cell>
        </row>
        <row r="195">
          <cell r="B195">
            <v>8102</v>
          </cell>
          <cell r="C195" t="str">
            <v>实收资本_会计政策变更调整上年年末余额</v>
          </cell>
          <cell r="D195">
            <v>-1</v>
          </cell>
          <cell r="E195" t="str">
            <v>LOW</v>
          </cell>
          <cell r="F195">
            <v>5110</v>
          </cell>
          <cell r="G195" t="str">
            <v>加：会计政策变更</v>
          </cell>
          <cell r="I195">
            <v>8102</v>
          </cell>
          <cell r="J195" t="str">
            <v>J</v>
          </cell>
          <cell r="M195" t="str">
            <v>库存股_其他权益工具持有者投入资本</v>
          </cell>
          <cell r="S195" t="str">
            <v>2241a</v>
          </cell>
          <cell r="T195" t="str">
            <v>关联方应收应付款项——其他应付款</v>
          </cell>
          <cell r="U195" t="str">
            <v>项       目</v>
          </cell>
          <cell r="V195">
            <v>1</v>
          </cell>
          <cell r="W195">
            <v>2241</v>
          </cell>
          <cell r="X195">
            <v>2</v>
          </cell>
        </row>
        <row r="196">
          <cell r="B196">
            <v>8103</v>
          </cell>
          <cell r="C196" t="str">
            <v>实收资本_前期差错更正调整上年年末余额</v>
          </cell>
          <cell r="D196">
            <v>-1</v>
          </cell>
          <cell r="F196">
            <v>5110</v>
          </cell>
          <cell r="G196" t="str">
            <v>前期差错更正</v>
          </cell>
          <cell r="I196">
            <v>8103</v>
          </cell>
          <cell r="J196" t="str">
            <v>J</v>
          </cell>
          <cell r="M196" t="str">
            <v>库存股_所有者其他投入和减少资本</v>
          </cell>
          <cell r="S196" t="str">
            <v>2241b</v>
          </cell>
          <cell r="T196" t="str">
            <v>单项金额较大的其他应付款</v>
          </cell>
          <cell r="U196" t="str">
            <v>项       目</v>
          </cell>
          <cell r="V196">
            <v>1</v>
          </cell>
          <cell r="W196">
            <v>2241</v>
          </cell>
          <cell r="X196">
            <v>2</v>
          </cell>
        </row>
        <row r="197">
          <cell r="B197">
            <v>8104</v>
          </cell>
          <cell r="C197" t="str">
            <v>实收资本_同一控制下企业合并调整上年年末余额</v>
          </cell>
          <cell r="D197">
            <v>-1</v>
          </cell>
          <cell r="E197" t="str">
            <v>※</v>
          </cell>
          <cell r="F197">
            <v>5110</v>
          </cell>
          <cell r="G197" t="str">
            <v>同一控制下企业合并</v>
          </cell>
          <cell r="I197">
            <v>8104</v>
          </cell>
          <cell r="J197" t="str">
            <v>J</v>
          </cell>
          <cell r="M197" t="str">
            <v>库存股_提取盈余公积影响权益</v>
          </cell>
          <cell r="S197" t="str">
            <v>2241x</v>
          </cell>
          <cell r="T197" t="str">
            <v>其他应付款补充资料</v>
          </cell>
          <cell r="U197" t="str">
            <v>项       目</v>
          </cell>
          <cell r="V197">
            <v>1</v>
          </cell>
          <cell r="W197">
            <v>2241</v>
          </cell>
          <cell r="X197">
            <v>2</v>
          </cell>
        </row>
        <row r="198">
          <cell r="B198">
            <v>8109</v>
          </cell>
          <cell r="C198" t="str">
            <v>实收资本_其他原因调整上年年末余额</v>
          </cell>
          <cell r="D198">
            <v>-1</v>
          </cell>
          <cell r="E198" t="str">
            <v>LOW</v>
          </cell>
          <cell r="F198">
            <v>5110</v>
          </cell>
          <cell r="G198" t="str">
            <v>其他</v>
          </cell>
          <cell r="I198">
            <v>8109</v>
          </cell>
          <cell r="J198" t="str">
            <v>J</v>
          </cell>
          <cell r="M198" t="str">
            <v>库存股_提取一般风险准备影响权益</v>
          </cell>
          <cell r="S198" t="str">
            <v>2395a</v>
          </cell>
          <cell r="T198" t="str">
            <v>一年内到期的非流动负债</v>
          </cell>
          <cell r="U198" t="str">
            <v>项       目</v>
          </cell>
          <cell r="V198">
            <v>1</v>
          </cell>
          <cell r="W198">
            <v>2395</v>
          </cell>
          <cell r="X198">
            <v>1</v>
          </cell>
        </row>
        <row r="199">
          <cell r="B199">
            <v>8110</v>
          </cell>
          <cell r="C199" t="str">
            <v>实收资本_本年年初余额</v>
          </cell>
          <cell r="E199" t="str">
            <v>＝</v>
          </cell>
          <cell r="G199" t="str">
            <v>二、本年年初余额</v>
          </cell>
          <cell r="I199">
            <v>8110</v>
          </cell>
          <cell r="M199" t="str">
            <v>库存股_对所有者的分配</v>
          </cell>
          <cell r="S199" t="str">
            <v>2395b</v>
          </cell>
          <cell r="T199" t="str">
            <v>1年内到期的长期借款</v>
          </cell>
          <cell r="U199" t="str">
            <v>项       目</v>
          </cell>
          <cell r="V199">
            <v>1</v>
          </cell>
          <cell r="W199">
            <v>2395</v>
          </cell>
          <cell r="X199">
            <v>2</v>
          </cell>
        </row>
        <row r="200">
          <cell r="B200">
            <v>8190</v>
          </cell>
          <cell r="C200" t="str">
            <v>实收资本_本期增减变动金额</v>
          </cell>
          <cell r="E200" t="str">
            <v>＝</v>
          </cell>
          <cell r="G200" t="str">
            <v>三、本期增减变动金额（减少以“-”号填列）</v>
          </cell>
          <cell r="I200">
            <v>8190</v>
          </cell>
          <cell r="M200" t="str">
            <v>库存股_其他利润分配</v>
          </cell>
          <cell r="S200" t="str">
            <v>2395e</v>
          </cell>
          <cell r="T200" t="str">
            <v>1年内到期的应付债券</v>
          </cell>
          <cell r="U200" t="str">
            <v>债券名称</v>
          </cell>
          <cell r="V200">
            <v>1</v>
          </cell>
          <cell r="W200">
            <v>2395</v>
          </cell>
          <cell r="X200">
            <v>2</v>
          </cell>
        </row>
        <row r="201">
          <cell r="B201">
            <v>8150</v>
          </cell>
          <cell r="C201" t="str">
            <v>实收资本_所有者投入和减少资本影响权益</v>
          </cell>
          <cell r="E201" t="str">
            <v>＝</v>
          </cell>
          <cell r="G201" t="str">
            <v>（二）所有者投入和减少资本</v>
          </cell>
          <cell r="I201">
            <v>8150</v>
          </cell>
          <cell r="M201" t="str">
            <v>库存股_资本公积转增资本影响权益</v>
          </cell>
          <cell r="S201" t="str">
            <v>2395f</v>
          </cell>
          <cell r="T201" t="str">
            <v>一年内到期的长期应付款</v>
          </cell>
          <cell r="U201" t="str">
            <v>项       目</v>
          </cell>
          <cell r="V201">
            <v>1</v>
          </cell>
          <cell r="W201">
            <v>2395</v>
          </cell>
          <cell r="X201">
            <v>2</v>
          </cell>
        </row>
        <row r="202">
          <cell r="B202">
            <v>8151</v>
          </cell>
          <cell r="C202" t="str">
            <v>实收资本_所有者投入资本</v>
          </cell>
          <cell r="D202">
            <v>-1</v>
          </cell>
          <cell r="F202">
            <v>5110</v>
          </cell>
          <cell r="G202" t="str">
            <v>所有者投入资本</v>
          </cell>
          <cell r="I202">
            <v>8151</v>
          </cell>
          <cell r="J202" t="str">
            <v>J</v>
          </cell>
          <cell r="M202" t="str">
            <v>库存股_盈余公积转增资本影响权益</v>
          </cell>
          <cell r="S202" t="str">
            <v>2396a</v>
          </cell>
          <cell r="T202" t="str">
            <v>其他流动负债明细项目</v>
          </cell>
          <cell r="U202" t="str">
            <v>项       目</v>
          </cell>
          <cell r="V202">
            <v>1</v>
          </cell>
          <cell r="W202">
            <v>2396</v>
          </cell>
          <cell r="X202">
            <v>1</v>
          </cell>
        </row>
        <row r="203">
          <cell r="B203">
            <v>8153</v>
          </cell>
          <cell r="C203" t="str">
            <v>实收资本_其他权益工具持有者投入资本</v>
          </cell>
          <cell r="D203">
            <v>-1</v>
          </cell>
          <cell r="E203" t="str">
            <v>OEI</v>
          </cell>
          <cell r="F203">
            <v>5110</v>
          </cell>
          <cell r="G203" t="str">
            <v>其他权益工具持有者投入资本</v>
          </cell>
          <cell r="I203">
            <v>8153</v>
          </cell>
          <cell r="J203" t="str">
            <v>J</v>
          </cell>
          <cell r="M203" t="str">
            <v>库存股_盈余公积弥补亏损影响权益</v>
          </cell>
          <cell r="S203" t="str">
            <v>2396c</v>
          </cell>
          <cell r="T203" t="str">
            <v>短期应付债券</v>
          </cell>
          <cell r="U203" t="str">
            <v>债券名称</v>
          </cell>
          <cell r="V203">
            <v>1</v>
          </cell>
          <cell r="W203">
            <v>2396</v>
          </cell>
          <cell r="X203">
            <v>2</v>
          </cell>
        </row>
        <row r="204">
          <cell r="B204">
            <v>8156</v>
          </cell>
          <cell r="C204" t="str">
            <v>实收资本_所有者其他投入和减少资本</v>
          </cell>
          <cell r="D204">
            <v>-1</v>
          </cell>
          <cell r="E204" t="str">
            <v>LOW</v>
          </cell>
          <cell r="F204">
            <v>5110</v>
          </cell>
          <cell r="G204" t="str">
            <v>其他</v>
          </cell>
          <cell r="I204">
            <v>8156</v>
          </cell>
          <cell r="J204" t="str">
            <v>J</v>
          </cell>
          <cell r="M204" t="str">
            <v>库存股_设定受益计划变动额结转留存收益</v>
          </cell>
          <cell r="S204" t="str">
            <v>2396b</v>
          </cell>
          <cell r="T204" t="str">
            <v>递延收益——政府补助情况</v>
          </cell>
          <cell r="U204" t="str">
            <v>补助项目</v>
          </cell>
          <cell r="V204">
            <v>1</v>
          </cell>
          <cell r="W204">
            <v>2396</v>
          </cell>
          <cell r="X204">
            <v>2</v>
          </cell>
        </row>
        <row r="205">
          <cell r="B205">
            <v>8170</v>
          </cell>
          <cell r="C205" t="str">
            <v>实收资本_所有者权益内部结转</v>
          </cell>
          <cell r="E205" t="str">
            <v>＝</v>
          </cell>
          <cell r="G205" t="str">
            <v>（四）所有者权益内部结转</v>
          </cell>
          <cell r="I205">
            <v>8170</v>
          </cell>
          <cell r="M205" t="str">
            <v>库存股_所有者权益其他内部结转</v>
          </cell>
          <cell r="S205" t="str">
            <v>2396d</v>
          </cell>
          <cell r="T205" t="str">
            <v>递延收益——政府补助情况</v>
          </cell>
          <cell r="U205" t="str">
            <v>补助项目</v>
          </cell>
          <cell r="V205">
            <v>1</v>
          </cell>
          <cell r="W205">
            <v>2396</v>
          </cell>
          <cell r="X205">
            <v>2</v>
          </cell>
        </row>
        <row r="206">
          <cell r="B206">
            <v>8171</v>
          </cell>
          <cell r="C206" t="str">
            <v>实收资本_资本公积转增</v>
          </cell>
          <cell r="D206">
            <v>-1</v>
          </cell>
          <cell r="F206">
            <v>5110</v>
          </cell>
          <cell r="G206" t="str">
            <v>资本公积转增资本（或股本）</v>
          </cell>
          <cell r="I206">
            <v>8171</v>
          </cell>
          <cell r="J206" t="str">
            <v>J</v>
          </cell>
          <cell r="M206" t="str">
            <v>库存股_专项储备本期提取</v>
          </cell>
          <cell r="S206" t="str">
            <v>2501a</v>
          </cell>
          <cell r="T206" t="str">
            <v>长期借款明细项目</v>
          </cell>
          <cell r="U206" t="str">
            <v>借款类别</v>
          </cell>
          <cell r="V206">
            <v>1</v>
          </cell>
          <cell r="W206">
            <v>2501</v>
          </cell>
          <cell r="X206">
            <v>1</v>
          </cell>
        </row>
        <row r="207">
          <cell r="B207">
            <v>8172</v>
          </cell>
          <cell r="C207" t="str">
            <v>实收资本_盈余公积转增</v>
          </cell>
          <cell r="D207">
            <v>-1</v>
          </cell>
          <cell r="F207">
            <v>5110</v>
          </cell>
          <cell r="G207" t="str">
            <v>盈余公积转增资本（或股本）</v>
          </cell>
          <cell r="I207">
            <v>8172</v>
          </cell>
          <cell r="J207" t="str">
            <v>J</v>
          </cell>
          <cell r="M207" t="str">
            <v>库存股_专项储备本期使用</v>
          </cell>
          <cell r="S207" t="str">
            <v>2501d</v>
          </cell>
          <cell r="T207" t="str">
            <v>长期借款中的质押借款明细列示</v>
          </cell>
          <cell r="U207" t="str">
            <v>项       目</v>
          </cell>
          <cell r="V207">
            <v>1</v>
          </cell>
          <cell r="W207">
            <v>2501</v>
          </cell>
          <cell r="X207">
            <v>2</v>
          </cell>
        </row>
        <row r="208">
          <cell r="B208">
            <v>8175</v>
          </cell>
          <cell r="C208" t="str">
            <v>实收资本_设定受益计划变动额结转留存收益</v>
          </cell>
          <cell r="D208">
            <v>-1</v>
          </cell>
          <cell r="E208" t="str">
            <v>OEI</v>
          </cell>
          <cell r="F208">
            <v>5110</v>
          </cell>
          <cell r="G208" t="str">
            <v>设定受益计划变动额结转留存收益</v>
          </cell>
          <cell r="I208">
            <v>8175</v>
          </cell>
          <cell r="J208" t="str">
            <v>J</v>
          </cell>
          <cell r="M208" t="str">
            <v>库存股_本期其他增减变动</v>
          </cell>
          <cell r="S208" t="str">
            <v>2501e</v>
          </cell>
          <cell r="T208" t="str">
            <v>长期借款中的抵押借款明细列示</v>
          </cell>
          <cell r="U208" t="str">
            <v>项       目</v>
          </cell>
          <cell r="V208">
            <v>1</v>
          </cell>
          <cell r="W208">
            <v>2501</v>
          </cell>
          <cell r="X208">
            <v>2</v>
          </cell>
        </row>
        <row r="209">
          <cell r="B209">
            <v>8176</v>
          </cell>
          <cell r="C209" t="str">
            <v>实收资本_所有者权益其他内部结转</v>
          </cell>
          <cell r="D209">
            <v>-1</v>
          </cell>
          <cell r="E209" t="str">
            <v>LOW</v>
          </cell>
          <cell r="F209">
            <v>5110</v>
          </cell>
          <cell r="G209" t="str">
            <v>其他</v>
          </cell>
          <cell r="I209">
            <v>8176</v>
          </cell>
          <cell r="J209" t="str">
            <v>J</v>
          </cell>
          <cell r="M209" t="str">
            <v>专项储备_上年年末余额</v>
          </cell>
          <cell r="S209" t="str">
            <v>2501f</v>
          </cell>
          <cell r="T209" t="str">
            <v>长期借款中的保证借款明细列示</v>
          </cell>
          <cell r="U209" t="str">
            <v>项       目</v>
          </cell>
          <cell r="V209">
            <v>1</v>
          </cell>
          <cell r="W209">
            <v>2501</v>
          </cell>
          <cell r="X209">
            <v>2</v>
          </cell>
        </row>
        <row r="210">
          <cell r="B210">
            <v>8196</v>
          </cell>
          <cell r="C210" t="str">
            <v>实收资本_本期其他增减变动</v>
          </cell>
          <cell r="D210">
            <v>-1</v>
          </cell>
          <cell r="E210" t="str">
            <v>LOW</v>
          </cell>
          <cell r="F210">
            <v>5110</v>
          </cell>
          <cell r="G210" t="str">
            <v>（七）其他</v>
          </cell>
          <cell r="I210">
            <v>8196</v>
          </cell>
          <cell r="J210" t="str">
            <v>J</v>
          </cell>
          <cell r="M210" t="str">
            <v>专项储备_会计政策变更调整上年年末余额</v>
          </cell>
          <cell r="S210" t="str">
            <v>2501c</v>
          </cell>
          <cell r="T210" t="str">
            <v>外币长期借款</v>
          </cell>
          <cell r="U210" t="str">
            <v>币       种</v>
          </cell>
          <cell r="V210">
            <v>1</v>
          </cell>
          <cell r="W210">
            <v>2501</v>
          </cell>
          <cell r="X210">
            <v>2</v>
          </cell>
        </row>
        <row r="211">
          <cell r="B211">
            <v>8199</v>
          </cell>
          <cell r="C211" t="str">
            <v>实收资本_本期期末余额</v>
          </cell>
          <cell r="E211" t="str">
            <v>＝</v>
          </cell>
          <cell r="G211" t="str">
            <v>四、本期期末余额</v>
          </cell>
          <cell r="I211">
            <v>8199</v>
          </cell>
          <cell r="M211" t="str">
            <v>专项储备_前期差错更正调整上年年末余额</v>
          </cell>
          <cell r="S211" t="str">
            <v>2502b</v>
          </cell>
          <cell r="T211" t="str">
            <v>应付债券明细项目</v>
          </cell>
          <cell r="U211" t="str">
            <v>债券名称</v>
          </cell>
          <cell r="V211">
            <v>1</v>
          </cell>
          <cell r="W211">
            <v>2502</v>
          </cell>
          <cell r="X211">
            <v>1</v>
          </cell>
        </row>
        <row r="212">
          <cell r="B212" t="str">
            <v>8a00</v>
          </cell>
          <cell r="C212" t="str">
            <v>其他权益工具增减变动</v>
          </cell>
          <cell r="E212" t="str">
            <v>：OEI</v>
          </cell>
          <cell r="G212" t="str">
            <v>其他权益工具增减变动</v>
          </cell>
          <cell r="I212" t="str">
            <v>8a00</v>
          </cell>
          <cell r="M212" t="str">
            <v>专项储备_同一控制下企业合并调整上年年末余额</v>
          </cell>
          <cell r="S212" t="str">
            <v>2502a</v>
          </cell>
          <cell r="T212" t="str">
            <v>应付债券的增减变动</v>
          </cell>
          <cell r="U212" t="str">
            <v>债券名称</v>
          </cell>
          <cell r="V212">
            <v>1</v>
          </cell>
          <cell r="W212">
            <v>2502</v>
          </cell>
          <cell r="X212">
            <v>2</v>
          </cell>
        </row>
        <row r="213">
          <cell r="B213" t="str">
            <v>8b00</v>
          </cell>
          <cell r="C213" t="str">
            <v>其他权益工具（优先股）增减变动</v>
          </cell>
          <cell r="E213" t="str">
            <v>：OEI</v>
          </cell>
          <cell r="G213" t="str">
            <v>其他权益工具（优先股）增减变动</v>
          </cell>
          <cell r="I213" t="str">
            <v>8b00</v>
          </cell>
          <cell r="M213" t="str">
            <v>专项储备_其他原因调整上年年末余额</v>
          </cell>
          <cell r="S213" t="str">
            <v>2502d</v>
          </cell>
          <cell r="T213" t="str">
            <v>期末发行在外的优先股、永续债等其他金融工具的基本情况</v>
          </cell>
          <cell r="U213" t="str">
            <v>发行在外的金融工具</v>
          </cell>
          <cell r="V213">
            <v>1</v>
          </cell>
          <cell r="W213">
            <v>2502</v>
          </cell>
          <cell r="X213">
            <v>2</v>
          </cell>
        </row>
        <row r="214">
          <cell r="B214" t="str">
            <v>8b01</v>
          </cell>
          <cell r="C214" t="str">
            <v>其他权益工具（优先股）_上年年末余额</v>
          </cell>
          <cell r="D214">
            <v>-1</v>
          </cell>
          <cell r="E214" t="str">
            <v>OEI</v>
          </cell>
          <cell r="G214" t="str">
            <v>一、上年年末余额</v>
          </cell>
          <cell r="I214" t="str">
            <v>8b01</v>
          </cell>
          <cell r="J214" t="str">
            <v>J</v>
          </cell>
          <cell r="M214" t="str">
            <v>专项储备_净利润增加权益</v>
          </cell>
          <cell r="S214" t="str">
            <v>2502c</v>
          </cell>
          <cell r="T214" t="str">
            <v>期末发行在外的优先股、永续债等其他金融工具变动情况表</v>
          </cell>
          <cell r="U214" t="str">
            <v>发行在外的金融工具</v>
          </cell>
          <cell r="V214">
            <v>1</v>
          </cell>
          <cell r="W214">
            <v>2502</v>
          </cell>
          <cell r="X214">
            <v>2</v>
          </cell>
        </row>
        <row r="215">
          <cell r="B215" t="str">
            <v>8b02</v>
          </cell>
          <cell r="C215" t="str">
            <v>其他权益工具（优先股）_会计政策变更调整上年年末余额</v>
          </cell>
          <cell r="D215">
            <v>-1</v>
          </cell>
          <cell r="E215" t="str">
            <v>OEI</v>
          </cell>
          <cell r="G215" t="str">
            <v>加：会计政策变更</v>
          </cell>
          <cell r="I215" t="str">
            <v>8b02</v>
          </cell>
          <cell r="J215" t="str">
            <v>J</v>
          </cell>
          <cell r="M215" t="str">
            <v>专项储备_其他综合收益增加权益</v>
          </cell>
          <cell r="S215" t="str">
            <v>2706a</v>
          </cell>
          <cell r="T215" t="str">
            <v>长期应付款分类列示</v>
          </cell>
          <cell r="U215" t="str">
            <v>项       目</v>
          </cell>
          <cell r="V215">
            <v>1</v>
          </cell>
          <cell r="W215">
            <v>2706</v>
          </cell>
          <cell r="X215">
            <v>1</v>
          </cell>
        </row>
        <row r="216">
          <cell r="B216" t="str">
            <v>8b03</v>
          </cell>
          <cell r="C216" t="str">
            <v>其他权益工具（优先股）_前期差错更正调整上年年末余额</v>
          </cell>
          <cell r="D216">
            <v>-1</v>
          </cell>
          <cell r="E216" t="str">
            <v>OEI</v>
          </cell>
          <cell r="G216" t="str">
            <v>前期差错更正</v>
          </cell>
          <cell r="I216" t="str">
            <v>8b03</v>
          </cell>
          <cell r="J216" t="str">
            <v>J</v>
          </cell>
          <cell r="M216" t="str">
            <v>专项储备_综合收益总额增加权益</v>
          </cell>
          <cell r="S216" t="str">
            <v>2701c</v>
          </cell>
          <cell r="T216" t="str">
            <v>长期应付款明细项目</v>
          </cell>
          <cell r="U216" t="str">
            <v>项       目</v>
          </cell>
          <cell r="V216">
            <v>1</v>
          </cell>
          <cell r="W216">
            <v>2701</v>
          </cell>
          <cell r="X216">
            <v>1</v>
          </cell>
        </row>
        <row r="217">
          <cell r="B217" t="str">
            <v>8b04</v>
          </cell>
          <cell r="C217" t="str">
            <v>其他权益工具（优先股）_同一控制下企业合并调整上年年末余额</v>
          </cell>
          <cell r="D217">
            <v>-1</v>
          </cell>
          <cell r="E217" t="str">
            <v>※OEI</v>
          </cell>
          <cell r="G217" t="str">
            <v>同一控制下企业合并</v>
          </cell>
          <cell r="I217" t="str">
            <v>8b04</v>
          </cell>
          <cell r="J217" t="str">
            <v>J</v>
          </cell>
          <cell r="M217" t="str">
            <v>专项储备_所有者投入资本增加权益</v>
          </cell>
          <cell r="S217" t="str">
            <v>2701d</v>
          </cell>
          <cell r="T217" t="str">
            <v>外币长期应付款</v>
          </cell>
          <cell r="U217" t="str">
            <v>币       种</v>
          </cell>
          <cell r="V217">
            <v>1</v>
          </cell>
          <cell r="W217">
            <v>2701</v>
          </cell>
          <cell r="X217">
            <v>2</v>
          </cell>
        </row>
        <row r="218">
          <cell r="B218" t="str">
            <v>8b09</v>
          </cell>
          <cell r="C218" t="str">
            <v>其他权益工具（优先股）_其他原因调整上年年末余额</v>
          </cell>
          <cell r="D218">
            <v>-1</v>
          </cell>
          <cell r="E218" t="str">
            <v>OEI</v>
          </cell>
          <cell r="G218" t="str">
            <v>其他</v>
          </cell>
          <cell r="I218" t="str">
            <v>8b09</v>
          </cell>
          <cell r="J218" t="str">
            <v>J</v>
          </cell>
          <cell r="M218" t="str">
            <v>专项储备_股份支付计入所有者权益的金额</v>
          </cell>
          <cell r="S218" t="str">
            <v>2715a</v>
          </cell>
          <cell r="T218" t="str">
            <v>长期应付职工薪酬</v>
          </cell>
          <cell r="U218" t="str">
            <v>项       目</v>
          </cell>
          <cell r="V218">
            <v>1</v>
          </cell>
          <cell r="W218">
            <v>2715</v>
          </cell>
          <cell r="X218">
            <v>1</v>
          </cell>
        </row>
        <row r="219">
          <cell r="B219" t="str">
            <v>8b10</v>
          </cell>
          <cell r="C219" t="str">
            <v>其他权益工具（优先股）_本年年初余额</v>
          </cell>
          <cell r="E219" t="str">
            <v>OEI＝</v>
          </cell>
          <cell r="G219" t="str">
            <v>二、本年年初余额</v>
          </cell>
          <cell r="I219" t="str">
            <v>8b10</v>
          </cell>
          <cell r="M219" t="str">
            <v>专项储备_其他权益工具持有者投入资本</v>
          </cell>
          <cell r="S219" t="str">
            <v>2715b</v>
          </cell>
          <cell r="T219" t="str">
            <v>设定受益计划义务现值变动情况</v>
          </cell>
          <cell r="U219" t="str">
            <v>项       目</v>
          </cell>
          <cell r="V219">
            <v>1</v>
          </cell>
          <cell r="W219">
            <v>2715</v>
          </cell>
          <cell r="X219">
            <v>2</v>
          </cell>
        </row>
        <row r="220">
          <cell r="B220" t="str">
            <v>8b90</v>
          </cell>
          <cell r="C220" t="str">
            <v>其他权益工具（优先股）_本期增减变动金额</v>
          </cell>
          <cell r="E220" t="str">
            <v>OEI＝</v>
          </cell>
          <cell r="G220" t="str">
            <v>三、本期增减变动金额（减少以“-”号填列）</v>
          </cell>
          <cell r="I220" t="str">
            <v>8b90</v>
          </cell>
          <cell r="M220" t="str">
            <v>专项储备_所有者其他投入和减少资本</v>
          </cell>
          <cell r="S220" t="str">
            <v>2715c</v>
          </cell>
          <cell r="T220" t="str">
            <v>设定受益计划资产变动情况</v>
          </cell>
          <cell r="U220" t="str">
            <v>项       目</v>
          </cell>
          <cell r="V220">
            <v>1</v>
          </cell>
          <cell r="W220">
            <v>2715</v>
          </cell>
          <cell r="X220">
            <v>2</v>
          </cell>
        </row>
        <row r="221">
          <cell r="B221" t="str">
            <v>8b40</v>
          </cell>
          <cell r="C221" t="str">
            <v>其他权益工具（优先股）_综合收益总额增加权益</v>
          </cell>
          <cell r="D221">
            <v>-1</v>
          </cell>
          <cell r="E221" t="str">
            <v>OEI</v>
          </cell>
          <cell r="G221" t="str">
            <v>（一）综合收益总额</v>
          </cell>
          <cell r="I221" t="str">
            <v>8b40</v>
          </cell>
          <cell r="J221" t="str">
            <v>J</v>
          </cell>
          <cell r="M221" t="str">
            <v>专项储备_提取盈余公积影响权益</v>
          </cell>
          <cell r="S221" t="str">
            <v>2715d</v>
          </cell>
          <cell r="T221" t="str">
            <v>设定受益计划净负债变动情况</v>
          </cell>
          <cell r="U221" t="str">
            <v>项       目</v>
          </cell>
          <cell r="V221">
            <v>1</v>
          </cell>
          <cell r="W221">
            <v>2715</v>
          </cell>
          <cell r="X221">
            <v>2</v>
          </cell>
        </row>
        <row r="222">
          <cell r="B222" t="str">
            <v>8b50</v>
          </cell>
          <cell r="C222" t="str">
            <v>其他权益工具（优先股）_所有者投入和减少资本影响权益</v>
          </cell>
          <cell r="E222" t="str">
            <v>OEI＝</v>
          </cell>
          <cell r="G222" t="str">
            <v>（二）所有者投入和减少资本</v>
          </cell>
          <cell r="I222" t="str">
            <v>8b50</v>
          </cell>
          <cell r="M222" t="str">
            <v>专项储备_提取一般风险准备影响权益</v>
          </cell>
          <cell r="S222" t="str">
            <v>2715e</v>
          </cell>
          <cell r="T222" t="str">
            <v>未折现的离职后福利预计到期分析</v>
          </cell>
          <cell r="U222" t="str">
            <v>项       目</v>
          </cell>
          <cell r="V222">
            <v>1</v>
          </cell>
          <cell r="W222">
            <v>2715</v>
          </cell>
          <cell r="X222">
            <v>2</v>
          </cell>
        </row>
        <row r="223">
          <cell r="B223" t="str">
            <v>8b51</v>
          </cell>
          <cell r="C223" t="str">
            <v>其他权益工具（优先股）_所有者投入资本</v>
          </cell>
          <cell r="D223">
            <v>-1</v>
          </cell>
          <cell r="E223" t="str">
            <v>OEI</v>
          </cell>
          <cell r="G223" t="str">
            <v>所有者投入资本</v>
          </cell>
          <cell r="I223" t="str">
            <v>8b51</v>
          </cell>
          <cell r="J223" t="str">
            <v>J</v>
          </cell>
          <cell r="M223" t="str">
            <v>专项储备_对所有者的分配影响权益</v>
          </cell>
          <cell r="S223" t="str">
            <v>2715f</v>
          </cell>
          <cell r="T223" t="str">
            <v>设定受益计划资产明细</v>
          </cell>
          <cell r="U223" t="str">
            <v>项       目</v>
          </cell>
          <cell r="V223">
            <v>1</v>
          </cell>
          <cell r="W223">
            <v>2715</v>
          </cell>
          <cell r="X223">
            <v>2</v>
          </cell>
        </row>
        <row r="224">
          <cell r="B224" t="str">
            <v>8b52</v>
          </cell>
          <cell r="C224" t="str">
            <v>其他权益工具（优先股）_股份支付</v>
          </cell>
          <cell r="D224">
            <v>-1</v>
          </cell>
          <cell r="E224" t="str">
            <v>OEI</v>
          </cell>
          <cell r="G224" t="str">
            <v>股份支付计入所有者权益的金额</v>
          </cell>
          <cell r="I224" t="str">
            <v>8b52</v>
          </cell>
          <cell r="J224" t="str">
            <v>J</v>
          </cell>
          <cell r="M224" t="str">
            <v>专项储备_其他利润分配影响权益</v>
          </cell>
          <cell r="S224" t="str">
            <v>2715g</v>
          </cell>
          <cell r="T224" t="str">
            <v>设定受益计划精算假设</v>
          </cell>
          <cell r="U224" t="str">
            <v>项       目</v>
          </cell>
          <cell r="V224">
            <v>1</v>
          </cell>
          <cell r="W224">
            <v>2715</v>
          </cell>
          <cell r="X224">
            <v>2</v>
          </cell>
        </row>
        <row r="225">
          <cell r="B225" t="str">
            <v>8b53</v>
          </cell>
          <cell r="C225" t="str">
            <v>其他权益工具（优先股）_其他权益工具持有者投入资本</v>
          </cell>
          <cell r="D225">
            <v>-1</v>
          </cell>
          <cell r="E225" t="str">
            <v>OEI</v>
          </cell>
          <cell r="G225" t="str">
            <v>其他权益工具持有者投入资本</v>
          </cell>
          <cell r="I225" t="str">
            <v>8b53</v>
          </cell>
          <cell r="J225" t="str">
            <v>J</v>
          </cell>
          <cell r="M225" t="str">
            <v>专项储备_资本公积转增资本影响权益</v>
          </cell>
          <cell r="S225" t="str">
            <v>2715h</v>
          </cell>
          <cell r="T225" t="str">
            <v>设定受益计划敏感性分析</v>
          </cell>
          <cell r="U225" t="str">
            <v>项       目</v>
          </cell>
          <cell r="V225">
            <v>1</v>
          </cell>
          <cell r="W225">
            <v>2715</v>
          </cell>
          <cell r="X225">
            <v>2</v>
          </cell>
        </row>
        <row r="226">
          <cell r="B226" t="str">
            <v>8b56</v>
          </cell>
          <cell r="C226" t="str">
            <v>其他权益工具（优先股）_所有者其他投入和减少资本</v>
          </cell>
          <cell r="D226">
            <v>-1</v>
          </cell>
          <cell r="E226" t="str">
            <v>OEI</v>
          </cell>
          <cell r="G226" t="str">
            <v>其他</v>
          </cell>
          <cell r="I226" t="str">
            <v>8b56</v>
          </cell>
          <cell r="J226" t="str">
            <v>J</v>
          </cell>
          <cell r="M226" t="str">
            <v>专项储备_盈余公积转增资本影响权益</v>
          </cell>
          <cell r="S226" t="str">
            <v>2711a</v>
          </cell>
          <cell r="T226" t="str">
            <v>专项应付款明细项目</v>
          </cell>
          <cell r="U226" t="str">
            <v>项       目</v>
          </cell>
          <cell r="V226">
            <v>1</v>
          </cell>
          <cell r="W226">
            <v>2711</v>
          </cell>
          <cell r="X226">
            <v>1</v>
          </cell>
        </row>
        <row r="227">
          <cell r="B227" t="str">
            <v>8b60</v>
          </cell>
          <cell r="C227" t="str">
            <v>其他权益工具（优先股）_利润分配影响权益</v>
          </cell>
          <cell r="E227" t="str">
            <v>OEI＝</v>
          </cell>
          <cell r="G227" t="str">
            <v>（三）利润分配</v>
          </cell>
          <cell r="I227" t="str">
            <v>8b60</v>
          </cell>
          <cell r="M227" t="str">
            <v>专项储备_盈余公积弥补亏损影响权益</v>
          </cell>
          <cell r="S227" t="str">
            <v>2711b</v>
          </cell>
          <cell r="T227" t="str">
            <v>外币专项应付款</v>
          </cell>
          <cell r="U227" t="str">
            <v>币       种</v>
          </cell>
          <cell r="V227">
            <v>1</v>
          </cell>
          <cell r="W227">
            <v>2711</v>
          </cell>
          <cell r="X227">
            <v>2</v>
          </cell>
        </row>
        <row r="228">
          <cell r="B228" t="str">
            <v>8b61</v>
          </cell>
          <cell r="C228" t="str">
            <v>其他权益工具（优先股）_提取盈余公积</v>
          </cell>
          <cell r="D228">
            <v>-1</v>
          </cell>
          <cell r="E228" t="str">
            <v>OEI</v>
          </cell>
          <cell r="G228" t="str">
            <v>提取盈余公积</v>
          </cell>
          <cell r="I228" t="str">
            <v>8b61</v>
          </cell>
          <cell r="J228" t="str">
            <v>J</v>
          </cell>
          <cell r="M228" t="str">
            <v>专项储备_设定受益计划变动额结转留存收益</v>
          </cell>
          <cell r="S228" t="str">
            <v>2801a</v>
          </cell>
          <cell r="T228" t="str">
            <v>预计负债明细项目</v>
          </cell>
          <cell r="U228" t="str">
            <v>种       类</v>
          </cell>
          <cell r="V228">
            <v>1</v>
          </cell>
          <cell r="W228">
            <v>2801</v>
          </cell>
          <cell r="X228">
            <v>1</v>
          </cell>
        </row>
        <row r="229">
          <cell r="B229" t="str">
            <v>8b62</v>
          </cell>
          <cell r="C229" t="str">
            <v>其他权益工具（优先股）_提取一般风险准备</v>
          </cell>
          <cell r="D229">
            <v>-1</v>
          </cell>
          <cell r="E229" t="str">
            <v>OEI</v>
          </cell>
          <cell r="G229" t="str">
            <v>提取一般风险准备</v>
          </cell>
          <cell r="I229" t="str">
            <v>8b62</v>
          </cell>
          <cell r="J229" t="str">
            <v>J</v>
          </cell>
          <cell r="M229" t="str">
            <v>专项储备_所有者权益其他内部结转</v>
          </cell>
          <cell r="S229" t="str">
            <v>2401a</v>
          </cell>
          <cell r="T229" t="str">
            <v>递延收益</v>
          </cell>
          <cell r="U229" t="str">
            <v>项       目</v>
          </cell>
          <cell r="V229">
            <v>1</v>
          </cell>
          <cell r="W229">
            <v>2401</v>
          </cell>
          <cell r="X229">
            <v>1</v>
          </cell>
        </row>
        <row r="230">
          <cell r="B230" t="str">
            <v>8b63</v>
          </cell>
          <cell r="C230" t="str">
            <v>其他权益工具（优先股）_对所有者的分配</v>
          </cell>
          <cell r="D230">
            <v>-1</v>
          </cell>
          <cell r="E230" t="str">
            <v>OEI</v>
          </cell>
          <cell r="G230" t="str">
            <v>对所有者（或股东）的分配</v>
          </cell>
          <cell r="I230" t="str">
            <v>8b63</v>
          </cell>
          <cell r="J230" t="str">
            <v>J</v>
          </cell>
          <cell r="M230" t="str">
            <v>专项储备_本期提取</v>
          </cell>
          <cell r="S230" t="str">
            <v>2401b</v>
          </cell>
          <cell r="T230" t="str">
            <v>递延收益——政府补助情况</v>
          </cell>
          <cell r="U230" t="str">
            <v>补助项目</v>
          </cell>
          <cell r="V230">
            <v>1</v>
          </cell>
          <cell r="W230">
            <v>2401</v>
          </cell>
          <cell r="X230">
            <v>2</v>
          </cell>
        </row>
        <row r="231">
          <cell r="B231" t="str">
            <v>8b66</v>
          </cell>
          <cell r="C231" t="str">
            <v>其他权益工具（优先股）_其他利润分配</v>
          </cell>
          <cell r="D231">
            <v>-1</v>
          </cell>
          <cell r="E231" t="str">
            <v>OEI</v>
          </cell>
          <cell r="G231" t="str">
            <v>其他</v>
          </cell>
          <cell r="I231" t="str">
            <v>8b66</v>
          </cell>
          <cell r="J231" t="str">
            <v>J</v>
          </cell>
          <cell r="M231" t="str">
            <v>专项储备_本期使用</v>
          </cell>
          <cell r="S231" t="str">
            <v>2996a</v>
          </cell>
          <cell r="T231" t="str">
            <v>其他非流动负债明细项目</v>
          </cell>
          <cell r="U231" t="str">
            <v>项       目</v>
          </cell>
          <cell r="V231">
            <v>1</v>
          </cell>
          <cell r="W231">
            <v>2996</v>
          </cell>
          <cell r="X231">
            <v>1</v>
          </cell>
        </row>
        <row r="232">
          <cell r="B232" t="str">
            <v>8b70</v>
          </cell>
          <cell r="C232" t="str">
            <v>其他权益工具（优先股）_所有者权益内部结转</v>
          </cell>
          <cell r="E232" t="str">
            <v>OEI＝</v>
          </cell>
          <cell r="G232" t="str">
            <v>（四）所有者权益内部结转</v>
          </cell>
          <cell r="I232" t="str">
            <v>8b70</v>
          </cell>
          <cell r="M232" t="str">
            <v>专项储备_本期其他增减变动</v>
          </cell>
          <cell r="S232" t="str">
            <v>2996x</v>
          </cell>
          <cell r="T232" t="str">
            <v>其他非流动负债</v>
          </cell>
          <cell r="U232" t="str">
            <v>项       目</v>
          </cell>
          <cell r="V232">
            <v>1</v>
          </cell>
          <cell r="W232">
            <v>2996</v>
          </cell>
          <cell r="X232">
            <v>2</v>
          </cell>
        </row>
        <row r="233">
          <cell r="B233" t="str">
            <v>8b71</v>
          </cell>
          <cell r="C233" t="str">
            <v>其他权益工具（优先股）_资本公积转增资本</v>
          </cell>
          <cell r="D233">
            <v>-1</v>
          </cell>
          <cell r="E233" t="str">
            <v>OEI</v>
          </cell>
          <cell r="G233" t="str">
            <v>资本公积转增资本（或股本）</v>
          </cell>
          <cell r="I233" t="str">
            <v>8b71</v>
          </cell>
          <cell r="J233" t="str">
            <v>J</v>
          </cell>
          <cell r="M233" t="str">
            <v>盈余公积_上年年末余额</v>
          </cell>
          <cell r="S233" t="str">
            <v>4001a</v>
          </cell>
          <cell r="T233" t="str">
            <v>股本变动情况</v>
          </cell>
          <cell r="U233" t="str">
            <v>股份类别</v>
          </cell>
          <cell r="V233">
            <v>0</v>
          </cell>
          <cell r="W233">
            <v>4001</v>
          </cell>
          <cell r="X233">
            <v>2</v>
          </cell>
        </row>
        <row r="234">
          <cell r="B234" t="str">
            <v>8b72</v>
          </cell>
          <cell r="C234" t="str">
            <v>其他权益工具（优先股）_盈余公积转增资本</v>
          </cell>
          <cell r="D234">
            <v>-1</v>
          </cell>
          <cell r="E234" t="str">
            <v>OEI</v>
          </cell>
          <cell r="G234" t="str">
            <v>盈余公积转增资本（或股本）</v>
          </cell>
          <cell r="I234" t="str">
            <v>8b72</v>
          </cell>
          <cell r="J234" t="str">
            <v>J</v>
          </cell>
          <cell r="M234" t="str">
            <v>盈余公积_会计政策变更调整上年年末余额</v>
          </cell>
          <cell r="S234" t="str">
            <v>4001b</v>
          </cell>
          <cell r="T234" t="str">
            <v>实收资本变动情况</v>
          </cell>
          <cell r="U234" t="str">
            <v>股东名称</v>
          </cell>
          <cell r="V234">
            <v>1</v>
          </cell>
          <cell r="W234">
            <v>4001</v>
          </cell>
          <cell r="X234">
            <v>1</v>
          </cell>
        </row>
        <row r="235">
          <cell r="B235" t="str">
            <v>8b73</v>
          </cell>
          <cell r="C235" t="str">
            <v>其他权益工具（优先股）_盈余公积弥补亏损</v>
          </cell>
          <cell r="D235">
            <v>-1</v>
          </cell>
          <cell r="E235" t="str">
            <v>OEI</v>
          </cell>
          <cell r="G235" t="str">
            <v>盈余公积弥补亏损</v>
          </cell>
          <cell r="I235" t="str">
            <v>8b73</v>
          </cell>
          <cell r="J235" t="str">
            <v>J</v>
          </cell>
          <cell r="M235" t="str">
            <v>盈余公积_前期差错更正调整上年年末余额</v>
          </cell>
          <cell r="S235" t="str">
            <v>4015b</v>
          </cell>
          <cell r="T235" t="str">
            <v>期末发行在外的优先股、永续债等其他金融工具的基本情况</v>
          </cell>
          <cell r="V235">
            <v>1</v>
          </cell>
          <cell r="W235">
            <v>4015</v>
          </cell>
          <cell r="X235">
            <v>2</v>
          </cell>
        </row>
        <row r="236">
          <cell r="B236" t="str">
            <v>8b75</v>
          </cell>
          <cell r="C236" t="str">
            <v>其他权益工具（优先股）_设定受益计划变动额结转留存收益</v>
          </cell>
          <cell r="D236">
            <v>-1</v>
          </cell>
          <cell r="E236" t="str">
            <v>OEI</v>
          </cell>
          <cell r="G236" t="str">
            <v>设定受益计划变动额结转留存收益</v>
          </cell>
          <cell r="I236" t="str">
            <v>8b75</v>
          </cell>
          <cell r="J236" t="str">
            <v>J</v>
          </cell>
          <cell r="M236" t="str">
            <v>盈余公积_同一控制下企业合并调整上年年末余额</v>
          </cell>
          <cell r="S236" t="str">
            <v>4015a</v>
          </cell>
          <cell r="T236" t="str">
            <v>期末发行在外的优先股、永续债等其他金融工具变动情况表</v>
          </cell>
          <cell r="U236" t="str">
            <v>发行在外的金融工具</v>
          </cell>
          <cell r="V236">
            <v>1</v>
          </cell>
          <cell r="W236">
            <v>4015</v>
          </cell>
          <cell r="X236">
            <v>1</v>
          </cell>
        </row>
        <row r="237">
          <cell r="B237" t="str">
            <v>8b76</v>
          </cell>
          <cell r="C237" t="str">
            <v>其他权益工具（优先股）_所有者权益其他内部结转</v>
          </cell>
          <cell r="D237">
            <v>-1</v>
          </cell>
          <cell r="E237" t="str">
            <v>OEI</v>
          </cell>
          <cell r="G237" t="str">
            <v>其他</v>
          </cell>
          <cell r="I237" t="str">
            <v>8b76</v>
          </cell>
          <cell r="J237" t="str">
            <v>J</v>
          </cell>
          <cell r="M237" t="str">
            <v>盈余公积_其他原因调整上年年末余额</v>
          </cell>
          <cell r="S237" t="str">
            <v>4015c</v>
          </cell>
          <cell r="T237" t="str">
            <v>权益工具持有者的相关信息</v>
          </cell>
          <cell r="U237" t="str">
            <v>项       目</v>
          </cell>
          <cell r="V237">
            <v>1</v>
          </cell>
          <cell r="W237">
            <v>4015</v>
          </cell>
          <cell r="X237">
            <v>2</v>
          </cell>
        </row>
        <row r="238">
          <cell r="B238" t="str">
            <v>8b80</v>
          </cell>
          <cell r="C238" t="str">
            <v>其他权益工具（优先股）_专项储备影响权益</v>
          </cell>
          <cell r="E238" t="str">
            <v>OEI＝</v>
          </cell>
          <cell r="G238" t="str">
            <v>（五）专项储备</v>
          </cell>
          <cell r="I238" t="str">
            <v>8b80</v>
          </cell>
          <cell r="M238" t="str">
            <v>盈余公积_净利润增加权益</v>
          </cell>
          <cell r="S238" t="str">
            <v>4002a</v>
          </cell>
          <cell r="T238" t="str">
            <v>资本公积变动情况</v>
          </cell>
          <cell r="U238" t="str">
            <v>种       类</v>
          </cell>
          <cell r="V238">
            <v>1</v>
          </cell>
          <cell r="W238">
            <v>4002</v>
          </cell>
          <cell r="X238">
            <v>1</v>
          </cell>
        </row>
        <row r="239">
          <cell r="B239" t="str">
            <v>8b81</v>
          </cell>
          <cell r="C239" t="str">
            <v>其他权益工具（优先股）_专项储备本期提取</v>
          </cell>
          <cell r="D239">
            <v>-1</v>
          </cell>
          <cell r="E239" t="str">
            <v>OEI</v>
          </cell>
          <cell r="G239" t="str">
            <v>本期提取</v>
          </cell>
          <cell r="I239" t="str">
            <v>8b81</v>
          </cell>
          <cell r="J239" t="str">
            <v>J</v>
          </cell>
          <cell r="M239" t="str">
            <v>盈余公积_其他综合收益增加权益</v>
          </cell>
          <cell r="S239" t="str">
            <v>4201a</v>
          </cell>
          <cell r="T239" t="str">
            <v>库存股变动情况</v>
          </cell>
          <cell r="U239" t="str">
            <v>项       目</v>
          </cell>
          <cell r="V239">
            <v>1</v>
          </cell>
          <cell r="W239">
            <v>4201</v>
          </cell>
          <cell r="X239">
            <v>1</v>
          </cell>
        </row>
        <row r="240">
          <cell r="B240" t="str">
            <v>8b82</v>
          </cell>
          <cell r="C240" t="str">
            <v>其他权益工具（优先股）_专项储备本期使用</v>
          </cell>
          <cell r="D240">
            <v>-1</v>
          </cell>
          <cell r="E240" t="str">
            <v>OEI</v>
          </cell>
          <cell r="G240" t="str">
            <v>本期使用</v>
          </cell>
          <cell r="I240" t="str">
            <v>8b82</v>
          </cell>
          <cell r="J240" t="str">
            <v>J</v>
          </cell>
          <cell r="M240" t="str">
            <v>盈余公积_综合收益总额增加权益</v>
          </cell>
          <cell r="S240" t="str">
            <v>4215a</v>
          </cell>
          <cell r="T240" t="str">
            <v>其他综合收益</v>
          </cell>
          <cell r="U240" t="str">
            <v>项       目</v>
          </cell>
          <cell r="V240">
            <v>1</v>
          </cell>
          <cell r="W240">
            <v>4215</v>
          </cell>
          <cell r="X240">
            <v>1</v>
          </cell>
        </row>
        <row r="241">
          <cell r="B241" t="str">
            <v>8b96</v>
          </cell>
          <cell r="C241" t="str">
            <v>其他权益工具（优先股）_本期其他增减变动</v>
          </cell>
          <cell r="D241">
            <v>-1</v>
          </cell>
          <cell r="E241" t="str">
            <v>OEI</v>
          </cell>
          <cell r="G241" t="str">
            <v>（七）其他</v>
          </cell>
          <cell r="I241" t="str">
            <v>8b96</v>
          </cell>
          <cell r="J241" t="str">
            <v>J</v>
          </cell>
          <cell r="M241" t="str">
            <v>盈余公积_所有者投入资本增加权益</v>
          </cell>
          <cell r="S241" t="str">
            <v>4301a</v>
          </cell>
          <cell r="T241" t="str">
            <v>专项储备变动情况</v>
          </cell>
          <cell r="U241" t="str">
            <v>项       目</v>
          </cell>
          <cell r="V241">
            <v>1</v>
          </cell>
          <cell r="W241">
            <v>4301</v>
          </cell>
          <cell r="X241">
            <v>1</v>
          </cell>
        </row>
        <row r="242">
          <cell r="B242" t="str">
            <v>8b99</v>
          </cell>
          <cell r="C242" t="str">
            <v>其他权益工具（优先股）_本期期末余额</v>
          </cell>
          <cell r="E242" t="str">
            <v>OEI＝</v>
          </cell>
          <cell r="G242" t="str">
            <v>四、本期期末余额</v>
          </cell>
          <cell r="I242" t="str">
            <v>8b99</v>
          </cell>
          <cell r="M242" t="str">
            <v>盈余公积_股份支付计入所有者权益的金额</v>
          </cell>
          <cell r="S242" t="str">
            <v>4101a</v>
          </cell>
          <cell r="T242" t="str">
            <v>盈余公积变动情况</v>
          </cell>
          <cell r="U242" t="str">
            <v>项       目</v>
          </cell>
          <cell r="V242">
            <v>1</v>
          </cell>
          <cell r="W242">
            <v>4101</v>
          </cell>
          <cell r="X242">
            <v>1</v>
          </cell>
        </row>
        <row r="243">
          <cell r="B243" t="str">
            <v>8c00</v>
          </cell>
          <cell r="C243" t="str">
            <v>其他权益工具（永续债）增减变动</v>
          </cell>
          <cell r="E243" t="str">
            <v>：OEI</v>
          </cell>
          <cell r="G243" t="str">
            <v>其他权益工具（永续债）增减变动</v>
          </cell>
          <cell r="I243" t="str">
            <v>8c00</v>
          </cell>
          <cell r="M243" t="str">
            <v>盈余公积_其他权益工具持有者投入资本</v>
          </cell>
          <cell r="S243" t="str">
            <v>4102a</v>
          </cell>
          <cell r="T243" t="str">
            <v>一般风险准备变动情况</v>
          </cell>
          <cell r="U243" t="str">
            <v>项       目</v>
          </cell>
          <cell r="V243">
            <v>1</v>
          </cell>
          <cell r="W243">
            <v>4102</v>
          </cell>
          <cell r="X243">
            <v>1</v>
          </cell>
        </row>
        <row r="244">
          <cell r="B244" t="str">
            <v>8c01</v>
          </cell>
          <cell r="C244" t="str">
            <v>其他权益工具（永续债）_上年年末余额</v>
          </cell>
          <cell r="D244">
            <v>-1</v>
          </cell>
          <cell r="E244" t="str">
            <v>OEI</v>
          </cell>
          <cell r="G244" t="str">
            <v>一、上年年末余额</v>
          </cell>
          <cell r="I244" t="str">
            <v>8c01</v>
          </cell>
          <cell r="J244" t="str">
            <v>J</v>
          </cell>
          <cell r="M244" t="str">
            <v>盈余公积_所有者其他投入和减少资本</v>
          </cell>
          <cell r="S244" t="str">
            <v>4200a</v>
          </cell>
          <cell r="T244" t="str">
            <v>未分配利润增减变动情况</v>
          </cell>
          <cell r="U244" t="str">
            <v>项       目</v>
          </cell>
          <cell r="V244">
            <v>1</v>
          </cell>
          <cell r="W244">
            <v>4200</v>
          </cell>
          <cell r="X244">
            <v>1</v>
          </cell>
        </row>
        <row r="245">
          <cell r="B245" t="str">
            <v>8c02</v>
          </cell>
          <cell r="C245" t="str">
            <v>其他权益工具（永续债）_会计政策变更调整上年年末余额</v>
          </cell>
          <cell r="D245">
            <v>-1</v>
          </cell>
          <cell r="E245" t="str">
            <v>OEI</v>
          </cell>
          <cell r="G245" t="str">
            <v>加：会计政策变更</v>
          </cell>
          <cell r="I245" t="str">
            <v>8c02</v>
          </cell>
          <cell r="J245" t="str">
            <v>J</v>
          </cell>
          <cell r="M245" t="str">
            <v>盈余公积_提取</v>
          </cell>
          <cell r="S245" t="str">
            <v>4200b</v>
          </cell>
          <cell r="T245" t="str">
            <v>调整本期期初未分配利润明细情况</v>
          </cell>
          <cell r="U245" t="str">
            <v>调整原因</v>
          </cell>
          <cell r="V245">
            <v>1</v>
          </cell>
          <cell r="W245">
            <v>4200</v>
          </cell>
          <cell r="X245">
            <v>2</v>
          </cell>
        </row>
        <row r="246">
          <cell r="B246" t="str">
            <v>8c03</v>
          </cell>
          <cell r="C246" t="str">
            <v>其他权益工具（永续债）_前期差错更正调整上年年末余额</v>
          </cell>
          <cell r="D246">
            <v>-1</v>
          </cell>
          <cell r="E246" t="str">
            <v>OEI</v>
          </cell>
          <cell r="G246" t="str">
            <v>前期差错更正</v>
          </cell>
          <cell r="I246" t="str">
            <v>8c03</v>
          </cell>
          <cell r="J246" t="str">
            <v>J</v>
          </cell>
          <cell r="M246" t="str">
            <v>盈余公积_提取一般风险准备影响权益</v>
          </cell>
          <cell r="S246" t="str">
            <v>6064a</v>
          </cell>
          <cell r="T246" t="str">
            <v>营业收入明细项目</v>
          </cell>
          <cell r="U246" t="str">
            <v>项       目</v>
          </cell>
          <cell r="V246">
            <v>-1</v>
          </cell>
          <cell r="W246">
            <v>6001</v>
          </cell>
          <cell r="X246">
            <v>1</v>
          </cell>
        </row>
        <row r="247">
          <cell r="B247" t="str">
            <v>8c04</v>
          </cell>
          <cell r="C247" t="str">
            <v>其他权益工具（永续债）_同一控制下企业合并调整上年年末余额</v>
          </cell>
          <cell r="D247">
            <v>-1</v>
          </cell>
          <cell r="E247" t="str">
            <v>※OEI</v>
          </cell>
          <cell r="G247" t="str">
            <v>同一控制下企业合并</v>
          </cell>
          <cell r="I247" t="str">
            <v>8c04</v>
          </cell>
          <cell r="J247" t="str">
            <v>J</v>
          </cell>
          <cell r="M247" t="str">
            <v>盈余公积_对所有者的分配</v>
          </cell>
          <cell r="S247" t="str">
            <v>6064b</v>
          </cell>
          <cell r="T247" t="str">
            <v>营业成本明细项目</v>
          </cell>
          <cell r="U247" t="str">
            <v>项       目</v>
          </cell>
          <cell r="V247">
            <v>-1</v>
          </cell>
          <cell r="W247">
            <v>6401</v>
          </cell>
          <cell r="X247">
            <v>1</v>
          </cell>
        </row>
        <row r="248">
          <cell r="B248" t="str">
            <v>8c09</v>
          </cell>
          <cell r="C248" t="str">
            <v>其他权益工具（永续债）_其他原因调整上年年末余额</v>
          </cell>
          <cell r="D248">
            <v>-1</v>
          </cell>
          <cell r="E248" t="str">
            <v>OEI</v>
          </cell>
          <cell r="G248" t="str">
            <v>其他</v>
          </cell>
          <cell r="I248" t="str">
            <v>8c09</v>
          </cell>
          <cell r="J248" t="str">
            <v>J</v>
          </cell>
          <cell r="M248" t="str">
            <v>盈余公积_其他利润分配</v>
          </cell>
          <cell r="S248" t="str">
            <v>6064c</v>
          </cell>
          <cell r="T248" t="str">
            <v>主营业务按行业类别列示</v>
          </cell>
          <cell r="U248" t="str">
            <v>行业或业务名称</v>
          </cell>
          <cell r="V248">
            <v>-2</v>
          </cell>
          <cell r="X248">
            <v>2</v>
          </cell>
        </row>
        <row r="249">
          <cell r="B249" t="str">
            <v>8c10</v>
          </cell>
          <cell r="C249" t="str">
            <v>其他权益工具（永续债）_本年年初余额</v>
          </cell>
          <cell r="E249" t="str">
            <v>OEI＝</v>
          </cell>
          <cell r="G249" t="str">
            <v>二、本年年初余额</v>
          </cell>
          <cell r="I249" t="str">
            <v>8c10</v>
          </cell>
          <cell r="M249" t="str">
            <v>盈余公积_资本公积转增资本影响权益</v>
          </cell>
          <cell r="S249" t="str">
            <v>6064d</v>
          </cell>
          <cell r="T249" t="str">
            <v>主营业务按产品类别列示</v>
          </cell>
          <cell r="U249" t="str">
            <v>产品名称</v>
          </cell>
          <cell r="V249">
            <v>-2</v>
          </cell>
          <cell r="X249">
            <v>2</v>
          </cell>
        </row>
        <row r="250">
          <cell r="B250" t="str">
            <v>8c90</v>
          </cell>
          <cell r="C250" t="str">
            <v>其他权益工具（永续债）_本期增减变动金额</v>
          </cell>
          <cell r="E250" t="str">
            <v>OEI＝</v>
          </cell>
          <cell r="G250" t="str">
            <v>三、本期增减变动金额（减少以“-”号填列）</v>
          </cell>
          <cell r="I250" t="str">
            <v>8c90</v>
          </cell>
          <cell r="M250" t="str">
            <v>盈余公积_转增资本</v>
          </cell>
          <cell r="S250" t="str">
            <v>6064e</v>
          </cell>
          <cell r="T250" t="str">
            <v>主营业务按地区类别列示</v>
          </cell>
          <cell r="U250" t="str">
            <v>地区名称</v>
          </cell>
          <cell r="V250">
            <v>-2</v>
          </cell>
          <cell r="X250">
            <v>2</v>
          </cell>
        </row>
        <row r="251">
          <cell r="B251" t="str">
            <v>8c40</v>
          </cell>
          <cell r="C251" t="str">
            <v>其他权益工具（永续债）_综合收益总额增加权益</v>
          </cell>
          <cell r="D251">
            <v>-1</v>
          </cell>
          <cell r="E251" t="str">
            <v>OEI</v>
          </cell>
          <cell r="G251" t="str">
            <v>（一）综合收益总额</v>
          </cell>
          <cell r="I251" t="str">
            <v>8c40</v>
          </cell>
          <cell r="J251" t="str">
            <v>J</v>
          </cell>
          <cell r="M251" t="str">
            <v>盈余公积_弥补亏损</v>
          </cell>
          <cell r="S251" t="str">
            <v>6064f</v>
          </cell>
          <cell r="T251" t="str">
            <v>本期销售前十名情况</v>
          </cell>
          <cell r="U251" t="str">
            <v>客户名称</v>
          </cell>
          <cell r="V251">
            <v>-1</v>
          </cell>
          <cell r="W251">
            <v>6001</v>
          </cell>
          <cell r="X251">
            <v>2</v>
          </cell>
        </row>
        <row r="252">
          <cell r="B252" t="str">
            <v>8c50</v>
          </cell>
          <cell r="C252" t="str">
            <v>其他权益工具（永续债）_所有者投入和减少资本影响权益</v>
          </cell>
          <cell r="E252" t="str">
            <v>OEI＝</v>
          </cell>
          <cell r="G252" t="str">
            <v>（二）所有者投入和减少资本</v>
          </cell>
          <cell r="I252" t="str">
            <v>8c50</v>
          </cell>
          <cell r="M252" t="str">
            <v>盈余公积_设定受益计划变动额结转留存收益</v>
          </cell>
          <cell r="S252" t="str">
            <v>6064g</v>
          </cell>
          <cell r="T252" t="str">
            <v>本期采购前十名情况</v>
          </cell>
          <cell r="U252" t="str">
            <v>供应商名称</v>
          </cell>
          <cell r="V252">
            <v>-1</v>
          </cell>
          <cell r="W252">
            <v>6401</v>
          </cell>
          <cell r="X252">
            <v>2</v>
          </cell>
        </row>
        <row r="253">
          <cell r="B253" t="str">
            <v>8c51</v>
          </cell>
          <cell r="C253" t="str">
            <v>其他权益工具（永续债）_所有者投入资本</v>
          </cell>
          <cell r="D253">
            <v>-1</v>
          </cell>
          <cell r="E253" t="str">
            <v>OEI</v>
          </cell>
          <cell r="G253" t="str">
            <v>所有者投入资本</v>
          </cell>
          <cell r="I253" t="str">
            <v>8c51</v>
          </cell>
          <cell r="J253" t="str">
            <v>J</v>
          </cell>
          <cell r="M253" t="str">
            <v>盈余公积_所有者权益其他内部结转</v>
          </cell>
          <cell r="S253" t="str">
            <v>6001x</v>
          </cell>
          <cell r="T253" t="str">
            <v>营业收入补充资料</v>
          </cell>
          <cell r="U253" t="str">
            <v>项       目</v>
          </cell>
          <cell r="V253">
            <v>-1</v>
          </cell>
          <cell r="W253">
            <v>6001</v>
          </cell>
          <cell r="X253">
            <v>2</v>
          </cell>
        </row>
        <row r="254">
          <cell r="B254" t="str">
            <v>8c52</v>
          </cell>
          <cell r="C254" t="str">
            <v>其他权益工具（永续债）_股份支付</v>
          </cell>
          <cell r="D254">
            <v>-1</v>
          </cell>
          <cell r="E254" t="str">
            <v>OEI</v>
          </cell>
          <cell r="G254" t="str">
            <v>股份支付计入所有者权益的金额</v>
          </cell>
          <cell r="I254" t="str">
            <v>8c52</v>
          </cell>
          <cell r="J254" t="str">
            <v>J</v>
          </cell>
          <cell r="M254" t="str">
            <v>盈余公积_专项储备本期提取</v>
          </cell>
          <cell r="S254" t="str">
            <v>6401x</v>
          </cell>
          <cell r="T254" t="str">
            <v>营业成本补充资料</v>
          </cell>
          <cell r="U254" t="str">
            <v>项       目</v>
          </cell>
          <cell r="V254">
            <v>-1</v>
          </cell>
          <cell r="W254">
            <v>6401</v>
          </cell>
          <cell r="X254">
            <v>2</v>
          </cell>
        </row>
        <row r="255">
          <cell r="B255" t="str">
            <v>8c53</v>
          </cell>
          <cell r="C255" t="str">
            <v>其他权益工具（永续债）_其他权益工具持有者投入资本</v>
          </cell>
          <cell r="D255">
            <v>-1</v>
          </cell>
          <cell r="E255" t="str">
            <v>OEI</v>
          </cell>
          <cell r="G255" t="str">
            <v>其他权益工具持有者投入资本</v>
          </cell>
          <cell r="I255" t="str">
            <v>8c53</v>
          </cell>
          <cell r="J255" t="str">
            <v>J</v>
          </cell>
          <cell r="M255" t="str">
            <v>盈余公积_专项储备本期使用</v>
          </cell>
          <cell r="S255" t="str">
            <v>6600a</v>
          </cell>
          <cell r="T255" t="str">
            <v>税金及附加明细项目</v>
          </cell>
          <cell r="U255" t="str">
            <v>税       种</v>
          </cell>
          <cell r="V255">
            <v>1</v>
          </cell>
          <cell r="W255">
            <v>6600</v>
          </cell>
          <cell r="X255">
            <v>1</v>
          </cell>
        </row>
        <row r="256">
          <cell r="B256" t="str">
            <v>8c56</v>
          </cell>
          <cell r="C256" t="str">
            <v>其他权益工具（永续债）_所有者其他投入和减少资本</v>
          </cell>
          <cell r="D256">
            <v>-1</v>
          </cell>
          <cell r="E256" t="str">
            <v>OEI</v>
          </cell>
          <cell r="G256" t="str">
            <v>其他</v>
          </cell>
          <cell r="I256" t="str">
            <v>8c56</v>
          </cell>
          <cell r="J256" t="str">
            <v>J</v>
          </cell>
          <cell r="M256" t="str">
            <v>盈余公积_本期其他增减变动</v>
          </cell>
          <cell r="S256" t="str">
            <v>6600x</v>
          </cell>
          <cell r="T256" t="str">
            <v>税金及附加补充资料</v>
          </cell>
          <cell r="U256" t="str">
            <v>项       目</v>
          </cell>
          <cell r="V256">
            <v>1</v>
          </cell>
          <cell r="W256">
            <v>6600</v>
          </cell>
          <cell r="X256">
            <v>2</v>
          </cell>
        </row>
        <row r="257">
          <cell r="B257" t="str">
            <v>8c60</v>
          </cell>
          <cell r="C257" t="str">
            <v>其他权益工具（永续债）_利润分配影响权益</v>
          </cell>
          <cell r="E257" t="str">
            <v>OEI＝</v>
          </cell>
          <cell r="G257" t="str">
            <v>（三）利润分配</v>
          </cell>
          <cell r="I257" t="str">
            <v>8c60</v>
          </cell>
          <cell r="M257" t="str">
            <v>一般风险准备_上年年末余额</v>
          </cell>
          <cell r="S257" t="str">
            <v>6601a</v>
          </cell>
          <cell r="T257" t="str">
            <v>销售费用明细项目</v>
          </cell>
          <cell r="U257" t="str">
            <v>项       目</v>
          </cell>
          <cell r="V257">
            <v>1</v>
          </cell>
          <cell r="W257">
            <v>6601</v>
          </cell>
          <cell r="X257">
            <v>1</v>
          </cell>
        </row>
        <row r="258">
          <cell r="B258" t="str">
            <v>8c61</v>
          </cell>
          <cell r="C258" t="str">
            <v>其他权益工具（永续债）_提取盈余公积</v>
          </cell>
          <cell r="D258">
            <v>-1</v>
          </cell>
          <cell r="E258" t="str">
            <v>OEI</v>
          </cell>
          <cell r="G258" t="str">
            <v>提取盈余公积</v>
          </cell>
          <cell r="I258" t="str">
            <v>8c61</v>
          </cell>
          <cell r="J258" t="str">
            <v>J</v>
          </cell>
          <cell r="M258" t="str">
            <v>一般风险准备_会计政策变更调整上年年末余额</v>
          </cell>
          <cell r="S258" t="str">
            <v>6601x</v>
          </cell>
          <cell r="T258" t="str">
            <v>销售费用补充资料</v>
          </cell>
          <cell r="U258" t="str">
            <v>项       目</v>
          </cell>
          <cell r="V258">
            <v>1</v>
          </cell>
          <cell r="W258">
            <v>6601</v>
          </cell>
          <cell r="X258">
            <v>2</v>
          </cell>
        </row>
        <row r="259">
          <cell r="B259" t="str">
            <v>8c62</v>
          </cell>
          <cell r="C259" t="str">
            <v>其他权益工具（永续债）_提取一般风险准备</v>
          </cell>
          <cell r="D259">
            <v>-1</v>
          </cell>
          <cell r="E259" t="str">
            <v>OEI</v>
          </cell>
          <cell r="G259" t="str">
            <v>提取一般风险准备</v>
          </cell>
          <cell r="I259" t="str">
            <v>8c62</v>
          </cell>
          <cell r="J259" t="str">
            <v>J</v>
          </cell>
          <cell r="M259" t="str">
            <v>一般风险准备_前期差错更正调整上年年末余额</v>
          </cell>
          <cell r="S259" t="str">
            <v>6602a</v>
          </cell>
          <cell r="T259" t="str">
            <v>管理费用明细项目</v>
          </cell>
          <cell r="U259" t="str">
            <v>项       目</v>
          </cell>
          <cell r="V259">
            <v>1</v>
          </cell>
          <cell r="W259">
            <v>6602</v>
          </cell>
          <cell r="X259">
            <v>1</v>
          </cell>
        </row>
        <row r="260">
          <cell r="B260" t="str">
            <v>8c63</v>
          </cell>
          <cell r="C260" t="str">
            <v>其他权益工具（永续债）_对所有者的分配</v>
          </cell>
          <cell r="D260">
            <v>-1</v>
          </cell>
          <cell r="E260" t="str">
            <v>OEI</v>
          </cell>
          <cell r="G260" t="str">
            <v>对所有者（或股东）的分配</v>
          </cell>
          <cell r="I260" t="str">
            <v>8c63</v>
          </cell>
          <cell r="J260" t="str">
            <v>J</v>
          </cell>
          <cell r="M260" t="str">
            <v>一般风险准备_同一控制下企业合并调整上年年末余额</v>
          </cell>
          <cell r="S260" t="str">
            <v>6602x</v>
          </cell>
          <cell r="T260" t="str">
            <v>管理费用补充资料</v>
          </cell>
          <cell r="U260" t="str">
            <v>项       目</v>
          </cell>
          <cell r="V260">
            <v>1</v>
          </cell>
          <cell r="W260">
            <v>6602</v>
          </cell>
          <cell r="X260">
            <v>2</v>
          </cell>
        </row>
        <row r="261">
          <cell r="B261" t="str">
            <v>8c66</v>
          </cell>
          <cell r="C261" t="str">
            <v>其他权益工具（永续债）_其他利润分配</v>
          </cell>
          <cell r="D261">
            <v>-1</v>
          </cell>
          <cell r="E261" t="str">
            <v>OEI</v>
          </cell>
          <cell r="G261" t="str">
            <v>其他</v>
          </cell>
          <cell r="I261" t="str">
            <v>8c66</v>
          </cell>
          <cell r="J261" t="str">
            <v>J</v>
          </cell>
          <cell r="M261" t="str">
            <v>一般风险准备_其他原因调整上年年末余额</v>
          </cell>
          <cell r="S261" t="str">
            <v>6606a</v>
          </cell>
          <cell r="T261" t="str">
            <v>研发费用明细项目</v>
          </cell>
          <cell r="U261" t="str">
            <v>项       目</v>
          </cell>
          <cell r="V261">
            <v>1</v>
          </cell>
          <cell r="W261">
            <v>6606</v>
          </cell>
          <cell r="X261">
            <v>1</v>
          </cell>
        </row>
        <row r="262">
          <cell r="B262" t="str">
            <v>8c70</v>
          </cell>
          <cell r="C262" t="str">
            <v>其他权益工具（永续债）_所有者权益内部结转</v>
          </cell>
          <cell r="E262" t="str">
            <v>OEI＝</v>
          </cell>
          <cell r="G262" t="str">
            <v>（四）所有者权益内部结转</v>
          </cell>
          <cell r="I262" t="str">
            <v>8c70</v>
          </cell>
          <cell r="M262" t="str">
            <v>一般风险准备_净利润增加权益</v>
          </cell>
          <cell r="S262" t="str">
            <v>6603a</v>
          </cell>
          <cell r="T262" t="str">
            <v>财务费用明细项目</v>
          </cell>
          <cell r="U262" t="str">
            <v>项       目</v>
          </cell>
          <cell r="V262">
            <v>1</v>
          </cell>
          <cell r="W262">
            <v>6603</v>
          </cell>
          <cell r="X262">
            <v>1</v>
          </cell>
        </row>
        <row r="263">
          <cell r="B263" t="str">
            <v>8c71</v>
          </cell>
          <cell r="C263" t="str">
            <v>其他权益工具（永续债）_资本公积转增资本</v>
          </cell>
          <cell r="D263">
            <v>-1</v>
          </cell>
          <cell r="E263" t="str">
            <v>OEI</v>
          </cell>
          <cell r="G263" t="str">
            <v>资本公积转增资本（或股本）</v>
          </cell>
          <cell r="I263" t="str">
            <v>8c71</v>
          </cell>
          <cell r="J263" t="str">
            <v>J</v>
          </cell>
          <cell r="M263" t="str">
            <v>一般风险准备_其他综合收益增加权益</v>
          </cell>
          <cell r="S263" t="str">
            <v>6603x</v>
          </cell>
          <cell r="T263" t="str">
            <v>财务费用补充资料</v>
          </cell>
          <cell r="U263" t="str">
            <v>项       目</v>
          </cell>
          <cell r="V263">
            <v>1</v>
          </cell>
          <cell r="W263">
            <v>6603</v>
          </cell>
          <cell r="X263">
            <v>2</v>
          </cell>
        </row>
        <row r="264">
          <cell r="B264" t="str">
            <v>8c72</v>
          </cell>
          <cell r="C264" t="str">
            <v>其他权益工具（永续债）_盈余公积转增资本</v>
          </cell>
          <cell r="D264">
            <v>-1</v>
          </cell>
          <cell r="E264" t="str">
            <v>OEI</v>
          </cell>
          <cell r="G264" t="str">
            <v>盈余公积转增资本（或股本）</v>
          </cell>
          <cell r="I264" t="str">
            <v>8c72</v>
          </cell>
          <cell r="J264" t="str">
            <v>J</v>
          </cell>
          <cell r="M264" t="str">
            <v>一般风险准备_综合收益总额增加权益</v>
          </cell>
          <cell r="S264" t="str">
            <v>6671a</v>
          </cell>
          <cell r="T264" t="str">
            <v>资产减值损失明细项目</v>
          </cell>
          <cell r="U264" t="str">
            <v>项       目</v>
          </cell>
          <cell r="V264">
            <v>1</v>
          </cell>
          <cell r="W264">
            <v>6671</v>
          </cell>
          <cell r="X264">
            <v>1</v>
          </cell>
        </row>
        <row r="265">
          <cell r="B265" t="str">
            <v>8c73</v>
          </cell>
          <cell r="C265" t="str">
            <v>其他权益工具（永续债）_盈余公积弥补亏损</v>
          </cell>
          <cell r="D265">
            <v>-1</v>
          </cell>
          <cell r="E265" t="str">
            <v>OEI</v>
          </cell>
          <cell r="G265" t="str">
            <v>盈余公积弥补亏损</v>
          </cell>
          <cell r="I265" t="str">
            <v>8c73</v>
          </cell>
          <cell r="J265" t="str">
            <v>J</v>
          </cell>
          <cell r="M265" t="str">
            <v>一般风险准备_所有者投入资本增加权益</v>
          </cell>
          <cell r="S265" t="str">
            <v>6101a</v>
          </cell>
          <cell r="T265" t="str">
            <v>公允价值变动收益明细项目</v>
          </cell>
          <cell r="U265" t="str">
            <v>产生公允价值变动收益的来源</v>
          </cell>
          <cell r="V265">
            <v>1</v>
          </cell>
          <cell r="W265">
            <v>6101</v>
          </cell>
          <cell r="X265">
            <v>1</v>
          </cell>
        </row>
        <row r="266">
          <cell r="B266" t="str">
            <v>8c75</v>
          </cell>
          <cell r="C266" t="str">
            <v>其他权益工具（永续债）_设定受益计划变动额结转留存收益</v>
          </cell>
          <cell r="D266">
            <v>-1</v>
          </cell>
          <cell r="E266" t="str">
            <v>OEI</v>
          </cell>
          <cell r="G266" t="str">
            <v>设定受益计划变动额结转留存收益</v>
          </cell>
          <cell r="I266" t="str">
            <v>8c75</v>
          </cell>
          <cell r="J266" t="str">
            <v>J</v>
          </cell>
          <cell r="M266" t="str">
            <v>一般风险准备_股份支付计入所有者权益的金额</v>
          </cell>
          <cell r="S266" t="str">
            <v>6111a</v>
          </cell>
          <cell r="T266" t="str">
            <v>投资收益按来源列示</v>
          </cell>
          <cell r="U266" t="str">
            <v>项       目</v>
          </cell>
          <cell r="V266">
            <v>1</v>
          </cell>
          <cell r="W266">
            <v>6111</v>
          </cell>
          <cell r="X266">
            <v>1</v>
          </cell>
        </row>
        <row r="267">
          <cell r="B267" t="str">
            <v>8c76</v>
          </cell>
          <cell r="C267" t="str">
            <v>其他权益工具（永续债）_所有者权益其他内部结转</v>
          </cell>
          <cell r="D267">
            <v>-1</v>
          </cell>
          <cell r="E267" t="str">
            <v>OEI</v>
          </cell>
          <cell r="G267" t="str">
            <v>其他</v>
          </cell>
          <cell r="I267" t="str">
            <v>8c76</v>
          </cell>
          <cell r="J267" t="str">
            <v>J</v>
          </cell>
          <cell r="M267" t="str">
            <v>一般风险准备_其他权益工具持有者投入资本</v>
          </cell>
          <cell r="S267" t="str">
            <v>6171a</v>
          </cell>
          <cell r="T267" t="str">
            <v>资产处置收益明细项目</v>
          </cell>
          <cell r="U267" t="str">
            <v>项       目</v>
          </cell>
          <cell r="V267">
            <v>1</v>
          </cell>
          <cell r="W267">
            <v>6171</v>
          </cell>
          <cell r="X267">
            <v>1</v>
          </cell>
        </row>
        <row r="268">
          <cell r="B268" t="str">
            <v>8c80</v>
          </cell>
          <cell r="C268" t="str">
            <v>其他权益工具（永续债）_专项储备影响权益</v>
          </cell>
          <cell r="E268" t="str">
            <v>OEI＝</v>
          </cell>
          <cell r="G268" t="str">
            <v>（五）专项储备</v>
          </cell>
          <cell r="I268" t="str">
            <v>8c80</v>
          </cell>
          <cell r="M268" t="str">
            <v>一般风险准备_所有者其他投入和减少资本</v>
          </cell>
          <cell r="S268" t="str">
            <v>6181a</v>
          </cell>
          <cell r="T268" t="str">
            <v>其他收益明细项目</v>
          </cell>
          <cell r="U268" t="str">
            <v>项       目</v>
          </cell>
          <cell r="V268">
            <v>1</v>
          </cell>
          <cell r="W268">
            <v>6181</v>
          </cell>
          <cell r="X268">
            <v>1</v>
          </cell>
        </row>
        <row r="269">
          <cell r="B269" t="str">
            <v>8c81</v>
          </cell>
          <cell r="C269" t="str">
            <v>其他权益工具（永续债）_专项储备本期提取</v>
          </cell>
          <cell r="D269">
            <v>-1</v>
          </cell>
          <cell r="E269" t="str">
            <v>OEI</v>
          </cell>
          <cell r="G269" t="str">
            <v>本期提取</v>
          </cell>
          <cell r="I269" t="str">
            <v>8c81</v>
          </cell>
          <cell r="J269" t="str">
            <v>J</v>
          </cell>
          <cell r="M269" t="str">
            <v>一般风险准备_提取盈余公积影响权益</v>
          </cell>
          <cell r="S269" t="str">
            <v>6710a</v>
          </cell>
          <cell r="T269" t="str">
            <v>营业外收入明细项目</v>
          </cell>
          <cell r="U269" t="str">
            <v>项       目</v>
          </cell>
          <cell r="V269">
            <v>1</v>
          </cell>
          <cell r="W269">
            <v>6710</v>
          </cell>
          <cell r="X269">
            <v>1</v>
          </cell>
        </row>
        <row r="270">
          <cell r="B270" t="str">
            <v>8c82</v>
          </cell>
          <cell r="C270" t="str">
            <v>其他权益工具（永续债）_专项储备本期使用</v>
          </cell>
          <cell r="D270">
            <v>-1</v>
          </cell>
          <cell r="E270" t="str">
            <v>OEI</v>
          </cell>
          <cell r="G270" t="str">
            <v>本期使用</v>
          </cell>
          <cell r="I270" t="str">
            <v>8c82</v>
          </cell>
          <cell r="J270" t="str">
            <v>J</v>
          </cell>
          <cell r="M270" t="str">
            <v>一般风险准备_提取</v>
          </cell>
          <cell r="S270" t="str">
            <v>6710b</v>
          </cell>
          <cell r="T270" t="str">
            <v>政府补助明细列示</v>
          </cell>
          <cell r="U270" t="str">
            <v>项       目</v>
          </cell>
          <cell r="V270">
            <v>1</v>
          </cell>
          <cell r="W270">
            <v>6710</v>
          </cell>
          <cell r="X270">
            <v>2</v>
          </cell>
        </row>
        <row r="271">
          <cell r="B271" t="str">
            <v>8c96</v>
          </cell>
          <cell r="C271" t="str">
            <v>其他权益工具（永续债）_本期其他增减变动</v>
          </cell>
          <cell r="D271">
            <v>-1</v>
          </cell>
          <cell r="E271" t="str">
            <v>OEI</v>
          </cell>
          <cell r="G271" t="str">
            <v>（七）其他</v>
          </cell>
          <cell r="I271" t="str">
            <v>8c96</v>
          </cell>
          <cell r="J271" t="str">
            <v>J</v>
          </cell>
          <cell r="M271" t="str">
            <v>一般风险准备_对所有者的分配影响权益</v>
          </cell>
          <cell r="S271" t="str">
            <v>6711a</v>
          </cell>
          <cell r="T271" t="str">
            <v>营业外支出明细项目</v>
          </cell>
          <cell r="U271" t="str">
            <v>项       目</v>
          </cell>
          <cell r="V271">
            <v>1</v>
          </cell>
          <cell r="W271">
            <v>6711</v>
          </cell>
          <cell r="X271">
            <v>1</v>
          </cell>
        </row>
        <row r="272">
          <cell r="B272" t="str">
            <v>8c99</v>
          </cell>
          <cell r="C272" t="str">
            <v>其他权益工具（永续债）_本期期末余额</v>
          </cell>
          <cell r="E272" t="str">
            <v>OEI＝</v>
          </cell>
          <cell r="G272" t="str">
            <v>四、本期期末余额</v>
          </cell>
          <cell r="I272" t="str">
            <v>8c99</v>
          </cell>
          <cell r="M272" t="str">
            <v>一般风险准备_其他利润分配</v>
          </cell>
          <cell r="S272" t="str">
            <v>6791a</v>
          </cell>
          <cell r="T272" t="str">
            <v>所得税费用明细</v>
          </cell>
          <cell r="U272" t="str">
            <v>项       目</v>
          </cell>
          <cell r="V272">
            <v>1</v>
          </cell>
          <cell r="W272">
            <v>6791</v>
          </cell>
          <cell r="X272">
            <v>1</v>
          </cell>
        </row>
        <row r="273">
          <cell r="B273" t="str">
            <v>8d00</v>
          </cell>
          <cell r="C273" t="str">
            <v>其他权益工具（其他）增减变动</v>
          </cell>
          <cell r="E273" t="str">
            <v>：OEI</v>
          </cell>
          <cell r="G273" t="str">
            <v>其他权益工具（其他）增减变动</v>
          </cell>
          <cell r="I273" t="str">
            <v>8d00</v>
          </cell>
          <cell r="M273" t="str">
            <v>一般风险准备_资本公积转增资本影响权益</v>
          </cell>
          <cell r="S273" t="str">
            <v>6791b</v>
          </cell>
          <cell r="T273" t="str">
            <v>所得税费用与利润总额的关系</v>
          </cell>
          <cell r="U273" t="str">
            <v>项       目</v>
          </cell>
          <cell r="V273">
            <v>1</v>
          </cell>
          <cell r="W273">
            <v>6791</v>
          </cell>
          <cell r="X273">
            <v>2</v>
          </cell>
        </row>
        <row r="274">
          <cell r="B274" t="str">
            <v>8d01</v>
          </cell>
          <cell r="C274" t="str">
            <v>其他权益工具（其他）_上年年末余额</v>
          </cell>
          <cell r="D274">
            <v>-1</v>
          </cell>
          <cell r="E274" t="str">
            <v>OEI</v>
          </cell>
          <cell r="G274" t="str">
            <v>一、上年年末余额</v>
          </cell>
          <cell r="I274" t="str">
            <v>8d01</v>
          </cell>
          <cell r="J274" t="str">
            <v>J</v>
          </cell>
          <cell r="M274" t="str">
            <v>一般风险准备_盈余公积转增资本影响权益</v>
          </cell>
          <cell r="S274" t="str">
            <v>7046a</v>
          </cell>
          <cell r="T274" t="str">
            <v>收到的其他与经营活动有关的现金</v>
          </cell>
          <cell r="U274" t="str">
            <v>项       目</v>
          </cell>
          <cell r="V274">
            <v>1</v>
          </cell>
          <cell r="W274">
            <v>7046</v>
          </cell>
          <cell r="X274">
            <v>1</v>
          </cell>
        </row>
        <row r="275">
          <cell r="B275" t="str">
            <v>8d02</v>
          </cell>
          <cell r="C275" t="str">
            <v>其他权益工具（其他）_会计政策变更调整上年年末余额</v>
          </cell>
          <cell r="D275">
            <v>-1</v>
          </cell>
          <cell r="E275" t="str">
            <v>OEI</v>
          </cell>
          <cell r="G275" t="str">
            <v>加：会计政策变更</v>
          </cell>
          <cell r="I275" t="str">
            <v>8d02</v>
          </cell>
          <cell r="J275" t="str">
            <v>J</v>
          </cell>
          <cell r="M275" t="str">
            <v>一般风险准备_盈余公积弥补亏损影响权益</v>
          </cell>
          <cell r="S275" t="str">
            <v>7046x</v>
          </cell>
          <cell r="T275" t="str">
            <v>收到其他与经营活动有关的现金计算表</v>
          </cell>
          <cell r="U275" t="str">
            <v>项       目</v>
          </cell>
          <cell r="V275">
            <v>1</v>
          </cell>
          <cell r="W275">
            <v>7046</v>
          </cell>
          <cell r="X275">
            <v>2</v>
          </cell>
        </row>
        <row r="276">
          <cell r="B276" t="str">
            <v>8d03</v>
          </cell>
          <cell r="C276" t="str">
            <v>其他权益工具（其他）_前期差错更正调整上年年末余额</v>
          </cell>
          <cell r="D276">
            <v>-1</v>
          </cell>
          <cell r="E276" t="str">
            <v>OEI</v>
          </cell>
          <cell r="G276" t="str">
            <v>前期差错更正</v>
          </cell>
          <cell r="I276" t="str">
            <v>8d03</v>
          </cell>
          <cell r="J276" t="str">
            <v>J</v>
          </cell>
          <cell r="M276" t="str">
            <v>一般风险准备_设定受益计划变动额结转留存收益</v>
          </cell>
          <cell r="S276" t="str">
            <v>7096a</v>
          </cell>
          <cell r="T276" t="str">
            <v>支付的其他与经营活动有关的现金</v>
          </cell>
          <cell r="U276" t="str">
            <v>项       目</v>
          </cell>
          <cell r="V276">
            <v>1</v>
          </cell>
          <cell r="W276">
            <v>7096</v>
          </cell>
          <cell r="X276">
            <v>1</v>
          </cell>
        </row>
        <row r="277">
          <cell r="B277" t="str">
            <v>8d04</v>
          </cell>
          <cell r="C277" t="str">
            <v>其他权益工具（其他）_同一控制下企业合并调整上年年末余额</v>
          </cell>
          <cell r="D277">
            <v>-1</v>
          </cell>
          <cell r="E277" t="str">
            <v>※OEI</v>
          </cell>
          <cell r="G277" t="str">
            <v>同一控制下企业合并</v>
          </cell>
          <cell r="I277" t="str">
            <v>8d04</v>
          </cell>
          <cell r="J277" t="str">
            <v>J</v>
          </cell>
          <cell r="M277" t="str">
            <v>一般风险准备_所有者权益其他内部结转</v>
          </cell>
          <cell r="S277" t="str">
            <v>7096x</v>
          </cell>
          <cell r="T277" t="str">
            <v>支付其他与经营活动有关的现金计算表</v>
          </cell>
          <cell r="U277" t="str">
            <v>项       目</v>
          </cell>
          <cell r="V277">
            <v>1</v>
          </cell>
          <cell r="W277">
            <v>7096</v>
          </cell>
          <cell r="X277">
            <v>2</v>
          </cell>
        </row>
        <row r="278">
          <cell r="B278" t="str">
            <v>8d09</v>
          </cell>
          <cell r="C278" t="str">
            <v>其他权益工具（其他）_其他原因调整上年年末余额</v>
          </cell>
          <cell r="D278">
            <v>-1</v>
          </cell>
          <cell r="E278" t="str">
            <v>OEI</v>
          </cell>
          <cell r="G278" t="str">
            <v>其他</v>
          </cell>
          <cell r="I278" t="str">
            <v>8d09</v>
          </cell>
          <cell r="J278" t="str">
            <v>J</v>
          </cell>
          <cell r="M278" t="str">
            <v>一般风险准备_专项储备本期提取</v>
          </cell>
          <cell r="S278" t="str">
            <v>7146a</v>
          </cell>
          <cell r="T278" t="str">
            <v>收到的其他与投资活动有关的现金</v>
          </cell>
          <cell r="U278" t="str">
            <v>项       目</v>
          </cell>
          <cell r="V278">
            <v>1</v>
          </cell>
          <cell r="W278">
            <v>7146</v>
          </cell>
          <cell r="X278">
            <v>1</v>
          </cell>
        </row>
        <row r="279">
          <cell r="B279" t="str">
            <v>8d10</v>
          </cell>
          <cell r="C279" t="str">
            <v>其他权益工具（其他）_本年年初余额</v>
          </cell>
          <cell r="E279" t="str">
            <v>OEI＝</v>
          </cell>
          <cell r="G279" t="str">
            <v>二、本年年初余额</v>
          </cell>
          <cell r="I279" t="str">
            <v>8d10</v>
          </cell>
          <cell r="M279" t="str">
            <v>一般风险准备_专项储备本期使用</v>
          </cell>
          <cell r="S279" t="str">
            <v>7196a</v>
          </cell>
          <cell r="T279" t="str">
            <v>支付的其他与投资活动有关的现金</v>
          </cell>
          <cell r="U279" t="str">
            <v>项       目</v>
          </cell>
          <cell r="V279">
            <v>1</v>
          </cell>
          <cell r="W279">
            <v>7196</v>
          </cell>
          <cell r="X279">
            <v>1</v>
          </cell>
        </row>
        <row r="280">
          <cell r="B280" t="str">
            <v>8d90</v>
          </cell>
          <cell r="C280" t="str">
            <v>其他权益工具（其他）_本期增减变动金额</v>
          </cell>
          <cell r="E280" t="str">
            <v>OEI＝</v>
          </cell>
          <cell r="G280" t="str">
            <v>三、本期增减变动金额（减少以“-”号填列）</v>
          </cell>
          <cell r="I280" t="str">
            <v>8d90</v>
          </cell>
          <cell r="M280" t="str">
            <v>一般风险准备_本期其他增减变动</v>
          </cell>
          <cell r="S280" t="str">
            <v>7246a</v>
          </cell>
          <cell r="T280" t="str">
            <v>收到的其他与筹资活动有关的现金</v>
          </cell>
          <cell r="U280" t="str">
            <v>项       目</v>
          </cell>
          <cell r="V280">
            <v>1</v>
          </cell>
          <cell r="W280">
            <v>7246</v>
          </cell>
          <cell r="X280">
            <v>1</v>
          </cell>
        </row>
        <row r="281">
          <cell r="B281" t="str">
            <v>8d40</v>
          </cell>
          <cell r="C281" t="str">
            <v>其他权益工具（其他）_综合收益总额增加权益</v>
          </cell>
          <cell r="D281">
            <v>-1</v>
          </cell>
          <cell r="E281" t="str">
            <v>OEI</v>
          </cell>
          <cell r="G281" t="str">
            <v>（一）综合收益总额</v>
          </cell>
          <cell r="I281" t="str">
            <v>8d40</v>
          </cell>
          <cell r="J281" t="str">
            <v>J</v>
          </cell>
          <cell r="M281" t="str">
            <v>未分配利润_上年年末余额</v>
          </cell>
          <cell r="S281" t="str">
            <v>7296a</v>
          </cell>
          <cell r="T281" t="str">
            <v>支付的其他与筹资活动有关的现金</v>
          </cell>
          <cell r="U281" t="str">
            <v>项       目</v>
          </cell>
          <cell r="V281">
            <v>1</v>
          </cell>
          <cell r="W281">
            <v>7296</v>
          </cell>
          <cell r="X281">
            <v>1</v>
          </cell>
        </row>
        <row r="282">
          <cell r="B282" t="str">
            <v>8d50</v>
          </cell>
          <cell r="C282" t="str">
            <v>其他权益工具（其他）_所有者投入和减少资本影响权益</v>
          </cell>
          <cell r="E282" t="str">
            <v>OEI＝</v>
          </cell>
          <cell r="G282" t="str">
            <v>（二）所有者投入和减少资本</v>
          </cell>
          <cell r="I282" t="str">
            <v>8d50</v>
          </cell>
          <cell r="M282" t="str">
            <v>未分配利润_会计政策变更调整上年年末余额</v>
          </cell>
          <cell r="S282" t="str">
            <v>7001x</v>
          </cell>
          <cell r="T282" t="str">
            <v>销售商品提供劳务收到的现金计算表</v>
          </cell>
          <cell r="U282" t="str">
            <v>项       目</v>
          </cell>
          <cell r="V282">
            <v>1</v>
          </cell>
          <cell r="W282">
            <v>7001</v>
          </cell>
          <cell r="X282">
            <v>2</v>
          </cell>
        </row>
        <row r="283">
          <cell r="B283" t="str">
            <v>8d51</v>
          </cell>
          <cell r="C283" t="str">
            <v>其他权益工具（其他）_所有者投入资本</v>
          </cell>
          <cell r="D283">
            <v>-1</v>
          </cell>
          <cell r="E283" t="str">
            <v>OEI</v>
          </cell>
          <cell r="G283" t="str">
            <v>所有者投入资本</v>
          </cell>
          <cell r="I283" t="str">
            <v>8d51</v>
          </cell>
          <cell r="J283" t="str">
            <v>J</v>
          </cell>
          <cell r="M283" t="str">
            <v>未分配利润_前期差错更正调整上年年末余额</v>
          </cell>
          <cell r="S283" t="str">
            <v>7051x</v>
          </cell>
          <cell r="T283" t="str">
            <v>购买商品接受劳务支付的现金计算表</v>
          </cell>
          <cell r="U283" t="str">
            <v>项       目</v>
          </cell>
          <cell r="V283">
            <v>1</v>
          </cell>
          <cell r="W283">
            <v>7051</v>
          </cell>
          <cell r="X283">
            <v>2</v>
          </cell>
        </row>
        <row r="284">
          <cell r="B284" t="str">
            <v>8d52</v>
          </cell>
          <cell r="C284" t="str">
            <v>其他权益工具（其他）_股份支付</v>
          </cell>
          <cell r="D284">
            <v>-1</v>
          </cell>
          <cell r="E284" t="str">
            <v>OEI</v>
          </cell>
          <cell r="G284" t="str">
            <v>股份支付计入所有者权益的金额</v>
          </cell>
          <cell r="I284" t="str">
            <v>8d52</v>
          </cell>
          <cell r="J284" t="str">
            <v>J</v>
          </cell>
          <cell r="M284" t="str">
            <v>未分配利润_同一控制下企业合并调整上年年末余额</v>
          </cell>
          <cell r="S284" t="str">
            <v>7061x</v>
          </cell>
          <cell r="T284" t="str">
            <v>支付给职工以及为职工支付的现金计算表</v>
          </cell>
          <cell r="U284" t="str">
            <v>项       目</v>
          </cell>
          <cell r="V284">
            <v>1</v>
          </cell>
          <cell r="W284">
            <v>7061</v>
          </cell>
          <cell r="X284">
            <v>2</v>
          </cell>
        </row>
        <row r="285">
          <cell r="B285" t="str">
            <v>8d53</v>
          </cell>
          <cell r="C285" t="str">
            <v>其他权益工具（其他）_其他权益工具持有者投入资本</v>
          </cell>
          <cell r="D285">
            <v>-1</v>
          </cell>
          <cell r="E285" t="str">
            <v>OEI</v>
          </cell>
          <cell r="G285" t="str">
            <v>其他权益工具持有者投入资本</v>
          </cell>
          <cell r="I285" t="str">
            <v>8d53</v>
          </cell>
          <cell r="J285" t="str">
            <v>J</v>
          </cell>
          <cell r="M285" t="str">
            <v>未分配利润_其他原因调整上年年末余额</v>
          </cell>
          <cell r="S285" t="str">
            <v>7071x</v>
          </cell>
          <cell r="T285" t="str">
            <v>支付的各项税费计算表</v>
          </cell>
          <cell r="U285" t="str">
            <v>项       目</v>
          </cell>
          <cell r="V285">
            <v>1</v>
          </cell>
          <cell r="W285">
            <v>7071</v>
          </cell>
          <cell r="X285">
            <v>2</v>
          </cell>
        </row>
        <row r="286">
          <cell r="B286" t="str">
            <v>8d56</v>
          </cell>
          <cell r="C286" t="str">
            <v>其他权益工具（其他）_所有者其他投入和减少资本</v>
          </cell>
          <cell r="D286">
            <v>-1</v>
          </cell>
          <cell r="E286" t="str">
            <v>OEI</v>
          </cell>
          <cell r="G286" t="str">
            <v>其他</v>
          </cell>
          <cell r="I286" t="str">
            <v>8d56</v>
          </cell>
          <cell r="J286" t="str">
            <v>J</v>
          </cell>
          <cell r="M286" t="str">
            <v>未分配利润_所有者投入资本增加权益</v>
          </cell>
          <cell r="S286" t="str">
            <v>7101x</v>
          </cell>
          <cell r="T286" t="str">
            <v>收回投资收到的现金计算表</v>
          </cell>
          <cell r="U286" t="str">
            <v>项       目</v>
          </cell>
          <cell r="V286">
            <v>1</v>
          </cell>
          <cell r="W286">
            <v>7101</v>
          </cell>
          <cell r="X286">
            <v>2</v>
          </cell>
        </row>
        <row r="287">
          <cell r="B287" t="str">
            <v>8d60</v>
          </cell>
          <cell r="C287" t="str">
            <v>其他权益工具（其他）_利润分配影响权益</v>
          </cell>
          <cell r="E287" t="str">
            <v>OEI＝</v>
          </cell>
          <cell r="G287" t="str">
            <v>（三）利润分配</v>
          </cell>
          <cell r="I287" t="str">
            <v>8d60</v>
          </cell>
          <cell r="M287" t="str">
            <v>未分配利润_股份支付计入所有者权益的金额</v>
          </cell>
          <cell r="S287" t="str">
            <v>7105x</v>
          </cell>
          <cell r="T287" t="str">
            <v>取得投资收益收到的现金计算表</v>
          </cell>
          <cell r="U287" t="str">
            <v>项       目</v>
          </cell>
          <cell r="V287">
            <v>1</v>
          </cell>
          <cell r="W287">
            <v>7105</v>
          </cell>
          <cell r="X287">
            <v>2</v>
          </cell>
        </row>
        <row r="288">
          <cell r="B288" t="str">
            <v>8d61</v>
          </cell>
          <cell r="C288" t="str">
            <v>其他权益工具（其他）_提取盈余公积</v>
          </cell>
          <cell r="D288">
            <v>-1</v>
          </cell>
          <cell r="E288" t="str">
            <v>OEI</v>
          </cell>
          <cell r="G288" t="str">
            <v>提取盈余公积</v>
          </cell>
          <cell r="I288" t="str">
            <v>8d61</v>
          </cell>
          <cell r="J288" t="str">
            <v>J</v>
          </cell>
          <cell r="M288" t="str">
            <v>未分配利润_其他权益工具持有者投入资本</v>
          </cell>
          <cell r="S288" t="str">
            <v>7111x</v>
          </cell>
          <cell r="T288" t="str">
            <v>处置固定资产无形资产长期资产收回的现金计算表</v>
          </cell>
          <cell r="U288" t="str">
            <v>项       目</v>
          </cell>
          <cell r="V288">
            <v>1</v>
          </cell>
          <cell r="W288">
            <v>7111</v>
          </cell>
          <cell r="X288">
            <v>2</v>
          </cell>
        </row>
        <row r="289">
          <cell r="B289" t="str">
            <v>8d62</v>
          </cell>
          <cell r="C289" t="str">
            <v>其他权益工具（其他）_提取一般风险准备</v>
          </cell>
          <cell r="D289">
            <v>-1</v>
          </cell>
          <cell r="E289" t="str">
            <v>OEI</v>
          </cell>
          <cell r="G289" t="str">
            <v>提取一般风险准备</v>
          </cell>
          <cell r="I289" t="str">
            <v>8d62</v>
          </cell>
          <cell r="J289" t="str">
            <v>J</v>
          </cell>
          <cell r="M289" t="str">
            <v>未分配利润_所有者其他投入和减少资本</v>
          </cell>
          <cell r="S289" t="str">
            <v>7151x</v>
          </cell>
          <cell r="T289" t="str">
            <v>购置固定资产无形资产长期资产支付的现金计算表</v>
          </cell>
          <cell r="U289" t="str">
            <v>项       目</v>
          </cell>
          <cell r="V289">
            <v>1</v>
          </cell>
          <cell r="W289">
            <v>7151</v>
          </cell>
          <cell r="X289">
            <v>2</v>
          </cell>
        </row>
        <row r="290">
          <cell r="B290" t="str">
            <v>8d63</v>
          </cell>
          <cell r="C290" t="str">
            <v>其他权益工具（其他）_对所有者的分配</v>
          </cell>
          <cell r="D290">
            <v>-1</v>
          </cell>
          <cell r="E290" t="str">
            <v>OEI</v>
          </cell>
          <cell r="G290" t="str">
            <v>对所有者（或股东）的分配</v>
          </cell>
          <cell r="I290" t="str">
            <v>8d63</v>
          </cell>
          <cell r="J290" t="str">
            <v>J</v>
          </cell>
          <cell r="M290" t="str">
            <v>未分配利润_提取盈余公积</v>
          </cell>
          <cell r="S290" t="str">
            <v>7161x</v>
          </cell>
          <cell r="T290" t="str">
            <v>投资支付的现金计算表</v>
          </cell>
          <cell r="U290" t="str">
            <v>项       目</v>
          </cell>
          <cell r="V290">
            <v>1</v>
          </cell>
          <cell r="W290">
            <v>7161</v>
          </cell>
          <cell r="X290">
            <v>2</v>
          </cell>
        </row>
        <row r="291">
          <cell r="B291" t="str">
            <v>8d66</v>
          </cell>
          <cell r="C291" t="str">
            <v>其他权益工具（其他）_其他利润分配</v>
          </cell>
          <cell r="D291">
            <v>-1</v>
          </cell>
          <cell r="E291" t="str">
            <v>OEI</v>
          </cell>
          <cell r="G291" t="str">
            <v>其他</v>
          </cell>
          <cell r="I291" t="str">
            <v>8d66</v>
          </cell>
          <cell r="J291" t="str">
            <v>J</v>
          </cell>
          <cell r="M291" t="str">
            <v>未分配利润_提取一般风险准备</v>
          </cell>
          <cell r="S291" t="str">
            <v>7211x</v>
          </cell>
          <cell r="T291" t="str">
            <v>取得借款收到的现金计算表</v>
          </cell>
          <cell r="U291" t="str">
            <v>项       目</v>
          </cell>
          <cell r="V291">
            <v>1</v>
          </cell>
          <cell r="W291">
            <v>7211</v>
          </cell>
          <cell r="X291">
            <v>2</v>
          </cell>
        </row>
        <row r="292">
          <cell r="B292" t="str">
            <v>8d70</v>
          </cell>
          <cell r="C292" t="str">
            <v>其他权益工具（其他）_所有者权益内部结转</v>
          </cell>
          <cell r="E292" t="str">
            <v>OEI＝</v>
          </cell>
          <cell r="G292" t="str">
            <v>（四）所有者权益内部结转</v>
          </cell>
          <cell r="I292" t="str">
            <v>8d70</v>
          </cell>
          <cell r="M292" t="str">
            <v>未分配利润_对所有者的分配</v>
          </cell>
          <cell r="S292" t="str">
            <v>7251x</v>
          </cell>
          <cell r="T292" t="str">
            <v>偿还债务支付的现金计算表</v>
          </cell>
          <cell r="U292" t="str">
            <v>项       目</v>
          </cell>
          <cell r="V292">
            <v>1</v>
          </cell>
          <cell r="W292">
            <v>7251</v>
          </cell>
          <cell r="X292">
            <v>2</v>
          </cell>
        </row>
        <row r="293">
          <cell r="B293" t="str">
            <v>8d71</v>
          </cell>
          <cell r="C293" t="str">
            <v>其他权益工具（其他）_资本公积转增资本</v>
          </cell>
          <cell r="D293">
            <v>-1</v>
          </cell>
          <cell r="E293" t="str">
            <v>OEI</v>
          </cell>
          <cell r="G293" t="str">
            <v>资本公积转增资本（或股本）</v>
          </cell>
          <cell r="I293" t="str">
            <v>8d71</v>
          </cell>
          <cell r="J293" t="str">
            <v>J</v>
          </cell>
          <cell r="M293" t="str">
            <v>未分配利润_其他利润分配</v>
          </cell>
          <cell r="S293" t="str">
            <v>7261x</v>
          </cell>
          <cell r="T293" t="str">
            <v>分配利润偿付利息支付的现金计算表</v>
          </cell>
          <cell r="U293" t="str">
            <v>项       目</v>
          </cell>
          <cell r="V293">
            <v>1</v>
          </cell>
          <cell r="W293">
            <v>7261</v>
          </cell>
          <cell r="X293">
            <v>2</v>
          </cell>
        </row>
        <row r="294">
          <cell r="B294" t="str">
            <v>8d72</v>
          </cell>
          <cell r="C294" t="str">
            <v>其他权益工具（其他）_盈余公积转增资本</v>
          </cell>
          <cell r="D294">
            <v>-1</v>
          </cell>
          <cell r="E294" t="str">
            <v>OEI</v>
          </cell>
          <cell r="G294" t="str">
            <v>盈余公积转增资本（或股本）</v>
          </cell>
          <cell r="I294" t="str">
            <v>8d72</v>
          </cell>
          <cell r="J294" t="str">
            <v>J</v>
          </cell>
          <cell r="M294" t="str">
            <v>未分配利润_资本公积转增资本影响权益</v>
          </cell>
          <cell r="S294" t="str">
            <v>7500a</v>
          </cell>
          <cell r="T294" t="str">
            <v>将净利润调节为经营活动现金流量</v>
          </cell>
          <cell r="U294" t="str">
            <v>补充资料</v>
          </cell>
          <cell r="V294">
            <v>-2</v>
          </cell>
          <cell r="X294">
            <v>2</v>
          </cell>
        </row>
        <row r="295">
          <cell r="B295" t="str">
            <v>8d73</v>
          </cell>
          <cell r="C295" t="str">
            <v>其他权益工具（其他）_盈余公积弥补亏损</v>
          </cell>
          <cell r="D295">
            <v>-1</v>
          </cell>
          <cell r="E295" t="str">
            <v>OEI</v>
          </cell>
          <cell r="G295" t="str">
            <v>盈余公积弥补亏损</v>
          </cell>
          <cell r="I295" t="str">
            <v>8d73</v>
          </cell>
          <cell r="J295" t="str">
            <v>J</v>
          </cell>
          <cell r="M295" t="str">
            <v>未分配利润_盈余公积转增资本影响权益</v>
          </cell>
          <cell r="S295" t="str">
            <v>7500b</v>
          </cell>
          <cell r="T295" t="str">
            <v>不涉及现金收支的重大投资和筹资活动</v>
          </cell>
          <cell r="U295" t="str">
            <v>补充资料</v>
          </cell>
          <cell r="V295">
            <v>-2</v>
          </cell>
          <cell r="X295">
            <v>2</v>
          </cell>
        </row>
        <row r="296">
          <cell r="B296" t="str">
            <v>8d75</v>
          </cell>
          <cell r="C296" t="str">
            <v>其他权益工具（其他）_设定受益计划变动额结转留存收益</v>
          </cell>
          <cell r="D296">
            <v>-1</v>
          </cell>
          <cell r="E296" t="str">
            <v>OEI</v>
          </cell>
          <cell r="G296" t="str">
            <v>设定受益计划变动额结转留存收益</v>
          </cell>
          <cell r="I296" t="str">
            <v>8d75</v>
          </cell>
          <cell r="J296" t="str">
            <v>J</v>
          </cell>
          <cell r="M296" t="str">
            <v>未分配利润_盈余公积弥补亏损</v>
          </cell>
          <cell r="S296" t="str">
            <v>7500c</v>
          </cell>
          <cell r="T296" t="str">
            <v>现金及现金等价物净变动情况</v>
          </cell>
          <cell r="U296" t="str">
            <v>补充资料</v>
          </cell>
          <cell r="V296">
            <v>-2</v>
          </cell>
          <cell r="X296">
            <v>2</v>
          </cell>
        </row>
        <row r="297">
          <cell r="B297" t="str">
            <v>8d76</v>
          </cell>
          <cell r="C297" t="str">
            <v>其他权益工具（其他）_所有者权益其他内部结转</v>
          </cell>
          <cell r="D297">
            <v>-1</v>
          </cell>
          <cell r="E297" t="str">
            <v>OEI</v>
          </cell>
          <cell r="G297" t="str">
            <v>其他</v>
          </cell>
          <cell r="I297" t="str">
            <v>8d76</v>
          </cell>
          <cell r="J297" t="str">
            <v>J</v>
          </cell>
          <cell r="M297" t="str">
            <v>未分配利润_设定受益计划变动额结转留存收益</v>
          </cell>
          <cell r="S297" t="str">
            <v>7500g</v>
          </cell>
          <cell r="T297" t="str">
            <v xml:space="preserve">本期支付的取得子公司的现金净额 </v>
          </cell>
          <cell r="U297" t="str">
            <v>项       目</v>
          </cell>
          <cell r="V297">
            <v>-2</v>
          </cell>
          <cell r="X297">
            <v>2</v>
          </cell>
        </row>
        <row r="298">
          <cell r="B298" t="str">
            <v>8d80</v>
          </cell>
          <cell r="C298" t="str">
            <v>其他权益工具（其他）_专项储备影响权益</v>
          </cell>
          <cell r="E298" t="str">
            <v>OEI＝</v>
          </cell>
          <cell r="G298" t="str">
            <v>（五）专项储备</v>
          </cell>
          <cell r="I298" t="str">
            <v>8d80</v>
          </cell>
          <cell r="M298" t="str">
            <v>未分配利润_所有者权益其他内部结转</v>
          </cell>
          <cell r="S298" t="str">
            <v>7500h</v>
          </cell>
          <cell r="T298" t="str">
            <v xml:space="preserve">本期收到的处置子公司的现金净额 </v>
          </cell>
          <cell r="U298" t="str">
            <v>项       目</v>
          </cell>
          <cell r="V298">
            <v>-2</v>
          </cell>
          <cell r="X298">
            <v>2</v>
          </cell>
        </row>
        <row r="299">
          <cell r="B299" t="str">
            <v>8d81</v>
          </cell>
          <cell r="C299" t="str">
            <v>其他权益工具（其他）_专项储备本期提取</v>
          </cell>
          <cell r="D299">
            <v>-1</v>
          </cell>
          <cell r="E299" t="str">
            <v>OEI</v>
          </cell>
          <cell r="G299" t="str">
            <v>本期提取</v>
          </cell>
          <cell r="I299" t="str">
            <v>8d81</v>
          </cell>
          <cell r="J299" t="str">
            <v>J</v>
          </cell>
          <cell r="M299" t="str">
            <v>未分配利润_专项储备本期提取</v>
          </cell>
          <cell r="S299" t="str">
            <v>7500e</v>
          </cell>
          <cell r="T299" t="str">
            <v>现金及现金等价物的构成</v>
          </cell>
          <cell r="U299" t="str">
            <v>项       目</v>
          </cell>
          <cell r="V299">
            <v>-2</v>
          </cell>
          <cell r="X299">
            <v>2</v>
          </cell>
        </row>
        <row r="300">
          <cell r="B300" t="str">
            <v>8d82</v>
          </cell>
          <cell r="C300" t="str">
            <v>其他权益工具（其他）_专项储备本期使用</v>
          </cell>
          <cell r="D300">
            <v>-1</v>
          </cell>
          <cell r="E300" t="str">
            <v>OEI</v>
          </cell>
          <cell r="G300" t="str">
            <v>本期使用</v>
          </cell>
          <cell r="I300" t="str">
            <v>8d82</v>
          </cell>
          <cell r="J300" t="str">
            <v>J</v>
          </cell>
          <cell r="M300" t="str">
            <v>未分配利润_专项储备本期使用</v>
          </cell>
          <cell r="S300" t="str">
            <v>7500f</v>
          </cell>
          <cell r="T300" t="str">
            <v>货币资金与现金及现金等价物的调节</v>
          </cell>
          <cell r="U300" t="str">
            <v>项       目</v>
          </cell>
          <cell r="V300">
            <v>-2</v>
          </cell>
          <cell r="X300">
            <v>2</v>
          </cell>
        </row>
        <row r="301">
          <cell r="B301" t="str">
            <v>8d96</v>
          </cell>
          <cell r="C301" t="str">
            <v>其他权益工具（其他）_本期其他增减变动</v>
          </cell>
          <cell r="D301">
            <v>-1</v>
          </cell>
          <cell r="E301" t="str">
            <v>OEI</v>
          </cell>
          <cell r="G301" t="str">
            <v>（七）其他</v>
          </cell>
          <cell r="I301" t="str">
            <v>8d96</v>
          </cell>
          <cell r="J301" t="str">
            <v>J</v>
          </cell>
          <cell r="M301" t="str">
            <v>未分配利润_本期其他增减变动</v>
          </cell>
          <cell r="S301" t="str">
            <v>7500d</v>
          </cell>
          <cell r="T301" t="str">
            <v>本期取得或处置子公司及其他营业单位的有关信息</v>
          </cell>
          <cell r="U301" t="str">
            <v>项       目</v>
          </cell>
          <cell r="V301">
            <v>-2</v>
          </cell>
          <cell r="X301">
            <v>2</v>
          </cell>
        </row>
        <row r="302">
          <cell r="B302" t="str">
            <v>8d99</v>
          </cell>
          <cell r="C302" t="str">
            <v>其他权益工具（其他）_本期期末余额</v>
          </cell>
          <cell r="E302" t="str">
            <v>OEI＝</v>
          </cell>
          <cell r="G302" t="str">
            <v>四、本期期末余额</v>
          </cell>
          <cell r="I302" t="str">
            <v>8d99</v>
          </cell>
          <cell r="M302" t="str">
            <v>少数股东权益_上年年末余额</v>
          </cell>
          <cell r="S302" t="str">
            <v>7503a</v>
          </cell>
          <cell r="T302" t="str">
            <v>将净利润调节为经营活动现金流量：资产减值准备金额</v>
          </cell>
          <cell r="U302" t="str">
            <v>项       目</v>
          </cell>
          <cell r="V302">
            <v>1</v>
          </cell>
          <cell r="X302">
            <v>9</v>
          </cell>
        </row>
        <row r="303">
          <cell r="B303" t="str">
            <v>8g00</v>
          </cell>
          <cell r="C303" t="str">
            <v>其他综合收益增减变动</v>
          </cell>
          <cell r="E303" t="str">
            <v>：</v>
          </cell>
          <cell r="G303" t="str">
            <v>其他综合收益增减变动</v>
          </cell>
          <cell r="I303" t="str">
            <v>8g00</v>
          </cell>
          <cell r="M303" t="str">
            <v>少数股东权益_会计政策变更调整上年年末余额</v>
          </cell>
          <cell r="S303" t="str">
            <v>7505a</v>
          </cell>
          <cell r="T303" t="str">
            <v>将净利润调节为经营活动现金流量：固定资产折旧、油气资产折耗、生产性生物资产折旧</v>
          </cell>
          <cell r="U303" t="str">
            <v>项       目</v>
          </cell>
          <cell r="V303">
            <v>1</v>
          </cell>
          <cell r="X303">
            <v>9</v>
          </cell>
        </row>
        <row r="304">
          <cell r="B304" t="str">
            <v>8g01</v>
          </cell>
          <cell r="C304" t="str">
            <v>其他综合收益_上年年末余额</v>
          </cell>
          <cell r="D304">
            <v>-1</v>
          </cell>
          <cell r="G304" t="str">
            <v>一、上年年末余额</v>
          </cell>
          <cell r="I304" t="str">
            <v>8g01</v>
          </cell>
          <cell r="J304" t="str">
            <v>J</v>
          </cell>
          <cell r="M304" t="str">
            <v>少数股东权益_前期差错更正调整上年年末余额</v>
          </cell>
          <cell r="S304" t="str">
            <v>7506a</v>
          </cell>
          <cell r="T304" t="str">
            <v>将净利润调节为经营活动现金流量：无形资产摊销</v>
          </cell>
          <cell r="U304" t="str">
            <v>项       目</v>
          </cell>
          <cell r="V304">
            <v>1</v>
          </cell>
          <cell r="X304">
            <v>9</v>
          </cell>
        </row>
        <row r="305">
          <cell r="B305" t="str">
            <v>8g02</v>
          </cell>
          <cell r="C305" t="str">
            <v>其他综合收益_会计政策变更调整上年年末余额</v>
          </cell>
          <cell r="D305">
            <v>-1</v>
          </cell>
          <cell r="G305" t="str">
            <v>加：会计政策变更</v>
          </cell>
          <cell r="I305" t="str">
            <v>8g02</v>
          </cell>
          <cell r="J305" t="str">
            <v>J</v>
          </cell>
          <cell r="M305" t="str">
            <v>少数股东权益_同一控制下企业合并调整上年年末余额</v>
          </cell>
          <cell r="S305" t="str">
            <v>7507a</v>
          </cell>
          <cell r="T305" t="str">
            <v>将净利润调节为经营活动现金流量：长期待摊费用摊销</v>
          </cell>
          <cell r="U305" t="str">
            <v>项       目</v>
          </cell>
          <cell r="V305">
            <v>1</v>
          </cell>
          <cell r="X305">
            <v>9</v>
          </cell>
        </row>
        <row r="306">
          <cell r="B306" t="str">
            <v>8g03</v>
          </cell>
          <cell r="C306" t="str">
            <v>其他综合收益_前期差错更正调整上年年末余额</v>
          </cell>
          <cell r="D306">
            <v>-1</v>
          </cell>
          <cell r="G306" t="str">
            <v>前期差错更正</v>
          </cell>
          <cell r="I306" t="str">
            <v>8g03</v>
          </cell>
          <cell r="J306" t="str">
            <v>J</v>
          </cell>
          <cell r="M306" t="str">
            <v>少数股东权益_其他原因调整上年年末余额</v>
          </cell>
          <cell r="S306" t="str">
            <v>7508a</v>
          </cell>
          <cell r="T306" t="str">
            <v>将净利润调节为经营活动现金流量：处置固定资产、无形资产和其他长期资产的损失</v>
          </cell>
          <cell r="U306" t="str">
            <v>项       目</v>
          </cell>
          <cell r="V306">
            <v>1</v>
          </cell>
          <cell r="X306">
            <v>9</v>
          </cell>
        </row>
        <row r="307">
          <cell r="B307" t="str">
            <v>8g04</v>
          </cell>
          <cell r="C307" t="str">
            <v>其他综合收益_同一控制下企业合并调整上年年末余额</v>
          </cell>
          <cell r="D307">
            <v>-1</v>
          </cell>
          <cell r="E307" t="str">
            <v>※</v>
          </cell>
          <cell r="G307" t="str">
            <v>同一控制下企业合并</v>
          </cell>
          <cell r="I307" t="str">
            <v>8g04</v>
          </cell>
          <cell r="J307" t="str">
            <v>J</v>
          </cell>
          <cell r="M307" t="str">
            <v>少数股东权益_净利润</v>
          </cell>
          <cell r="S307" t="str">
            <v>7509a</v>
          </cell>
          <cell r="T307" t="str">
            <v>将净利润调节为经营活动现金流量：固定资产报废损失</v>
          </cell>
          <cell r="U307" t="str">
            <v>项       目</v>
          </cell>
          <cell r="V307">
            <v>1</v>
          </cell>
          <cell r="X307">
            <v>9</v>
          </cell>
        </row>
        <row r="308">
          <cell r="B308" t="str">
            <v>8g09</v>
          </cell>
          <cell r="C308" t="str">
            <v>其他综合收益_其他原因调整上年年末余额</v>
          </cell>
          <cell r="D308">
            <v>-1</v>
          </cell>
          <cell r="G308" t="str">
            <v>其他</v>
          </cell>
          <cell r="I308" t="str">
            <v>8g09</v>
          </cell>
          <cell r="J308" t="str">
            <v>J</v>
          </cell>
          <cell r="M308" t="str">
            <v>少数股东权益_其他综合收益</v>
          </cell>
          <cell r="S308" t="str">
            <v>7510a</v>
          </cell>
          <cell r="T308" t="str">
            <v>将净利润调节为经营活动现金流量：公允价值变动损失</v>
          </cell>
          <cell r="U308" t="str">
            <v>项       目</v>
          </cell>
          <cell r="V308">
            <v>1</v>
          </cell>
          <cell r="X308">
            <v>9</v>
          </cell>
        </row>
        <row r="309">
          <cell r="B309" t="str">
            <v>8g10</v>
          </cell>
          <cell r="C309" t="str">
            <v>其他综合收益_本年年初余额</v>
          </cell>
          <cell r="E309" t="str">
            <v>＝</v>
          </cell>
          <cell r="G309" t="str">
            <v>二、本年年初余额</v>
          </cell>
          <cell r="I309" t="str">
            <v>8g10</v>
          </cell>
          <cell r="M309" t="str">
            <v>少数股东权益_综合收益总额增加权益</v>
          </cell>
          <cell r="S309" t="str">
            <v>7511a</v>
          </cell>
          <cell r="T309" t="str">
            <v>将净利润调节为经营活动现金流量：财务费用金额</v>
          </cell>
          <cell r="U309" t="str">
            <v>项       目</v>
          </cell>
          <cell r="V309">
            <v>1</v>
          </cell>
          <cell r="X309">
            <v>9</v>
          </cell>
        </row>
        <row r="310">
          <cell r="B310" t="str">
            <v>8g90</v>
          </cell>
          <cell r="C310" t="str">
            <v>其他综合收益_本期增减变动金额</v>
          </cell>
          <cell r="E310" t="str">
            <v>＝</v>
          </cell>
          <cell r="G310" t="str">
            <v>三、本期增减变动金额（减少以“-”号填列）</v>
          </cell>
          <cell r="I310" t="str">
            <v>8g90</v>
          </cell>
          <cell r="M310" t="str">
            <v>少数股东权益_所有者投入资本</v>
          </cell>
          <cell r="S310" t="str">
            <v>7512a</v>
          </cell>
          <cell r="T310" t="str">
            <v>将净利润调节为经营活动现金流量：投资损失</v>
          </cell>
          <cell r="U310" t="str">
            <v>项       目</v>
          </cell>
          <cell r="V310">
            <v>1</v>
          </cell>
          <cell r="X310">
            <v>9</v>
          </cell>
        </row>
        <row r="311">
          <cell r="B311" t="str">
            <v>8g40</v>
          </cell>
          <cell r="C311" t="str">
            <v>其他综合收益_综合收益总额增加权益</v>
          </cell>
          <cell r="D311">
            <v>-1</v>
          </cell>
          <cell r="G311" t="str">
            <v>（一）综合收益总额</v>
          </cell>
          <cell r="I311" t="str">
            <v>8g40</v>
          </cell>
          <cell r="M311" t="str">
            <v>少数股东权益_股份支付</v>
          </cell>
          <cell r="S311" t="str">
            <v>7515a</v>
          </cell>
          <cell r="T311" t="str">
            <v>将净利润调节为经营活动现金流量：递延所得税资产减少</v>
          </cell>
          <cell r="U311" t="str">
            <v>项       目</v>
          </cell>
          <cell r="V311">
            <v>1</v>
          </cell>
          <cell r="X311">
            <v>9</v>
          </cell>
        </row>
        <row r="312">
          <cell r="B312" t="str">
            <v>8g50</v>
          </cell>
          <cell r="C312" t="str">
            <v>其他综合收益_所有者投入和减少资本影响权益</v>
          </cell>
          <cell r="E312" t="str">
            <v>＝</v>
          </cell>
          <cell r="G312" t="str">
            <v>（二）所有者投入和减少资本</v>
          </cell>
          <cell r="I312" t="str">
            <v>8g50</v>
          </cell>
          <cell r="M312" t="str">
            <v>少数股东权益_其他权益工具持有者投入资本</v>
          </cell>
          <cell r="S312" t="str">
            <v>7516a</v>
          </cell>
          <cell r="T312" t="str">
            <v>将净利润调节为经营活动现金流量：递延所得税负债增加</v>
          </cell>
          <cell r="U312" t="str">
            <v>项       目</v>
          </cell>
          <cell r="V312">
            <v>1</v>
          </cell>
          <cell r="X312">
            <v>9</v>
          </cell>
        </row>
        <row r="313">
          <cell r="B313" t="str">
            <v>8g51</v>
          </cell>
          <cell r="C313" t="str">
            <v>其他综合收益_所有者投入资本</v>
          </cell>
          <cell r="D313">
            <v>-1</v>
          </cell>
          <cell r="G313" t="str">
            <v>所有者投入资本</v>
          </cell>
          <cell r="I313" t="str">
            <v>8g51</v>
          </cell>
          <cell r="J313" t="str">
            <v>J</v>
          </cell>
          <cell r="M313" t="str">
            <v>少数股东权益_所有者其他投入和减少资本</v>
          </cell>
          <cell r="S313" t="str">
            <v>7517a</v>
          </cell>
          <cell r="T313" t="str">
            <v>将净利润调节为经营活动现金流量：存货的减少</v>
          </cell>
          <cell r="U313" t="str">
            <v>项       目</v>
          </cell>
          <cell r="V313">
            <v>1</v>
          </cell>
          <cell r="X313">
            <v>9</v>
          </cell>
        </row>
        <row r="314">
          <cell r="B314" t="str">
            <v>8g52</v>
          </cell>
          <cell r="C314" t="str">
            <v>其他综合收益_股份支付</v>
          </cell>
          <cell r="D314">
            <v>-1</v>
          </cell>
          <cell r="G314" t="str">
            <v>股份支付计入所有者权益的金额</v>
          </cell>
          <cell r="I314" t="str">
            <v>8g52</v>
          </cell>
          <cell r="J314" t="str">
            <v>J</v>
          </cell>
          <cell r="M314" t="str">
            <v>少数股东权益_提取盈余公积影响权益</v>
          </cell>
          <cell r="S314" t="str">
            <v>7518a</v>
          </cell>
          <cell r="T314" t="str">
            <v>将净利润调节为经营活动现金流量：经营性应收项目的减少</v>
          </cell>
          <cell r="U314" t="str">
            <v>项       目</v>
          </cell>
          <cell r="V314">
            <v>1</v>
          </cell>
          <cell r="X314">
            <v>9</v>
          </cell>
        </row>
        <row r="315">
          <cell r="B315" t="str">
            <v>8g53</v>
          </cell>
          <cell r="C315" t="str">
            <v>其他综合收益_其他权益工具持有者投入资本</v>
          </cell>
          <cell r="D315">
            <v>-1</v>
          </cell>
          <cell r="E315" t="str">
            <v>OEI</v>
          </cell>
          <cell r="G315" t="str">
            <v>其他权益工具持有者投入资本</v>
          </cell>
          <cell r="I315" t="str">
            <v>8g53</v>
          </cell>
          <cell r="J315" t="str">
            <v>J</v>
          </cell>
          <cell r="M315" t="str">
            <v>少数股东权益_提取一般风险准备影响权益</v>
          </cell>
          <cell r="S315" t="str">
            <v>7519a</v>
          </cell>
          <cell r="T315" t="str">
            <v>将净利润调节为经营活动现金流量：经营性应付项目的增加</v>
          </cell>
          <cell r="U315" t="str">
            <v>项       目</v>
          </cell>
          <cell r="V315">
            <v>1</v>
          </cell>
          <cell r="X315">
            <v>9</v>
          </cell>
        </row>
        <row r="316">
          <cell r="B316" t="str">
            <v>8g56</v>
          </cell>
          <cell r="C316" t="str">
            <v>其他综合收益_所有者其他投入和减少资本</v>
          </cell>
          <cell r="D316">
            <v>-1</v>
          </cell>
          <cell r="G316" t="str">
            <v>其他</v>
          </cell>
          <cell r="I316" t="str">
            <v>8g56</v>
          </cell>
          <cell r="J316" t="str">
            <v>J</v>
          </cell>
          <cell r="M316" t="str">
            <v>少数股东权益_对所有者的分配</v>
          </cell>
          <cell r="S316" t="str">
            <v>7523a</v>
          </cell>
          <cell r="T316" t="str">
            <v>将净利润调节为经营活动现金流量：其他项目</v>
          </cell>
          <cell r="U316" t="str">
            <v>项       目</v>
          </cell>
          <cell r="V316">
            <v>1</v>
          </cell>
          <cell r="X316">
            <v>9</v>
          </cell>
        </row>
        <row r="317">
          <cell r="B317" t="str">
            <v>8g60</v>
          </cell>
          <cell r="C317" t="str">
            <v>其他综合收益_利润分配影响权益</v>
          </cell>
          <cell r="E317" t="str">
            <v>＝</v>
          </cell>
          <cell r="G317" t="str">
            <v>（三）利润分配</v>
          </cell>
          <cell r="I317" t="str">
            <v>8g60</v>
          </cell>
          <cell r="M317" t="str">
            <v>少数股东权益_其他利润分配</v>
          </cell>
          <cell r="S317" t="str">
            <v>9314a</v>
          </cell>
          <cell r="T317" t="str">
            <v>所有者权益变动表项目注释</v>
          </cell>
          <cell r="U317" t="str">
            <v>项       目</v>
          </cell>
          <cell r="V317">
            <v>-2</v>
          </cell>
          <cell r="X317">
            <v>2</v>
          </cell>
        </row>
        <row r="318">
          <cell r="B318" t="str">
            <v>8g61</v>
          </cell>
          <cell r="C318" t="str">
            <v>其他综合收益_提取盈余公积</v>
          </cell>
          <cell r="D318">
            <v>-1</v>
          </cell>
          <cell r="G318" t="str">
            <v>提取盈余公积</v>
          </cell>
          <cell r="I318" t="str">
            <v>8g61</v>
          </cell>
          <cell r="J318" t="str">
            <v>J</v>
          </cell>
          <cell r="M318" t="str">
            <v>少数股东权益_资本公积转增资本影响权益</v>
          </cell>
          <cell r="S318" t="str">
            <v>1997a</v>
          </cell>
          <cell r="T318" t="str">
            <v>所有权或使用权受到限制的资产</v>
          </cell>
          <cell r="U318" t="str">
            <v>所有权受到限制的资产类别</v>
          </cell>
          <cell r="V318">
            <v>-2</v>
          </cell>
          <cell r="X318">
            <v>2</v>
          </cell>
        </row>
        <row r="319">
          <cell r="B319" t="str">
            <v>8g62</v>
          </cell>
          <cell r="C319" t="str">
            <v>其他综合收益_提取一般风险准备</v>
          </cell>
          <cell r="D319">
            <v>-1</v>
          </cell>
          <cell r="G319" t="str">
            <v>提取一般风险准备</v>
          </cell>
          <cell r="I319" t="str">
            <v>8g62</v>
          </cell>
          <cell r="J319" t="str">
            <v>J</v>
          </cell>
          <cell r="M319" t="str">
            <v>少数股东权益_盈余公积转增资本影响权益</v>
          </cell>
          <cell r="S319" t="str">
            <v>1704a</v>
          </cell>
          <cell r="T319" t="str">
            <v>外币货币性项目</v>
          </cell>
          <cell r="U319" t="str">
            <v>项       目</v>
          </cell>
          <cell r="V319">
            <v>-2</v>
          </cell>
          <cell r="X319">
            <v>2</v>
          </cell>
        </row>
        <row r="320">
          <cell r="B320" t="str">
            <v>8g63</v>
          </cell>
          <cell r="C320" t="str">
            <v>其他综合收益_对所有者的分配</v>
          </cell>
          <cell r="D320">
            <v>-1</v>
          </cell>
          <cell r="G320" t="str">
            <v>对所有者（或股东）的分配</v>
          </cell>
          <cell r="I320" t="str">
            <v>8g63</v>
          </cell>
          <cell r="J320" t="str">
            <v>J</v>
          </cell>
          <cell r="M320" t="str">
            <v>少数股东权益_盈余公积弥补亏损影响权益</v>
          </cell>
          <cell r="S320" t="str">
            <v>9325a</v>
          </cell>
          <cell r="T320" t="str">
            <v>本集团持有的计息金融工具</v>
          </cell>
          <cell r="U320" t="str">
            <v>项       目</v>
          </cell>
          <cell r="V320">
            <v>-2</v>
          </cell>
          <cell r="X320">
            <v>2</v>
          </cell>
        </row>
        <row r="321">
          <cell r="B321" t="str">
            <v>8g66</v>
          </cell>
          <cell r="C321" t="str">
            <v>其他综合收益_其他利润分配</v>
          </cell>
          <cell r="D321">
            <v>-1</v>
          </cell>
          <cell r="G321" t="str">
            <v>其他</v>
          </cell>
          <cell r="I321" t="str">
            <v>8g66</v>
          </cell>
          <cell r="J321" t="str">
            <v>J</v>
          </cell>
          <cell r="M321" t="str">
            <v>少数股东权益_设定受益计划变动额结转留存收益</v>
          </cell>
          <cell r="S321" t="str">
            <v>9325e</v>
          </cell>
          <cell r="T321" t="str">
            <v>期末本集团持有的金融资产和金融负债按未折现剩余合同现金流量的到期期限分析</v>
          </cell>
          <cell r="U321" t="str">
            <v>项       目</v>
          </cell>
          <cell r="V321">
            <v>-2</v>
          </cell>
          <cell r="X321">
            <v>2</v>
          </cell>
        </row>
        <row r="322">
          <cell r="B322" t="str">
            <v>8g70</v>
          </cell>
          <cell r="C322" t="str">
            <v>其他综合收益_所有者权益内部结转</v>
          </cell>
          <cell r="E322" t="str">
            <v>＝</v>
          </cell>
          <cell r="G322" t="str">
            <v>（四）所有者权益内部结转</v>
          </cell>
          <cell r="I322" t="str">
            <v>8g70</v>
          </cell>
          <cell r="M322" t="str">
            <v>少数股东权益_所有者权益其他内部结转</v>
          </cell>
          <cell r="S322" t="str">
            <v>9325f</v>
          </cell>
          <cell r="T322" t="str">
            <v>期初本集团持有的金融资产和金融负债按未折现剩余合同现金流量的到期期限分析</v>
          </cell>
          <cell r="U322" t="str">
            <v>项       目</v>
          </cell>
          <cell r="V322">
            <v>-2</v>
          </cell>
          <cell r="X322">
            <v>2</v>
          </cell>
        </row>
        <row r="323">
          <cell r="B323" t="str">
            <v>8g71</v>
          </cell>
          <cell r="C323" t="str">
            <v>其他综合收益_资本公积转增资本</v>
          </cell>
          <cell r="D323">
            <v>-1</v>
          </cell>
          <cell r="G323" t="str">
            <v>资本公积转增资本（或股本）</v>
          </cell>
          <cell r="I323" t="str">
            <v>8g71</v>
          </cell>
          <cell r="J323" t="str">
            <v>J</v>
          </cell>
          <cell r="M323" t="str">
            <v>少数股东权益_专项储备本期提取</v>
          </cell>
          <cell r="S323" t="str">
            <v>9331a</v>
          </cell>
          <cell r="T323" t="str">
            <v>以公允价值计量的项目和金额</v>
          </cell>
          <cell r="U323" t="str">
            <v>项       目</v>
          </cell>
          <cell r="V323">
            <v>-2</v>
          </cell>
          <cell r="X323">
            <v>2</v>
          </cell>
        </row>
        <row r="324">
          <cell r="B324" t="str">
            <v>8g72</v>
          </cell>
          <cell r="C324" t="str">
            <v>其他综合收益_盈余公积转增资本</v>
          </cell>
          <cell r="D324">
            <v>-1</v>
          </cell>
          <cell r="G324" t="str">
            <v>盈余公积转增资本（或股本）</v>
          </cell>
          <cell r="I324" t="str">
            <v>8g72</v>
          </cell>
          <cell r="J324" t="str">
            <v>J</v>
          </cell>
          <cell r="M324" t="str">
            <v>少数股东权益_专项储备本期使用</v>
          </cell>
          <cell r="S324" t="str">
            <v>9331b</v>
          </cell>
          <cell r="T324" t="str">
            <v>不以公允价值计量但披露其公允价值的项目和金额（期末）</v>
          </cell>
          <cell r="U324" t="str">
            <v>项       目</v>
          </cell>
          <cell r="V324">
            <v>-2</v>
          </cell>
          <cell r="X324">
            <v>2</v>
          </cell>
        </row>
        <row r="325">
          <cell r="B325" t="str">
            <v>8g73</v>
          </cell>
          <cell r="C325" t="str">
            <v>其他综合收益_盈余公积弥补亏损</v>
          </cell>
          <cell r="D325">
            <v>-1</v>
          </cell>
          <cell r="G325" t="str">
            <v>盈余公积弥补亏损</v>
          </cell>
          <cell r="I325" t="str">
            <v>8g73</v>
          </cell>
          <cell r="J325" t="str">
            <v>J</v>
          </cell>
          <cell r="M325" t="str">
            <v>少数股东权益_本期其他增减变动</v>
          </cell>
          <cell r="S325" t="str">
            <v>9331c</v>
          </cell>
          <cell r="T325" t="str">
            <v>不以公允价值计量但披露其公允价值的项目和金额（期初）</v>
          </cell>
          <cell r="U325" t="str">
            <v>项       目</v>
          </cell>
          <cell r="V325">
            <v>-2</v>
          </cell>
          <cell r="X325">
            <v>2</v>
          </cell>
        </row>
        <row r="326">
          <cell r="B326" t="str">
            <v>8g75</v>
          </cell>
          <cell r="C326" t="str">
            <v>其他综合收益_设定受益计划变动额结转留存收益</v>
          </cell>
          <cell r="D326">
            <v>-1</v>
          </cell>
          <cell r="E326" t="str">
            <v>OEI</v>
          </cell>
          <cell r="G326" t="str">
            <v>设定受益计划变动额结转留存收益</v>
          </cell>
          <cell r="I326" t="str">
            <v>8g75</v>
          </cell>
          <cell r="J326" t="str">
            <v>J</v>
          </cell>
          <cell r="M326" t="str">
            <v>其他权益工具（优先股）_上年年末余额</v>
          </cell>
          <cell r="S326" t="str">
            <v>9331d</v>
          </cell>
          <cell r="T326" t="str">
            <v>第三层次公允价值计量中使用的重要的不可观察输入值的量化信息</v>
          </cell>
          <cell r="U326" t="str">
            <v>项       目</v>
          </cell>
          <cell r="V326">
            <v>-2</v>
          </cell>
          <cell r="X326">
            <v>2</v>
          </cell>
        </row>
        <row r="327">
          <cell r="B327" t="str">
            <v>8g76</v>
          </cell>
          <cell r="C327" t="str">
            <v>其他综合收益_所有者权益其他内部结转</v>
          </cell>
          <cell r="D327">
            <v>-1</v>
          </cell>
          <cell r="G327" t="str">
            <v>其他</v>
          </cell>
          <cell r="I327" t="str">
            <v>8g76</v>
          </cell>
          <cell r="J327" t="str">
            <v>J</v>
          </cell>
          <cell r="M327" t="str">
            <v>其他权益工具（优先股）_会计政策变更调整上年年末余额</v>
          </cell>
          <cell r="S327" t="str">
            <v>9331e</v>
          </cell>
          <cell r="T327" t="str">
            <v>归入公允价值层级第三层次的公允价值计量的调节表（本期）</v>
          </cell>
          <cell r="U327" t="str">
            <v>项       目</v>
          </cell>
          <cell r="V327">
            <v>-2</v>
          </cell>
          <cell r="X327">
            <v>2</v>
          </cell>
        </row>
        <row r="328">
          <cell r="B328" t="str">
            <v>8g80</v>
          </cell>
          <cell r="C328" t="str">
            <v>其他综合收益_专项储备影响权益</v>
          </cell>
          <cell r="E328" t="str">
            <v>＝</v>
          </cell>
          <cell r="G328" t="str">
            <v>（五）专项储备</v>
          </cell>
          <cell r="I328" t="str">
            <v>8g80</v>
          </cell>
          <cell r="M328" t="str">
            <v>其他权益工具（优先股）_前期差错更正调整上年年末余额</v>
          </cell>
          <cell r="S328" t="str">
            <v>9331f</v>
          </cell>
          <cell r="T328" t="str">
            <v>计入当前损益的利得和损失中与金融资产和非金融资产有关的损益信息（本期）</v>
          </cell>
          <cell r="U328" t="str">
            <v>项       目</v>
          </cell>
          <cell r="V328">
            <v>-2</v>
          </cell>
          <cell r="X328">
            <v>2</v>
          </cell>
        </row>
        <row r="329">
          <cell r="B329" t="str">
            <v>8g81</v>
          </cell>
          <cell r="C329" t="str">
            <v>其他综合收益_专项储备本期提取</v>
          </cell>
          <cell r="D329">
            <v>-1</v>
          </cell>
          <cell r="G329" t="str">
            <v>本期提取</v>
          </cell>
          <cell r="I329" t="str">
            <v>8g81</v>
          </cell>
          <cell r="J329" t="str">
            <v>J</v>
          </cell>
          <cell r="M329" t="str">
            <v>其他权益工具（优先股）_同一控制下企业合并调整上年年末余额</v>
          </cell>
          <cell r="S329" t="str">
            <v>9331g</v>
          </cell>
          <cell r="T329" t="str">
            <v>归入公允价值层级第三层次的公允价值计量的调节表（上期）</v>
          </cell>
          <cell r="U329" t="str">
            <v>项       目</v>
          </cell>
          <cell r="V329">
            <v>-2</v>
          </cell>
          <cell r="X329">
            <v>2</v>
          </cell>
        </row>
        <row r="330">
          <cell r="B330" t="str">
            <v>8g82</v>
          </cell>
          <cell r="C330" t="str">
            <v>其他综合收益_专项储备本期使用</v>
          </cell>
          <cell r="D330">
            <v>-1</v>
          </cell>
          <cell r="G330" t="str">
            <v>本期使用</v>
          </cell>
          <cell r="I330" t="str">
            <v>8g82</v>
          </cell>
          <cell r="J330" t="str">
            <v>J</v>
          </cell>
          <cell r="M330" t="str">
            <v>其他权益工具（优先股）_其他原因调整上年年末余额</v>
          </cell>
          <cell r="S330" t="str">
            <v>9331h</v>
          </cell>
          <cell r="T330" t="str">
            <v>计入当前损益的利得和损失中与金融资产和非金融资产有关的损益信息（上期）</v>
          </cell>
          <cell r="U330" t="str">
            <v>项       目</v>
          </cell>
          <cell r="V330">
            <v>-2</v>
          </cell>
          <cell r="X330">
            <v>2</v>
          </cell>
        </row>
        <row r="331">
          <cell r="B331" t="str">
            <v>8g96</v>
          </cell>
          <cell r="C331" t="str">
            <v>其他综合收益_本期其他增减变动</v>
          </cell>
          <cell r="D331">
            <v>-1</v>
          </cell>
          <cell r="G331" t="str">
            <v>（七）其他</v>
          </cell>
          <cell r="I331" t="str">
            <v>8g96</v>
          </cell>
          <cell r="J331" t="str">
            <v>J</v>
          </cell>
          <cell r="M331" t="str">
            <v>其他权益工具（优先股）_综合收益总额增加权益</v>
          </cell>
          <cell r="S331" t="str">
            <v>9120c</v>
          </cell>
          <cell r="T331" t="str">
            <v>关联托管、承包情况——公司受托管理、承包</v>
          </cell>
          <cell r="U331" t="str">
            <v>项       目</v>
          </cell>
          <cell r="V331">
            <v>-2</v>
          </cell>
          <cell r="X331">
            <v>2</v>
          </cell>
        </row>
        <row r="332">
          <cell r="B332" t="str">
            <v>8g99</v>
          </cell>
          <cell r="C332" t="str">
            <v>其他综合收益_本期期末余额</v>
          </cell>
          <cell r="E332" t="str">
            <v>＝</v>
          </cell>
          <cell r="G332" t="str">
            <v>四、本期期末余额</v>
          </cell>
          <cell r="I332" t="str">
            <v>8g99</v>
          </cell>
          <cell r="M332" t="str">
            <v>其他权益工具（优先股）_所有者投入资本</v>
          </cell>
          <cell r="S332" t="str">
            <v>9120d</v>
          </cell>
          <cell r="T332" t="str">
            <v>关联托管、承包情况——公司委托管理、出包</v>
          </cell>
          <cell r="U332" t="str">
            <v>项       目</v>
          </cell>
          <cell r="V332">
            <v>-2</v>
          </cell>
          <cell r="X332">
            <v>2</v>
          </cell>
        </row>
        <row r="333">
          <cell r="B333">
            <v>8200</v>
          </cell>
          <cell r="C333" t="str">
            <v>资本公积增减变动</v>
          </cell>
          <cell r="E333" t="str">
            <v>：</v>
          </cell>
          <cell r="G333" t="str">
            <v>资本公积增减变动</v>
          </cell>
          <cell r="I333">
            <v>8200</v>
          </cell>
          <cell r="M333" t="str">
            <v>其他权益工具（优先股）_股份支付</v>
          </cell>
          <cell r="S333" t="str">
            <v>9120e</v>
          </cell>
          <cell r="T333" t="str">
            <v>关联租赁情况——公司出租</v>
          </cell>
          <cell r="U333" t="str">
            <v>项       目</v>
          </cell>
          <cell r="V333">
            <v>-2</v>
          </cell>
          <cell r="X333">
            <v>2</v>
          </cell>
        </row>
        <row r="334">
          <cell r="B334">
            <v>8201</v>
          </cell>
          <cell r="C334" t="str">
            <v>资本公积_上年年末余额</v>
          </cell>
          <cell r="D334">
            <v>-1</v>
          </cell>
          <cell r="F334">
            <v>5210</v>
          </cell>
          <cell r="G334" t="str">
            <v>一、上年年末余额</v>
          </cell>
          <cell r="I334">
            <v>8201</v>
          </cell>
          <cell r="J334" t="str">
            <v>J</v>
          </cell>
          <cell r="M334" t="str">
            <v>其他权益工具（优先股）_其他权益工具持有者投入资本</v>
          </cell>
          <cell r="S334" t="str">
            <v>9120f</v>
          </cell>
          <cell r="T334" t="str">
            <v>关联租赁情况——公司承租</v>
          </cell>
          <cell r="U334" t="str">
            <v>项       目</v>
          </cell>
          <cell r="V334">
            <v>-2</v>
          </cell>
          <cell r="X334">
            <v>2</v>
          </cell>
        </row>
        <row r="335">
          <cell r="B335">
            <v>8202</v>
          </cell>
          <cell r="C335" t="str">
            <v>资本公积_会计政策变更调整上年年末余额</v>
          </cell>
          <cell r="D335">
            <v>-1</v>
          </cell>
          <cell r="F335">
            <v>5210</v>
          </cell>
          <cell r="G335" t="str">
            <v>加：会计政策变更</v>
          </cell>
          <cell r="I335">
            <v>8202</v>
          </cell>
          <cell r="J335" t="str">
            <v>J</v>
          </cell>
          <cell r="M335" t="str">
            <v>其他权益工具（优先股）_所有者其他投入和减少资本</v>
          </cell>
          <cell r="S335" t="str">
            <v>9120g</v>
          </cell>
          <cell r="T335" t="str">
            <v>关联担保情况——本集团作为担保方</v>
          </cell>
          <cell r="U335" t="str">
            <v>项       目</v>
          </cell>
          <cell r="V335">
            <v>-2</v>
          </cell>
          <cell r="X335">
            <v>2</v>
          </cell>
        </row>
        <row r="336">
          <cell r="B336">
            <v>8203</v>
          </cell>
          <cell r="C336" t="str">
            <v>资本公积_前期差错更正调整上年年末余额</v>
          </cell>
          <cell r="D336">
            <v>-1</v>
          </cell>
          <cell r="F336">
            <v>5210</v>
          </cell>
          <cell r="G336" t="str">
            <v>前期差错更正</v>
          </cell>
          <cell r="I336">
            <v>8203</v>
          </cell>
          <cell r="J336" t="str">
            <v>J</v>
          </cell>
          <cell r="M336" t="str">
            <v>其他权益工具（优先股）_提取盈余公积</v>
          </cell>
          <cell r="S336" t="str">
            <v>9120h</v>
          </cell>
          <cell r="T336" t="str">
            <v>关联担保情况——本集团作为被担保方</v>
          </cell>
          <cell r="U336" t="str">
            <v>项       目</v>
          </cell>
          <cell r="V336">
            <v>-2</v>
          </cell>
          <cell r="X336">
            <v>2</v>
          </cell>
        </row>
        <row r="337">
          <cell r="B337">
            <v>8204</v>
          </cell>
          <cell r="C337" t="str">
            <v>资本公积_同一控制下企业合并调整上年年末余额</v>
          </cell>
          <cell r="D337">
            <v>-1</v>
          </cell>
          <cell r="E337" t="str">
            <v>※</v>
          </cell>
          <cell r="F337">
            <v>5210</v>
          </cell>
          <cell r="G337" t="str">
            <v>同一控制下企业合并</v>
          </cell>
          <cell r="I337">
            <v>8204</v>
          </cell>
          <cell r="J337" t="str">
            <v>J</v>
          </cell>
          <cell r="M337" t="str">
            <v>其他权益工具（优先股）_提取一般风险准备</v>
          </cell>
          <cell r="S337" t="str">
            <v>9120i</v>
          </cell>
          <cell r="T337" t="str">
            <v>关联方资金拆借情况——拆入</v>
          </cell>
          <cell r="U337" t="str">
            <v>项       目</v>
          </cell>
          <cell r="V337">
            <v>-2</v>
          </cell>
          <cell r="X337">
            <v>2</v>
          </cell>
        </row>
        <row r="338">
          <cell r="B338">
            <v>8209</v>
          </cell>
          <cell r="C338" t="str">
            <v>资本公积_其他原因调整上年年末余额</v>
          </cell>
          <cell r="D338">
            <v>-1</v>
          </cell>
          <cell r="F338">
            <v>5210</v>
          </cell>
          <cell r="G338" t="str">
            <v>其他</v>
          </cell>
          <cell r="I338">
            <v>8209</v>
          </cell>
          <cell r="J338" t="str">
            <v>J</v>
          </cell>
          <cell r="M338" t="str">
            <v>其他权益工具（优先股）_对所有者的分配</v>
          </cell>
          <cell r="S338" t="str">
            <v>9120j</v>
          </cell>
          <cell r="T338" t="str">
            <v>关联方资金拆借情况——拆出</v>
          </cell>
          <cell r="U338" t="str">
            <v>项       目</v>
          </cell>
          <cell r="V338">
            <v>-2</v>
          </cell>
          <cell r="X338">
            <v>2</v>
          </cell>
        </row>
        <row r="339">
          <cell r="B339">
            <v>8210</v>
          </cell>
          <cell r="C339" t="str">
            <v>资本公积_本年年初余额</v>
          </cell>
          <cell r="E339" t="str">
            <v>＝</v>
          </cell>
          <cell r="G339" t="str">
            <v>二、本年年初余额</v>
          </cell>
          <cell r="I339">
            <v>8210</v>
          </cell>
          <cell r="M339" t="str">
            <v>其他权益工具（优先股）_其他利润分配</v>
          </cell>
          <cell r="S339" t="str">
            <v>9120k</v>
          </cell>
          <cell r="T339" t="str">
            <v>关联方资产转让、债务重组情况</v>
          </cell>
          <cell r="U339" t="str">
            <v>项       目</v>
          </cell>
          <cell r="V339">
            <v>-2</v>
          </cell>
          <cell r="X339">
            <v>2</v>
          </cell>
        </row>
        <row r="340">
          <cell r="B340">
            <v>8290</v>
          </cell>
          <cell r="C340" t="str">
            <v>资本公积_本期增减变动金额</v>
          </cell>
          <cell r="E340" t="str">
            <v>＝</v>
          </cell>
          <cell r="G340" t="str">
            <v>三、本期增减变动金额（减少以“-”号填列）</v>
          </cell>
          <cell r="I340">
            <v>8290</v>
          </cell>
          <cell r="M340" t="str">
            <v>其他权益工具（优先股）_资本公积转增资本</v>
          </cell>
          <cell r="S340" t="str">
            <v>9120l</v>
          </cell>
          <cell r="T340" t="str">
            <v>关键管理人员薪酬情况</v>
          </cell>
          <cell r="U340" t="str">
            <v>项       目</v>
          </cell>
          <cell r="V340">
            <v>-2</v>
          </cell>
          <cell r="X340">
            <v>2</v>
          </cell>
        </row>
        <row r="341">
          <cell r="B341">
            <v>8230</v>
          </cell>
          <cell r="C341" t="str">
            <v>资本公积_其他综合收益</v>
          </cell>
          <cell r="D341">
            <v>-1</v>
          </cell>
          <cell r="F341">
            <v>5210</v>
          </cell>
          <cell r="G341" t="str">
            <v>（二）其他综合收益</v>
          </cell>
          <cell r="I341">
            <v>8230</v>
          </cell>
          <cell r="J341" t="str">
            <v>J</v>
          </cell>
          <cell r="M341" t="str">
            <v>其他权益工具（优先股）_盈余公积转增资本</v>
          </cell>
          <cell r="S341" t="str">
            <v>9367a</v>
          </cell>
          <cell r="T341" t="str">
            <v>其他重要事项（终止经营）</v>
          </cell>
          <cell r="U341" t="str">
            <v>项       目</v>
          </cell>
          <cell r="V341">
            <v>-2</v>
          </cell>
          <cell r="X341">
            <v>2</v>
          </cell>
        </row>
        <row r="342">
          <cell r="B342">
            <v>8240</v>
          </cell>
          <cell r="C342" t="str">
            <v>资本公积_综合收益总额增加权益</v>
          </cell>
          <cell r="D342">
            <v>-1</v>
          </cell>
          <cell r="G342" t="str">
            <v>（一）综合收益总额</v>
          </cell>
          <cell r="I342">
            <v>8240</v>
          </cell>
          <cell r="J342" t="str">
            <v>J</v>
          </cell>
          <cell r="M342" t="str">
            <v>其他权益工具（优先股）_盈余公积弥补亏损</v>
          </cell>
          <cell r="S342" t="str">
            <v>9371e</v>
          </cell>
          <cell r="T342" t="str">
            <v>政府补助按种类列示</v>
          </cell>
          <cell r="U342" t="str">
            <v>种       类</v>
          </cell>
          <cell r="V342">
            <v>-2</v>
          </cell>
          <cell r="X342">
            <v>2</v>
          </cell>
        </row>
        <row r="343">
          <cell r="B343">
            <v>8250</v>
          </cell>
          <cell r="C343" t="str">
            <v>资本公积_所有者投入和减少资本影响权益</v>
          </cell>
          <cell r="E343" t="str">
            <v>＝</v>
          </cell>
          <cell r="G343" t="str">
            <v>（二）所有者投入和减少资本</v>
          </cell>
          <cell r="I343">
            <v>8250</v>
          </cell>
          <cell r="M343" t="str">
            <v>其他权益工具（优先股）_设定受益计划变动额结转留存收益</v>
          </cell>
          <cell r="S343" t="str">
            <v>9371a</v>
          </cell>
          <cell r="T343" t="str">
            <v>计入递延收益的政府补助，后续采用总额法计量</v>
          </cell>
          <cell r="U343" t="str">
            <v>项       目</v>
          </cell>
          <cell r="V343">
            <v>-2</v>
          </cell>
          <cell r="X343">
            <v>2</v>
          </cell>
        </row>
        <row r="344">
          <cell r="B344">
            <v>8251</v>
          </cell>
          <cell r="C344" t="str">
            <v>资本公积_所有者投入资本</v>
          </cell>
          <cell r="D344">
            <v>-1</v>
          </cell>
          <cell r="F344">
            <v>5210</v>
          </cell>
          <cell r="G344" t="str">
            <v>所有者投入资本</v>
          </cell>
          <cell r="I344">
            <v>8251</v>
          </cell>
          <cell r="J344" t="str">
            <v>J</v>
          </cell>
          <cell r="M344" t="str">
            <v>其他权益工具（优先股）_所有者权益其他内部结转</v>
          </cell>
          <cell r="S344" t="str">
            <v>9371b</v>
          </cell>
          <cell r="T344" t="str">
            <v>计入递延收益的政府补助，后续采用净额法计量</v>
          </cell>
          <cell r="U344" t="str">
            <v>项       目</v>
          </cell>
          <cell r="V344">
            <v>-2</v>
          </cell>
          <cell r="X344">
            <v>2</v>
          </cell>
        </row>
        <row r="345">
          <cell r="B345">
            <v>8252</v>
          </cell>
          <cell r="C345" t="str">
            <v>资本公积_股份支付</v>
          </cell>
          <cell r="D345">
            <v>-1</v>
          </cell>
          <cell r="F345">
            <v>5210</v>
          </cell>
          <cell r="G345" t="str">
            <v>股份支付计入所有者权益的金额</v>
          </cell>
          <cell r="I345">
            <v>8252</v>
          </cell>
          <cell r="J345" t="str">
            <v>J</v>
          </cell>
          <cell r="M345" t="str">
            <v>其他权益工具（优先股）_专项储备本期提取</v>
          </cell>
          <cell r="S345" t="str">
            <v>9371c</v>
          </cell>
          <cell r="T345" t="str">
            <v>采用总额法计入当期损益的政府补助情况</v>
          </cell>
          <cell r="U345" t="str">
            <v>项       目</v>
          </cell>
          <cell r="V345">
            <v>-2</v>
          </cell>
          <cell r="X345">
            <v>2</v>
          </cell>
        </row>
        <row r="346">
          <cell r="B346">
            <v>8253</v>
          </cell>
          <cell r="C346" t="str">
            <v>资本公积_其他权益工具持有者投入资本</v>
          </cell>
          <cell r="D346">
            <v>-1</v>
          </cell>
          <cell r="E346" t="str">
            <v>OEI</v>
          </cell>
          <cell r="F346">
            <v>5210</v>
          </cell>
          <cell r="G346" t="str">
            <v>其他权益工具持有者投入资本</v>
          </cell>
          <cell r="I346">
            <v>8253</v>
          </cell>
          <cell r="J346" t="str">
            <v>J</v>
          </cell>
          <cell r="M346" t="str">
            <v>其他权益工具（优先股）_专项储备本期使用</v>
          </cell>
          <cell r="S346" t="str">
            <v>9371f</v>
          </cell>
          <cell r="T346" t="str">
            <v>采用总额法计入当期损益的政府补助本年返还情况</v>
          </cell>
          <cell r="U346" t="str">
            <v>项       目</v>
          </cell>
          <cell r="V346">
            <v>-2</v>
          </cell>
          <cell r="X346">
            <v>2</v>
          </cell>
        </row>
        <row r="347">
          <cell r="B347">
            <v>8256</v>
          </cell>
          <cell r="C347" t="str">
            <v>资本公积_所有者其他投入和减少资本</v>
          </cell>
          <cell r="D347">
            <v>-1</v>
          </cell>
          <cell r="F347">
            <v>5210</v>
          </cell>
          <cell r="G347" t="str">
            <v>其他</v>
          </cell>
          <cell r="I347">
            <v>8256</v>
          </cell>
          <cell r="J347" t="str">
            <v>J</v>
          </cell>
          <cell r="M347" t="str">
            <v>其他权益工具（优先股）_本期其他增减变动</v>
          </cell>
          <cell r="S347" t="str">
            <v>9371d</v>
          </cell>
          <cell r="T347" t="str">
            <v>采用净额法冲减相关成本的政府补助情况</v>
          </cell>
          <cell r="U347" t="str">
            <v>项       目</v>
          </cell>
          <cell r="V347">
            <v>-2</v>
          </cell>
          <cell r="X347">
            <v>2</v>
          </cell>
        </row>
        <row r="348">
          <cell r="B348">
            <v>8260</v>
          </cell>
          <cell r="C348" t="str">
            <v>资本公积_利润分配影响权益</v>
          </cell>
          <cell r="E348" t="str">
            <v>＝</v>
          </cell>
          <cell r="G348" t="str">
            <v>（三）利润分配</v>
          </cell>
          <cell r="I348">
            <v>8260</v>
          </cell>
          <cell r="M348" t="str">
            <v>其他权益工具（永续债）_上年年末余额</v>
          </cell>
          <cell r="S348" t="str">
            <v>9371g</v>
          </cell>
          <cell r="T348" t="str">
            <v>采用净额法冲减相关成本的政府补助本年返还情况</v>
          </cell>
          <cell r="U348" t="str">
            <v>项       目</v>
          </cell>
          <cell r="V348">
            <v>-2</v>
          </cell>
          <cell r="X348">
            <v>2</v>
          </cell>
        </row>
        <row r="349">
          <cell r="B349">
            <v>8266</v>
          </cell>
          <cell r="C349" t="str">
            <v>资本公积_其他利润分配</v>
          </cell>
          <cell r="D349">
            <v>-1</v>
          </cell>
          <cell r="F349">
            <v>5210</v>
          </cell>
          <cell r="G349" t="str">
            <v>其他</v>
          </cell>
          <cell r="I349">
            <v>8266</v>
          </cell>
          <cell r="J349" t="str">
            <v>J</v>
          </cell>
          <cell r="M349" t="str">
            <v>其他权益工具（永续债）_会计政策变更调整上年年末余额</v>
          </cell>
          <cell r="S349" t="str">
            <v>9601a</v>
          </cell>
          <cell r="T349" t="str">
            <v>当期非经常性损益明细表</v>
          </cell>
          <cell r="U349" t="str">
            <v>项       目</v>
          </cell>
          <cell r="V349">
            <v>-2</v>
          </cell>
          <cell r="X349">
            <v>2</v>
          </cell>
        </row>
        <row r="350">
          <cell r="B350">
            <v>8270</v>
          </cell>
          <cell r="C350" t="str">
            <v>资本公积_所有者权益内部结转</v>
          </cell>
          <cell r="E350" t="str">
            <v>＝</v>
          </cell>
          <cell r="G350" t="str">
            <v>（四）所有者权益内部结转</v>
          </cell>
          <cell r="I350">
            <v>8270</v>
          </cell>
          <cell r="M350" t="str">
            <v>其他权益工具（永续债）_前期差错更正调整上年年末余额</v>
          </cell>
          <cell r="S350" t="str">
            <v>9601c</v>
          </cell>
          <cell r="T350" t="str">
            <v>将证监会公告列举的非经常性损益项目界定为经常性项目的说明</v>
          </cell>
          <cell r="U350" t="str">
            <v>项       目</v>
          </cell>
          <cell r="V350">
            <v>-2</v>
          </cell>
          <cell r="X350">
            <v>2</v>
          </cell>
        </row>
        <row r="351">
          <cell r="B351">
            <v>8271</v>
          </cell>
          <cell r="C351" t="str">
            <v>资本公积_转增资本</v>
          </cell>
          <cell r="D351">
            <v>-1</v>
          </cell>
          <cell r="F351">
            <v>5210</v>
          </cell>
          <cell r="G351" t="str">
            <v>资本公积转增资本（或股本）</v>
          </cell>
          <cell r="I351">
            <v>8271</v>
          </cell>
          <cell r="J351" t="str">
            <v>J</v>
          </cell>
          <cell r="M351" t="str">
            <v>其他权益工具（永续债）_同一控制下企业合并调整上年年末余额</v>
          </cell>
          <cell r="S351" t="str">
            <v>9601b</v>
          </cell>
          <cell r="T351" t="str">
            <v>其他符合非经常性损益定义的损益项目</v>
          </cell>
          <cell r="U351" t="str">
            <v>项       目</v>
          </cell>
          <cell r="V351">
            <v>-2</v>
          </cell>
          <cell r="X351">
            <v>2</v>
          </cell>
        </row>
        <row r="352">
          <cell r="B352">
            <v>8275</v>
          </cell>
          <cell r="C352" t="str">
            <v>资本公积_设定受益计划变动额结转留存收益</v>
          </cell>
          <cell r="D352">
            <v>-1</v>
          </cell>
          <cell r="E352" t="str">
            <v>OEI</v>
          </cell>
          <cell r="F352">
            <v>5210</v>
          </cell>
          <cell r="G352" t="str">
            <v>设定受益计划变动额结转留存收益</v>
          </cell>
          <cell r="I352">
            <v>8275</v>
          </cell>
          <cell r="J352" t="str">
            <v>J</v>
          </cell>
          <cell r="M352" t="str">
            <v>其他权益工具（永续债）_其他原因调整上年年末余额</v>
          </cell>
          <cell r="S352" t="str">
            <v>9601d</v>
          </cell>
          <cell r="T352" t="str">
            <v>报告年度不再作为非经常性损益列报的项目</v>
          </cell>
          <cell r="U352" t="str">
            <v>项       目</v>
          </cell>
          <cell r="V352">
            <v>-2</v>
          </cell>
          <cell r="X352">
            <v>2</v>
          </cell>
        </row>
        <row r="353">
          <cell r="B353">
            <v>8276</v>
          </cell>
          <cell r="C353" t="str">
            <v>资本公积_所有者权益其他内部结转</v>
          </cell>
          <cell r="D353">
            <v>-1</v>
          </cell>
          <cell r="E353" t="str">
            <v>LOW</v>
          </cell>
          <cell r="F353">
            <v>5210</v>
          </cell>
          <cell r="G353" t="str">
            <v>其他</v>
          </cell>
          <cell r="I353">
            <v>8276</v>
          </cell>
          <cell r="J353" t="str">
            <v>J</v>
          </cell>
          <cell r="M353" t="str">
            <v>其他权益工具（永续债）_综合收益总额增加权益</v>
          </cell>
          <cell r="S353" t="str">
            <v>9690a</v>
          </cell>
          <cell r="T353" t="str">
            <v>费用按性质分类的补充资料</v>
          </cell>
          <cell r="U353" t="str">
            <v>项       目</v>
          </cell>
          <cell r="V353">
            <v>-2</v>
          </cell>
          <cell r="X353">
            <v>2</v>
          </cell>
        </row>
        <row r="354">
          <cell r="B354">
            <v>8296</v>
          </cell>
          <cell r="C354" t="str">
            <v>资本公积_本期其他增减变动</v>
          </cell>
          <cell r="D354">
            <v>-1</v>
          </cell>
          <cell r="F354">
            <v>5210</v>
          </cell>
          <cell r="G354" t="str">
            <v>（七）其他</v>
          </cell>
          <cell r="I354">
            <v>8296</v>
          </cell>
          <cell r="J354" t="str">
            <v>J</v>
          </cell>
          <cell r="M354" t="str">
            <v>其他权益工具（永续债）_所有者投入资本</v>
          </cell>
          <cell r="S354" t="str">
            <v>9690b</v>
          </cell>
          <cell r="T354" t="str">
            <v>补充资料（一）</v>
          </cell>
          <cell r="U354" t="str">
            <v>项       目</v>
          </cell>
          <cell r="V354">
            <v>-2</v>
          </cell>
          <cell r="X354">
            <v>2</v>
          </cell>
        </row>
        <row r="355">
          <cell r="B355">
            <v>8299</v>
          </cell>
          <cell r="C355" t="str">
            <v>资本公积_本期期末余额</v>
          </cell>
          <cell r="E355" t="str">
            <v>＝</v>
          </cell>
          <cell r="G355" t="str">
            <v>四、本期期末余额</v>
          </cell>
          <cell r="I355">
            <v>8299</v>
          </cell>
          <cell r="M355" t="str">
            <v>其他权益工具（永续债）_股份支付</v>
          </cell>
          <cell r="S355" t="str">
            <v>9690c</v>
          </cell>
          <cell r="T355" t="str">
            <v>补充资料（二）</v>
          </cell>
          <cell r="U355" t="str">
            <v>项       目</v>
          </cell>
          <cell r="V355">
            <v>-2</v>
          </cell>
          <cell r="X355">
            <v>2</v>
          </cell>
        </row>
        <row r="356">
          <cell r="B356">
            <v>8300</v>
          </cell>
          <cell r="C356" t="str">
            <v>库存股增减变动</v>
          </cell>
          <cell r="E356" t="str">
            <v>：</v>
          </cell>
          <cell r="G356" t="str">
            <v>减：库存股增减变动</v>
          </cell>
          <cell r="I356">
            <v>8300</v>
          </cell>
          <cell r="M356" t="str">
            <v>其他权益工具（永续债）_其他权益工具持有者投入资本</v>
          </cell>
        </row>
        <row r="357">
          <cell r="B357">
            <v>8301</v>
          </cell>
          <cell r="C357" t="str">
            <v>库存股_上年年末余额</v>
          </cell>
          <cell r="D357">
            <v>1</v>
          </cell>
          <cell r="F357">
            <v>5310</v>
          </cell>
          <cell r="G357" t="str">
            <v>一、上年年末余额</v>
          </cell>
          <cell r="I357">
            <v>8301</v>
          </cell>
          <cell r="J357" t="str">
            <v>J</v>
          </cell>
          <cell r="M357" t="str">
            <v>其他权益工具（永续债）_所有者其他投入和减少资本</v>
          </cell>
        </row>
        <row r="358">
          <cell r="B358">
            <v>8302</v>
          </cell>
          <cell r="C358" t="str">
            <v>库存股_会计政策变更调整上年年末余额</v>
          </cell>
          <cell r="D358">
            <v>1</v>
          </cell>
          <cell r="F358">
            <v>5310</v>
          </cell>
          <cell r="G358" t="str">
            <v>加：会计政策变更</v>
          </cell>
          <cell r="I358">
            <v>8302</v>
          </cell>
          <cell r="J358" t="str">
            <v>J</v>
          </cell>
          <cell r="M358" t="str">
            <v>其他权益工具（永续债）_提取盈余公积</v>
          </cell>
        </row>
        <row r="359">
          <cell r="B359">
            <v>8303</v>
          </cell>
          <cell r="C359" t="str">
            <v>库存股_前期差错更正调整上年年末余额</v>
          </cell>
          <cell r="D359">
            <v>1</v>
          </cell>
          <cell r="F359">
            <v>5310</v>
          </cell>
          <cell r="G359" t="str">
            <v>前期差错更正</v>
          </cell>
          <cell r="I359">
            <v>8303</v>
          </cell>
          <cell r="J359" t="str">
            <v>J</v>
          </cell>
          <cell r="M359" t="str">
            <v>其他权益工具（永续债）_提取一般风险准备</v>
          </cell>
        </row>
        <row r="360">
          <cell r="B360">
            <v>8304</v>
          </cell>
          <cell r="C360" t="str">
            <v>库存股_同一控制下企业合并调整上年年末余额</v>
          </cell>
          <cell r="D360">
            <v>1</v>
          </cell>
          <cell r="E360" t="str">
            <v>※</v>
          </cell>
          <cell r="F360">
            <v>5310</v>
          </cell>
          <cell r="G360" t="str">
            <v>同一控制下企业合并</v>
          </cell>
          <cell r="I360">
            <v>8304</v>
          </cell>
          <cell r="J360" t="str">
            <v>J</v>
          </cell>
          <cell r="M360" t="str">
            <v>其他权益工具（永续债）_对所有者的分配</v>
          </cell>
        </row>
        <row r="361">
          <cell r="B361">
            <v>8309</v>
          </cell>
          <cell r="C361" t="str">
            <v>库存股_其他原因调整上年年末余额</v>
          </cell>
          <cell r="D361">
            <v>1</v>
          </cell>
          <cell r="E361" t="str">
            <v>LOW</v>
          </cell>
          <cell r="F361">
            <v>5310</v>
          </cell>
          <cell r="G361" t="str">
            <v>其他</v>
          </cell>
          <cell r="I361">
            <v>8309</v>
          </cell>
          <cell r="J361" t="str">
            <v>J</v>
          </cell>
          <cell r="M361" t="str">
            <v>其他权益工具（永续债）_其他利润分配</v>
          </cell>
        </row>
        <row r="362">
          <cell r="B362">
            <v>8310</v>
          </cell>
          <cell r="C362" t="str">
            <v>库存股_本年年初余额</v>
          </cell>
          <cell r="E362" t="str">
            <v>＝</v>
          </cell>
          <cell r="G362" t="str">
            <v>二、本年年初余额</v>
          </cell>
          <cell r="I362">
            <v>8310</v>
          </cell>
          <cell r="M362" t="str">
            <v>其他权益工具（永续债）_资本公积转增资本</v>
          </cell>
        </row>
        <row r="363">
          <cell r="B363">
            <v>8390</v>
          </cell>
          <cell r="C363" t="str">
            <v>库存股_本期增减变动金额</v>
          </cell>
          <cell r="E363" t="str">
            <v>＝</v>
          </cell>
          <cell r="G363" t="str">
            <v>三、本期增减变动金额（减少以“-”号填列）</v>
          </cell>
          <cell r="I363">
            <v>8390</v>
          </cell>
          <cell r="M363" t="str">
            <v>其他权益工具（永续债）_盈余公积转增资本</v>
          </cell>
        </row>
        <row r="364">
          <cell r="B364">
            <v>8350</v>
          </cell>
          <cell r="C364" t="str">
            <v>库存股_所有者投入和减少资本影响权益</v>
          </cell>
          <cell r="E364" t="str">
            <v>＝</v>
          </cell>
          <cell r="G364" t="str">
            <v>（二）所有者投入和减少资本</v>
          </cell>
          <cell r="I364">
            <v>8350</v>
          </cell>
          <cell r="M364" t="str">
            <v>其他权益工具（永续债）_盈余公积弥补亏损</v>
          </cell>
        </row>
        <row r="365">
          <cell r="B365">
            <v>8351</v>
          </cell>
          <cell r="C365" t="str">
            <v>库存股_所有者投入资本</v>
          </cell>
          <cell r="D365">
            <v>1</v>
          </cell>
          <cell r="F365">
            <v>5310</v>
          </cell>
          <cell r="G365" t="str">
            <v>所有者投入资本</v>
          </cell>
          <cell r="I365">
            <v>8351</v>
          </cell>
          <cell r="J365" t="str">
            <v>J</v>
          </cell>
          <cell r="M365" t="str">
            <v>其他权益工具（永续债）_设定受益计划变动额结转留存收益</v>
          </cell>
        </row>
        <row r="366">
          <cell r="B366">
            <v>8352</v>
          </cell>
          <cell r="C366" t="str">
            <v>库存股_股份支付</v>
          </cell>
          <cell r="D366">
            <v>1</v>
          </cell>
          <cell r="E366" t="str">
            <v>LOW</v>
          </cell>
          <cell r="F366">
            <v>5310</v>
          </cell>
          <cell r="G366" t="str">
            <v>股份支付计入所有者权益的金额</v>
          </cell>
          <cell r="I366">
            <v>8352</v>
          </cell>
          <cell r="J366" t="str">
            <v>J</v>
          </cell>
          <cell r="M366" t="str">
            <v>其他权益工具（永续债）_所有者权益其他内部结转</v>
          </cell>
        </row>
        <row r="367">
          <cell r="B367">
            <v>8353</v>
          </cell>
          <cell r="C367" t="str">
            <v>库存股_其他权益工具持有者投入资本</v>
          </cell>
          <cell r="D367">
            <v>1</v>
          </cell>
          <cell r="E367" t="str">
            <v>OEI</v>
          </cell>
          <cell r="F367">
            <v>5310</v>
          </cell>
          <cell r="G367" t="str">
            <v>其他权益工具持有者投入资本</v>
          </cell>
          <cell r="I367">
            <v>8353</v>
          </cell>
          <cell r="J367" t="str">
            <v>J</v>
          </cell>
          <cell r="M367" t="str">
            <v>其他权益工具（永续债）_专项储备本期提取</v>
          </cell>
        </row>
        <row r="368">
          <cell r="B368">
            <v>8356</v>
          </cell>
          <cell r="C368" t="str">
            <v>库存股_所有者其他投入和减少资本</v>
          </cell>
          <cell r="D368">
            <v>1</v>
          </cell>
          <cell r="E368" t="str">
            <v>LOW</v>
          </cell>
          <cell r="F368">
            <v>5310</v>
          </cell>
          <cell r="G368" t="str">
            <v>其他</v>
          </cell>
          <cell r="I368">
            <v>8356</v>
          </cell>
          <cell r="J368" t="str">
            <v>J</v>
          </cell>
          <cell r="M368" t="str">
            <v>其他权益工具（永续债）_专项储备本期使用</v>
          </cell>
        </row>
        <row r="369">
          <cell r="B369">
            <v>8360</v>
          </cell>
          <cell r="C369" t="str">
            <v>库存股_利润分配影响权益</v>
          </cell>
          <cell r="E369" t="str">
            <v>＝</v>
          </cell>
          <cell r="G369" t="str">
            <v>（三）利润分配</v>
          </cell>
          <cell r="I369">
            <v>8360</v>
          </cell>
          <cell r="M369" t="str">
            <v>其他权益工具（永续债）_本期其他增减变动</v>
          </cell>
        </row>
        <row r="370">
          <cell r="B370">
            <v>8363</v>
          </cell>
          <cell r="C370" t="str">
            <v>库存股_对所有者的分配</v>
          </cell>
          <cell r="D370">
            <v>1</v>
          </cell>
          <cell r="E370" t="str">
            <v>LOW</v>
          </cell>
          <cell r="F370">
            <v>5310</v>
          </cell>
          <cell r="G370" t="str">
            <v>对所有者（或股东）的分配</v>
          </cell>
          <cell r="I370">
            <v>8363</v>
          </cell>
          <cell r="J370" t="str">
            <v>J</v>
          </cell>
          <cell r="M370" t="str">
            <v>其他权益工具（其他）_上年年末余额</v>
          </cell>
        </row>
        <row r="371">
          <cell r="B371">
            <v>8366</v>
          </cell>
          <cell r="C371" t="str">
            <v>库存股_其他利润分配</v>
          </cell>
          <cell r="D371">
            <v>1</v>
          </cell>
          <cell r="E371" t="str">
            <v>LOW</v>
          </cell>
          <cell r="F371">
            <v>5310</v>
          </cell>
          <cell r="G371" t="str">
            <v>其他</v>
          </cell>
          <cell r="I371">
            <v>8366</v>
          </cell>
          <cell r="J371" t="str">
            <v>J</v>
          </cell>
          <cell r="M371" t="str">
            <v>其他权益工具（其他）_会计政策变更调整上年年末余额</v>
          </cell>
        </row>
        <row r="372">
          <cell r="B372">
            <v>8370</v>
          </cell>
          <cell r="C372" t="str">
            <v>库存股_所有者权益内部结转</v>
          </cell>
          <cell r="E372" t="str">
            <v>＝</v>
          </cell>
          <cell r="G372" t="str">
            <v>（四）所有者权益内部结转</v>
          </cell>
          <cell r="I372">
            <v>8370</v>
          </cell>
          <cell r="M372" t="str">
            <v>其他权益工具（其他）_前期差错更正调整上年年末余额</v>
          </cell>
        </row>
        <row r="373">
          <cell r="B373">
            <v>8375</v>
          </cell>
          <cell r="C373" t="str">
            <v>库存股_设定受益计划变动额结转留存收益</v>
          </cell>
          <cell r="D373">
            <v>1</v>
          </cell>
          <cell r="E373" t="str">
            <v>OEI</v>
          </cell>
          <cell r="F373">
            <v>5310</v>
          </cell>
          <cell r="G373" t="str">
            <v>设定受益计划变动额结转留存收益</v>
          </cell>
          <cell r="I373">
            <v>8375</v>
          </cell>
          <cell r="J373" t="str">
            <v>J</v>
          </cell>
          <cell r="M373" t="str">
            <v>其他权益工具（其他）_同一控制下企业合并调整上年年末余额</v>
          </cell>
        </row>
        <row r="374">
          <cell r="B374">
            <v>8376</v>
          </cell>
          <cell r="C374" t="str">
            <v>库存股_所有者权益其他内部结转</v>
          </cell>
          <cell r="D374">
            <v>1</v>
          </cell>
          <cell r="F374">
            <v>5310</v>
          </cell>
          <cell r="G374" t="str">
            <v>其他</v>
          </cell>
          <cell r="I374">
            <v>8376</v>
          </cell>
          <cell r="J374" t="str">
            <v>J</v>
          </cell>
          <cell r="M374" t="str">
            <v>其他权益工具（其他）_其他原因调整上年年末余额</v>
          </cell>
        </row>
        <row r="375">
          <cell r="B375">
            <v>8396</v>
          </cell>
          <cell r="C375" t="str">
            <v>库存股_本期其他增减变动</v>
          </cell>
          <cell r="D375">
            <v>1</v>
          </cell>
          <cell r="E375" t="str">
            <v>LOW</v>
          </cell>
          <cell r="F375">
            <v>5310</v>
          </cell>
          <cell r="G375" t="str">
            <v>（七）其他</v>
          </cell>
          <cell r="I375">
            <v>8396</v>
          </cell>
          <cell r="J375" t="str">
            <v>J</v>
          </cell>
          <cell r="M375" t="str">
            <v>其他权益工具（其他）_综合收益总额增加权益</v>
          </cell>
        </row>
        <row r="376">
          <cell r="B376">
            <v>8399</v>
          </cell>
          <cell r="C376" t="str">
            <v>库存股_本期期末余额</v>
          </cell>
          <cell r="E376" t="str">
            <v>＝</v>
          </cell>
          <cell r="G376" t="str">
            <v>四、本期期末余额</v>
          </cell>
          <cell r="I376">
            <v>8399</v>
          </cell>
          <cell r="M376" t="str">
            <v>其他权益工具（其他）_所有者投入资本</v>
          </cell>
        </row>
        <row r="377">
          <cell r="B377">
            <v>8400</v>
          </cell>
          <cell r="C377" t="str">
            <v>专项储备增减变动</v>
          </cell>
          <cell r="E377" t="str">
            <v>：</v>
          </cell>
          <cell r="G377" t="str">
            <v>专项储备增减变动</v>
          </cell>
          <cell r="I377">
            <v>8400</v>
          </cell>
          <cell r="M377" t="str">
            <v>其他权益工具（其他）_股份支付</v>
          </cell>
        </row>
        <row r="378">
          <cell r="B378">
            <v>8401</v>
          </cell>
          <cell r="C378" t="str">
            <v>专项储备_上年年末余额</v>
          </cell>
          <cell r="D378">
            <v>-1</v>
          </cell>
          <cell r="F378">
            <v>5510</v>
          </cell>
          <cell r="G378" t="str">
            <v>一、上年年末余额</v>
          </cell>
          <cell r="I378">
            <v>8401</v>
          </cell>
          <cell r="J378" t="str">
            <v>J</v>
          </cell>
          <cell r="M378" t="str">
            <v>其他权益工具（其他）_其他权益工具持有者投入资本</v>
          </cell>
        </row>
        <row r="379">
          <cell r="B379">
            <v>8402</v>
          </cell>
          <cell r="C379" t="str">
            <v>专项储备_会计政策变更调整上年年末余额</v>
          </cell>
          <cell r="D379">
            <v>-1</v>
          </cell>
          <cell r="F379">
            <v>5510</v>
          </cell>
          <cell r="G379" t="str">
            <v>加：会计政策变更</v>
          </cell>
          <cell r="I379">
            <v>8402</v>
          </cell>
          <cell r="J379" t="str">
            <v>J</v>
          </cell>
          <cell r="M379" t="str">
            <v>其他权益工具（其他）_所有者其他投入和减少资本</v>
          </cell>
        </row>
        <row r="380">
          <cell r="B380">
            <v>8403</v>
          </cell>
          <cell r="C380" t="str">
            <v>专项储备_前期差错更正调整上年年末余额</v>
          </cell>
          <cell r="D380">
            <v>-1</v>
          </cell>
          <cell r="F380">
            <v>5510</v>
          </cell>
          <cell r="G380" t="str">
            <v>前期差错更正</v>
          </cell>
          <cell r="I380">
            <v>8403</v>
          </cell>
          <cell r="J380" t="str">
            <v>J</v>
          </cell>
          <cell r="M380" t="str">
            <v>其他权益工具（其他）_提取盈余公积</v>
          </cell>
        </row>
        <row r="381">
          <cell r="B381">
            <v>8404</v>
          </cell>
          <cell r="C381" t="str">
            <v>专项储备_同一控制下企业合并调整上年年末余额</v>
          </cell>
          <cell r="D381">
            <v>-1</v>
          </cell>
          <cell r="E381" t="str">
            <v>※</v>
          </cell>
          <cell r="F381">
            <v>5510</v>
          </cell>
          <cell r="G381" t="str">
            <v>同一控制下企业合并</v>
          </cell>
          <cell r="I381">
            <v>8404</v>
          </cell>
          <cell r="J381" t="str">
            <v>J</v>
          </cell>
          <cell r="M381" t="str">
            <v>其他权益工具（其他）_提取一般风险准备</v>
          </cell>
        </row>
        <row r="382">
          <cell r="B382">
            <v>8409</v>
          </cell>
          <cell r="C382" t="str">
            <v>专项储备_其他原因调整上年年末余额</v>
          </cell>
          <cell r="D382">
            <v>-1</v>
          </cell>
          <cell r="E382" t="str">
            <v>LOW</v>
          </cell>
          <cell r="F382">
            <v>5510</v>
          </cell>
          <cell r="G382" t="str">
            <v>其他</v>
          </cell>
          <cell r="I382">
            <v>8409</v>
          </cell>
          <cell r="J382" t="str">
            <v>J</v>
          </cell>
          <cell r="M382" t="str">
            <v>其他权益工具（其他）_对所有者的分配</v>
          </cell>
        </row>
        <row r="383">
          <cell r="B383">
            <v>8410</v>
          </cell>
          <cell r="C383" t="str">
            <v>专项储备_本年年初余额</v>
          </cell>
          <cell r="E383" t="str">
            <v>＝</v>
          </cell>
          <cell r="G383" t="str">
            <v>二、本年年初余额</v>
          </cell>
          <cell r="I383">
            <v>8410</v>
          </cell>
          <cell r="M383" t="str">
            <v>其他权益工具（其他）_其他利润分配</v>
          </cell>
        </row>
        <row r="384">
          <cell r="B384">
            <v>8453</v>
          </cell>
          <cell r="C384" t="str">
            <v>专项储备_其他权益工具持有者投入资本</v>
          </cell>
          <cell r="D384">
            <v>-1</v>
          </cell>
          <cell r="E384" t="str">
            <v>OEI</v>
          </cell>
          <cell r="F384">
            <v>5510</v>
          </cell>
          <cell r="G384" t="str">
            <v>其他权益工具持有者投入资本</v>
          </cell>
          <cell r="I384">
            <v>8453</v>
          </cell>
          <cell r="J384" t="str">
            <v>J</v>
          </cell>
          <cell r="M384" t="str">
            <v>其他权益工具（其他）_资本公积转增资本</v>
          </cell>
        </row>
        <row r="385">
          <cell r="B385">
            <v>8490</v>
          </cell>
          <cell r="C385" t="str">
            <v>专项储备_本期增减变动金额</v>
          </cell>
          <cell r="E385" t="str">
            <v>＝</v>
          </cell>
          <cell r="G385" t="str">
            <v>三、本期增减变动金额（减少以“-”号填列）</v>
          </cell>
          <cell r="I385">
            <v>8490</v>
          </cell>
          <cell r="M385" t="str">
            <v>其他权益工具（其他）_盈余公积转增资本</v>
          </cell>
        </row>
        <row r="386">
          <cell r="B386">
            <v>8470</v>
          </cell>
          <cell r="C386" t="str">
            <v>专项储备_所有者权益内部结转</v>
          </cell>
          <cell r="E386" t="str">
            <v>＝</v>
          </cell>
          <cell r="G386" t="str">
            <v>（四）所有者权益内部结转</v>
          </cell>
          <cell r="I386">
            <v>8470</v>
          </cell>
          <cell r="M386" t="str">
            <v>其他权益工具（其他）_盈余公积弥补亏损</v>
          </cell>
        </row>
        <row r="387">
          <cell r="B387">
            <v>8475</v>
          </cell>
          <cell r="C387" t="str">
            <v>专项储备_设定受益计划变动额结转留存收益</v>
          </cell>
          <cell r="D387">
            <v>-1</v>
          </cell>
          <cell r="E387" t="str">
            <v>OEI</v>
          </cell>
          <cell r="F387">
            <v>5510</v>
          </cell>
          <cell r="G387" t="str">
            <v>设定受益计划变动额结转留存收益</v>
          </cell>
          <cell r="I387">
            <v>8475</v>
          </cell>
          <cell r="J387" t="str">
            <v>J</v>
          </cell>
          <cell r="M387" t="str">
            <v>其他权益工具（其他）_设定受益计划变动额结转留存收益</v>
          </cell>
        </row>
        <row r="388">
          <cell r="B388">
            <v>8476</v>
          </cell>
          <cell r="C388" t="str">
            <v>专项储备_所有者权益其他内部结转</v>
          </cell>
          <cell r="D388">
            <v>-1</v>
          </cell>
          <cell r="E388" t="str">
            <v>LOW</v>
          </cell>
          <cell r="F388">
            <v>5510</v>
          </cell>
          <cell r="G388" t="str">
            <v>其他</v>
          </cell>
          <cell r="I388">
            <v>8476</v>
          </cell>
          <cell r="J388" t="str">
            <v>J</v>
          </cell>
          <cell r="M388" t="str">
            <v>其他权益工具（其他）_所有者权益其他内部结转</v>
          </cell>
        </row>
        <row r="389">
          <cell r="B389">
            <v>8480</v>
          </cell>
          <cell r="C389" t="str">
            <v>专项储备_专项储备影响权益</v>
          </cell>
          <cell r="E389" t="str">
            <v>＝</v>
          </cell>
          <cell r="G389" t="str">
            <v>（五）专项储备</v>
          </cell>
          <cell r="I389">
            <v>8480</v>
          </cell>
          <cell r="M389" t="str">
            <v>其他权益工具（其他）_专项储备本期提取</v>
          </cell>
        </row>
        <row r="390">
          <cell r="B390">
            <v>8481</v>
          </cell>
          <cell r="C390" t="str">
            <v>专项储备_本期提取</v>
          </cell>
          <cell r="D390">
            <v>-1</v>
          </cell>
          <cell r="F390">
            <v>5510</v>
          </cell>
          <cell r="G390" t="str">
            <v>本期提取</v>
          </cell>
          <cell r="I390">
            <v>8481</v>
          </cell>
          <cell r="J390" t="str">
            <v>J</v>
          </cell>
          <cell r="M390" t="str">
            <v>其他权益工具（其他）_专项储备本期使用</v>
          </cell>
        </row>
        <row r="391">
          <cell r="B391">
            <v>8482</v>
          </cell>
          <cell r="C391" t="str">
            <v>专项储备_本期使用</v>
          </cell>
          <cell r="D391">
            <v>-1</v>
          </cell>
          <cell r="F391">
            <v>5510</v>
          </cell>
          <cell r="G391" t="str">
            <v>本期使用</v>
          </cell>
          <cell r="I391">
            <v>8482</v>
          </cell>
          <cell r="J391" t="str">
            <v>J</v>
          </cell>
          <cell r="M391" t="str">
            <v>其他权益工具（其他）_本期其他增减变动</v>
          </cell>
        </row>
        <row r="392">
          <cell r="B392">
            <v>8496</v>
          </cell>
          <cell r="C392" t="str">
            <v>专项储备_本期其他增减变动</v>
          </cell>
          <cell r="D392">
            <v>-1</v>
          </cell>
          <cell r="E392" t="str">
            <v>LOW</v>
          </cell>
          <cell r="F392">
            <v>5510</v>
          </cell>
          <cell r="G392" t="str">
            <v>（七）其他</v>
          </cell>
          <cell r="I392">
            <v>8496</v>
          </cell>
          <cell r="J392" t="str">
            <v>J</v>
          </cell>
          <cell r="M392" t="str">
            <v>其他综合收益_上年年末余额</v>
          </cell>
        </row>
        <row r="393">
          <cell r="B393">
            <v>8499</v>
          </cell>
          <cell r="C393" t="str">
            <v>专项储备_本期期末余额</v>
          </cell>
          <cell r="E393" t="str">
            <v>＝</v>
          </cell>
          <cell r="G393" t="str">
            <v>四、本期期末余额</v>
          </cell>
          <cell r="I393">
            <v>8499</v>
          </cell>
          <cell r="M393" t="str">
            <v>其他综合收益_会计政策变更调整上年年末余额</v>
          </cell>
        </row>
        <row r="394">
          <cell r="B394">
            <v>8500</v>
          </cell>
          <cell r="C394" t="str">
            <v>盈余公积增减变动</v>
          </cell>
          <cell r="E394" t="str">
            <v>：</v>
          </cell>
          <cell r="G394" t="str">
            <v>盈余公积增减变动</v>
          </cell>
          <cell r="I394">
            <v>8500</v>
          </cell>
          <cell r="M394" t="str">
            <v>其他综合收益_前期差错更正调整上年年末余额</v>
          </cell>
        </row>
        <row r="395">
          <cell r="B395">
            <v>8501</v>
          </cell>
          <cell r="C395" t="str">
            <v>盈余公积_上年年末余额</v>
          </cell>
          <cell r="D395">
            <v>-1</v>
          </cell>
          <cell r="F395">
            <v>5410</v>
          </cell>
          <cell r="G395" t="str">
            <v>一、上年年末余额</v>
          </cell>
          <cell r="I395">
            <v>8501</v>
          </cell>
          <cell r="J395" t="str">
            <v>J</v>
          </cell>
          <cell r="M395" t="str">
            <v>其他综合收益_同一控制下企业合并调整上年年末余额</v>
          </cell>
        </row>
        <row r="396">
          <cell r="B396">
            <v>8502</v>
          </cell>
          <cell r="C396" t="str">
            <v>盈余公积_会计政策变更调整上年年末余额</v>
          </cell>
          <cell r="D396">
            <v>-1</v>
          </cell>
          <cell r="F396">
            <v>5410</v>
          </cell>
          <cell r="G396" t="str">
            <v>加：会计政策变更</v>
          </cell>
          <cell r="I396">
            <v>8502</v>
          </cell>
          <cell r="J396" t="str">
            <v>J</v>
          </cell>
          <cell r="M396" t="str">
            <v>其他综合收益_其他原因调整上年年末余额</v>
          </cell>
        </row>
        <row r="397">
          <cell r="B397">
            <v>8503</v>
          </cell>
          <cell r="C397" t="str">
            <v>盈余公积_前期差错更正调整上年年末余额</v>
          </cell>
          <cell r="D397">
            <v>-1</v>
          </cell>
          <cell r="F397">
            <v>5410</v>
          </cell>
          <cell r="G397" t="str">
            <v>前期差错更正</v>
          </cell>
          <cell r="I397">
            <v>8503</v>
          </cell>
          <cell r="J397" t="str">
            <v>J</v>
          </cell>
          <cell r="M397" t="str">
            <v>其他综合收益_所有者投入资本</v>
          </cell>
        </row>
        <row r="398">
          <cell r="B398">
            <v>8504</v>
          </cell>
          <cell r="C398" t="str">
            <v>盈余公积_同一控制下企业合并调整上年年末余额</v>
          </cell>
          <cell r="D398">
            <v>-1</v>
          </cell>
          <cell r="E398" t="str">
            <v>※</v>
          </cell>
          <cell r="F398">
            <v>5410</v>
          </cell>
          <cell r="G398" t="str">
            <v>同一控制下企业合并</v>
          </cell>
          <cell r="I398">
            <v>8504</v>
          </cell>
          <cell r="J398" t="str">
            <v>J</v>
          </cell>
          <cell r="M398" t="str">
            <v>其他综合收益_股份支付</v>
          </cell>
        </row>
        <row r="399">
          <cell r="B399">
            <v>8509</v>
          </cell>
          <cell r="C399" t="str">
            <v>盈余公积_其他原因调整上年年末余额</v>
          </cell>
          <cell r="D399">
            <v>-1</v>
          </cell>
          <cell r="F399">
            <v>5410</v>
          </cell>
          <cell r="G399" t="str">
            <v>其他</v>
          </cell>
          <cell r="I399">
            <v>8509</v>
          </cell>
          <cell r="J399" t="str">
            <v>J</v>
          </cell>
          <cell r="M399" t="str">
            <v>其他综合收益_其他权益工具持有者投入资本</v>
          </cell>
        </row>
        <row r="400">
          <cell r="B400">
            <v>8510</v>
          </cell>
          <cell r="C400" t="str">
            <v>盈余公积_本年年初余额</v>
          </cell>
          <cell r="E400" t="str">
            <v>＝</v>
          </cell>
          <cell r="G400" t="str">
            <v>二、本年年初余额</v>
          </cell>
          <cell r="I400">
            <v>8510</v>
          </cell>
          <cell r="M400" t="str">
            <v>其他综合收益_所有者其他投入和减少资本</v>
          </cell>
        </row>
        <row r="401">
          <cell r="B401">
            <v>8590</v>
          </cell>
          <cell r="C401" t="str">
            <v>盈余公积_本期增减变动金额</v>
          </cell>
          <cell r="E401" t="str">
            <v>＝</v>
          </cell>
          <cell r="G401" t="str">
            <v>三、本期增减变动金额（减少以“-”号填列）</v>
          </cell>
          <cell r="I401">
            <v>8590</v>
          </cell>
          <cell r="M401" t="str">
            <v>其他综合收益_提取盈余公积</v>
          </cell>
        </row>
        <row r="402">
          <cell r="B402">
            <v>8550</v>
          </cell>
          <cell r="C402" t="str">
            <v>盈余公积_所有者投入和减少资本影响权益</v>
          </cell>
          <cell r="E402" t="str">
            <v>＝</v>
          </cell>
          <cell r="G402" t="str">
            <v>（二）所有者投入和减少资本</v>
          </cell>
          <cell r="I402">
            <v>8550</v>
          </cell>
          <cell r="M402" t="str">
            <v>其他综合收益_提取一般风险准备</v>
          </cell>
        </row>
        <row r="403">
          <cell r="B403">
            <v>8553</v>
          </cell>
          <cell r="C403" t="str">
            <v>盈余公积_其他权益工具持有者投入资本</v>
          </cell>
          <cell r="D403">
            <v>-1</v>
          </cell>
          <cell r="E403" t="str">
            <v>OEI</v>
          </cell>
          <cell r="F403">
            <v>5410</v>
          </cell>
          <cell r="G403" t="str">
            <v>其他权益工具持有者投入资本</v>
          </cell>
          <cell r="I403">
            <v>8553</v>
          </cell>
          <cell r="J403" t="str">
            <v>J</v>
          </cell>
          <cell r="M403" t="str">
            <v>其他综合收益_对所有者的分配</v>
          </cell>
        </row>
        <row r="404">
          <cell r="B404">
            <v>8556</v>
          </cell>
          <cell r="C404" t="str">
            <v>盈余公积_所有者其他投入和减少资本</v>
          </cell>
          <cell r="D404">
            <v>-1</v>
          </cell>
          <cell r="E404" t="str">
            <v>LOW</v>
          </cell>
          <cell r="F404">
            <v>5410</v>
          </cell>
          <cell r="G404" t="str">
            <v>其他</v>
          </cell>
          <cell r="I404">
            <v>8556</v>
          </cell>
          <cell r="J404" t="str">
            <v>J</v>
          </cell>
          <cell r="M404" t="str">
            <v>其他综合收益_其他利润分配</v>
          </cell>
        </row>
        <row r="405">
          <cell r="B405">
            <v>8560</v>
          </cell>
          <cell r="C405" t="str">
            <v>盈余公积_利润分配影响权益</v>
          </cell>
          <cell r="E405" t="str">
            <v>＝</v>
          </cell>
          <cell r="G405" t="str">
            <v>（三）利润分配</v>
          </cell>
          <cell r="I405">
            <v>8560</v>
          </cell>
          <cell r="M405" t="str">
            <v>其他综合收益_资本公积转增资本</v>
          </cell>
        </row>
        <row r="406">
          <cell r="B406">
            <v>8561</v>
          </cell>
          <cell r="C406" t="str">
            <v>盈余公积_提取</v>
          </cell>
          <cell r="D406">
            <v>-1</v>
          </cell>
          <cell r="F406">
            <v>5410</v>
          </cell>
          <cell r="G406" t="str">
            <v>提取盈余公积</v>
          </cell>
          <cell r="I406">
            <v>8561</v>
          </cell>
          <cell r="J406" t="str">
            <v>J</v>
          </cell>
          <cell r="M406" t="str">
            <v>其他综合收益_盈余公积转增资本</v>
          </cell>
        </row>
        <row r="407">
          <cell r="B407">
            <v>8563</v>
          </cell>
          <cell r="C407" t="str">
            <v>盈余公积_对所有者的分配</v>
          </cell>
          <cell r="D407">
            <v>-1</v>
          </cell>
          <cell r="F407">
            <v>5410</v>
          </cell>
          <cell r="G407" t="str">
            <v>对所有者（或股东）的分配</v>
          </cell>
          <cell r="I407">
            <v>8563</v>
          </cell>
          <cell r="J407" t="str">
            <v>J</v>
          </cell>
          <cell r="M407" t="str">
            <v>其他综合收益_盈余公积弥补亏损</v>
          </cell>
        </row>
        <row r="408">
          <cell r="B408">
            <v>8566</v>
          </cell>
          <cell r="C408" t="str">
            <v>盈余公积_其他利润分配</v>
          </cell>
          <cell r="D408">
            <v>-1</v>
          </cell>
          <cell r="F408">
            <v>5410</v>
          </cell>
          <cell r="G408" t="str">
            <v>其他</v>
          </cell>
          <cell r="I408">
            <v>8566</v>
          </cell>
          <cell r="J408" t="str">
            <v>J</v>
          </cell>
          <cell r="M408" t="str">
            <v>其他综合收益_设定受益计划变动额结转留存收益</v>
          </cell>
        </row>
        <row r="409">
          <cell r="B409">
            <v>8570</v>
          </cell>
          <cell r="C409" t="str">
            <v>盈余公积_所有者权益内部结转</v>
          </cell>
          <cell r="E409" t="str">
            <v>＝</v>
          </cell>
          <cell r="G409" t="str">
            <v>（四）所有者权益内部结转</v>
          </cell>
          <cell r="I409">
            <v>8570</v>
          </cell>
          <cell r="M409" t="str">
            <v>其他综合收益_所有者权益其他内部结转</v>
          </cell>
        </row>
        <row r="410">
          <cell r="B410">
            <v>8572</v>
          </cell>
          <cell r="C410" t="str">
            <v>盈余公积_转增资本</v>
          </cell>
          <cell r="D410">
            <v>-1</v>
          </cell>
          <cell r="F410">
            <v>5410</v>
          </cell>
          <cell r="G410" t="str">
            <v>盈余公积转增资本（或股本）</v>
          </cell>
          <cell r="I410">
            <v>8572</v>
          </cell>
          <cell r="J410" t="str">
            <v>J</v>
          </cell>
          <cell r="M410" t="str">
            <v>其他综合收益_专项储备本期提取</v>
          </cell>
        </row>
        <row r="411">
          <cell r="B411">
            <v>8573</v>
          </cell>
          <cell r="C411" t="str">
            <v>盈余公积_弥补亏损</v>
          </cell>
          <cell r="D411">
            <v>-1</v>
          </cell>
          <cell r="F411">
            <v>5410</v>
          </cell>
          <cell r="G411" t="str">
            <v>盈余公积弥补亏损</v>
          </cell>
          <cell r="I411">
            <v>8573</v>
          </cell>
          <cell r="J411" t="str">
            <v>J</v>
          </cell>
          <cell r="M411" t="str">
            <v>其他综合收益_专项储备本期使用</v>
          </cell>
        </row>
        <row r="412">
          <cell r="B412">
            <v>8575</v>
          </cell>
          <cell r="C412" t="str">
            <v>盈余公积_设定受益计划变动额结转留存收益</v>
          </cell>
          <cell r="D412">
            <v>-1</v>
          </cell>
          <cell r="E412" t="str">
            <v>OEI</v>
          </cell>
          <cell r="F412">
            <v>5410</v>
          </cell>
          <cell r="G412" t="str">
            <v>设定受益计划变动额结转留存收益</v>
          </cell>
          <cell r="I412">
            <v>8575</v>
          </cell>
          <cell r="J412" t="str">
            <v>J</v>
          </cell>
          <cell r="M412" t="str">
            <v>其他综合收益_本期其他增减变动</v>
          </cell>
        </row>
        <row r="413">
          <cell r="B413">
            <v>8576</v>
          </cell>
          <cell r="C413" t="str">
            <v>盈余公积_所有者权益其他内部结转</v>
          </cell>
          <cell r="D413">
            <v>-1</v>
          </cell>
          <cell r="E413" t="str">
            <v>LOW</v>
          </cell>
          <cell r="F413">
            <v>5410</v>
          </cell>
          <cell r="G413" t="str">
            <v>其他</v>
          </cell>
          <cell r="I413">
            <v>8576</v>
          </cell>
          <cell r="J413" t="str">
            <v>J</v>
          </cell>
        </row>
        <row r="414">
          <cell r="B414">
            <v>8596</v>
          </cell>
          <cell r="C414" t="str">
            <v>盈余公积_本期其他增减变动</v>
          </cell>
          <cell r="D414">
            <v>-1</v>
          </cell>
          <cell r="E414" t="str">
            <v>LOW</v>
          </cell>
          <cell r="F414">
            <v>5410</v>
          </cell>
          <cell r="G414" t="str">
            <v>（七）其他</v>
          </cell>
          <cell r="I414">
            <v>8596</v>
          </cell>
          <cell r="J414" t="str">
            <v>J</v>
          </cell>
        </row>
        <row r="415">
          <cell r="B415">
            <v>8599</v>
          </cell>
          <cell r="C415" t="str">
            <v>盈余公积_本期期末余额</v>
          </cell>
          <cell r="E415" t="str">
            <v>＝</v>
          </cell>
          <cell r="G415" t="str">
            <v>四、本期期末余额</v>
          </cell>
          <cell r="I415">
            <v>8599</v>
          </cell>
        </row>
        <row r="416">
          <cell r="B416">
            <v>8600</v>
          </cell>
          <cell r="C416" t="str">
            <v>一般风险准备增减变动</v>
          </cell>
          <cell r="E416" t="str">
            <v>：</v>
          </cell>
          <cell r="G416" t="str">
            <v>一般风险准备增减变动</v>
          </cell>
          <cell r="I416">
            <v>8600</v>
          </cell>
        </row>
        <row r="417">
          <cell r="B417">
            <v>8601</v>
          </cell>
          <cell r="C417" t="str">
            <v>一般风险准备_上年年末余额</v>
          </cell>
          <cell r="D417">
            <v>-1</v>
          </cell>
          <cell r="G417" t="str">
            <v>一、上年年末余额</v>
          </cell>
          <cell r="I417">
            <v>8601</v>
          </cell>
          <cell r="J417" t="str">
            <v>J</v>
          </cell>
        </row>
        <row r="418">
          <cell r="B418">
            <v>8602</v>
          </cell>
          <cell r="C418" t="str">
            <v>一般风险准备_会计政策变更调整上年年末余额</v>
          </cell>
          <cell r="D418">
            <v>-1</v>
          </cell>
          <cell r="G418" t="str">
            <v>加：会计政策变更</v>
          </cell>
          <cell r="I418">
            <v>8602</v>
          </cell>
          <cell r="J418" t="str">
            <v>J</v>
          </cell>
        </row>
        <row r="419">
          <cell r="B419">
            <v>8603</v>
          </cell>
          <cell r="C419" t="str">
            <v>一般风险准备_前期差错更正调整上年年末余额</v>
          </cell>
          <cell r="D419">
            <v>-1</v>
          </cell>
          <cell r="G419" t="str">
            <v>前期差错更正</v>
          </cell>
          <cell r="I419">
            <v>8603</v>
          </cell>
          <cell r="J419" t="str">
            <v>J</v>
          </cell>
        </row>
        <row r="420">
          <cell r="B420">
            <v>8604</v>
          </cell>
          <cell r="C420" t="str">
            <v>一般风险准备_同一控制下企业合并调整上年年末余额</v>
          </cell>
          <cell r="D420">
            <v>-1</v>
          </cell>
          <cell r="E420" t="str">
            <v>※</v>
          </cell>
          <cell r="G420" t="str">
            <v>同一控制下企业合并</v>
          </cell>
          <cell r="I420">
            <v>8604</v>
          </cell>
          <cell r="J420" t="str">
            <v>J</v>
          </cell>
        </row>
        <row r="421">
          <cell r="B421">
            <v>8609</v>
          </cell>
          <cell r="C421" t="str">
            <v>一般风险准备_其他原因调整上年年末余额</v>
          </cell>
          <cell r="D421">
            <v>-1</v>
          </cell>
          <cell r="E421" t="str">
            <v>LOW</v>
          </cell>
          <cell r="G421" t="str">
            <v>其他</v>
          </cell>
          <cell r="I421">
            <v>8609</v>
          </cell>
          <cell r="J421" t="str">
            <v>J</v>
          </cell>
        </row>
        <row r="422">
          <cell r="B422">
            <v>8610</v>
          </cell>
          <cell r="C422" t="str">
            <v>一般风险准备_本年年初余额</v>
          </cell>
          <cell r="E422" t="str">
            <v>＝</v>
          </cell>
          <cell r="G422" t="str">
            <v>二、本年年初余额</v>
          </cell>
          <cell r="I422">
            <v>8610</v>
          </cell>
        </row>
        <row r="423">
          <cell r="B423">
            <v>8690</v>
          </cell>
          <cell r="C423" t="str">
            <v>一般风险准备_本期增减变动金额</v>
          </cell>
          <cell r="E423" t="str">
            <v>＝</v>
          </cell>
          <cell r="G423" t="str">
            <v>三、本期增减变动金额（减少以“-”号填列）</v>
          </cell>
          <cell r="I423">
            <v>8690</v>
          </cell>
        </row>
        <row r="424">
          <cell r="B424">
            <v>8650</v>
          </cell>
          <cell r="C424" t="str">
            <v>一般风险准备_所有者投入和减少资本影响权益</v>
          </cell>
          <cell r="E424" t="str">
            <v>＝</v>
          </cell>
          <cell r="G424" t="str">
            <v>（二）所有者投入和减少资本</v>
          </cell>
          <cell r="I424">
            <v>8650</v>
          </cell>
        </row>
        <row r="425">
          <cell r="B425">
            <v>8653</v>
          </cell>
          <cell r="C425" t="str">
            <v>一般风险准备_其他权益工具持有者投入资本</v>
          </cell>
          <cell r="D425">
            <v>-1</v>
          </cell>
          <cell r="E425" t="str">
            <v>OEI</v>
          </cell>
          <cell r="G425" t="str">
            <v>其他权益工具持有者投入资本</v>
          </cell>
          <cell r="I425">
            <v>8653</v>
          </cell>
          <cell r="J425" t="str">
            <v>J</v>
          </cell>
        </row>
        <row r="426">
          <cell r="B426">
            <v>8656</v>
          </cell>
          <cell r="C426" t="str">
            <v>一般风险准备_所有者其他投入和减少资本</v>
          </cell>
          <cell r="D426">
            <v>-1</v>
          </cell>
          <cell r="E426" t="str">
            <v>LOW</v>
          </cell>
          <cell r="G426" t="str">
            <v>其他</v>
          </cell>
          <cell r="I426">
            <v>8656</v>
          </cell>
          <cell r="J426" t="str">
            <v>J</v>
          </cell>
        </row>
        <row r="427">
          <cell r="B427">
            <v>8660</v>
          </cell>
          <cell r="C427" t="str">
            <v>一般风险准备_利润分配影响权益</v>
          </cell>
          <cell r="E427" t="str">
            <v>＝</v>
          </cell>
          <cell r="G427" t="str">
            <v>（三）利润分配</v>
          </cell>
          <cell r="I427">
            <v>8660</v>
          </cell>
        </row>
        <row r="428">
          <cell r="B428">
            <v>8662</v>
          </cell>
          <cell r="C428" t="str">
            <v>一般风险准备_提取</v>
          </cell>
          <cell r="D428">
            <v>-1</v>
          </cell>
          <cell r="G428" t="str">
            <v>提取一般风险准备</v>
          </cell>
          <cell r="I428">
            <v>8662</v>
          </cell>
          <cell r="J428" t="str">
            <v>J</v>
          </cell>
        </row>
        <row r="429">
          <cell r="B429">
            <v>8666</v>
          </cell>
          <cell r="C429" t="str">
            <v>一般风险准备_其他利润分配</v>
          </cell>
          <cell r="D429">
            <v>-1</v>
          </cell>
          <cell r="E429" t="str">
            <v>LOW</v>
          </cell>
          <cell r="G429" t="str">
            <v>其他</v>
          </cell>
          <cell r="I429">
            <v>8666</v>
          </cell>
          <cell r="J429" t="str">
            <v>J</v>
          </cell>
        </row>
        <row r="430">
          <cell r="B430">
            <v>8670</v>
          </cell>
          <cell r="C430" t="str">
            <v>一般风险准备_所有者权益内部结转</v>
          </cell>
          <cell r="E430" t="str">
            <v>＝</v>
          </cell>
          <cell r="G430" t="str">
            <v>（四）所有者权益内部结转</v>
          </cell>
          <cell r="I430">
            <v>8670</v>
          </cell>
        </row>
        <row r="431">
          <cell r="B431">
            <v>8675</v>
          </cell>
          <cell r="C431" t="str">
            <v>一般风险准备_设定受益计划变动额结转留存收益</v>
          </cell>
          <cell r="D431">
            <v>-1</v>
          </cell>
          <cell r="E431" t="str">
            <v>OEI</v>
          </cell>
          <cell r="G431" t="str">
            <v>设定受益计划变动额结转留存收益</v>
          </cell>
          <cell r="I431">
            <v>8675</v>
          </cell>
          <cell r="J431" t="str">
            <v>J</v>
          </cell>
        </row>
        <row r="432">
          <cell r="B432">
            <v>8676</v>
          </cell>
          <cell r="C432" t="str">
            <v>一般风险准备_所有者权益其他内部结转</v>
          </cell>
          <cell r="D432">
            <v>-1</v>
          </cell>
          <cell r="G432" t="str">
            <v>其他</v>
          </cell>
          <cell r="I432">
            <v>8676</v>
          </cell>
          <cell r="J432" t="str">
            <v>J</v>
          </cell>
        </row>
        <row r="433">
          <cell r="B433">
            <v>8696</v>
          </cell>
          <cell r="C433" t="str">
            <v>一般风险准备_本期其他增减变动</v>
          </cell>
          <cell r="D433">
            <v>-1</v>
          </cell>
          <cell r="E433" t="str">
            <v>LOW</v>
          </cell>
          <cell r="G433" t="str">
            <v>（七）其他</v>
          </cell>
          <cell r="I433">
            <v>8696</v>
          </cell>
          <cell r="J433" t="str">
            <v>J</v>
          </cell>
        </row>
        <row r="434">
          <cell r="B434">
            <v>8699</v>
          </cell>
          <cell r="C434" t="str">
            <v>一般风险准备_本期期末余额</v>
          </cell>
          <cell r="E434" t="str">
            <v>＝</v>
          </cell>
          <cell r="G434" t="str">
            <v>四、本期期末余额</v>
          </cell>
          <cell r="I434">
            <v>8699</v>
          </cell>
        </row>
        <row r="435">
          <cell r="B435">
            <v>8700</v>
          </cell>
          <cell r="C435" t="str">
            <v>未分配利润增减变动</v>
          </cell>
          <cell r="E435" t="str">
            <v>：</v>
          </cell>
          <cell r="G435" t="str">
            <v>未分配利润增减变动</v>
          </cell>
          <cell r="I435">
            <v>8700</v>
          </cell>
        </row>
        <row r="436">
          <cell r="B436">
            <v>8701</v>
          </cell>
          <cell r="C436" t="str">
            <v>未分配利润_上年年末余额</v>
          </cell>
          <cell r="D436">
            <v>-1</v>
          </cell>
          <cell r="F436">
            <v>5610</v>
          </cell>
          <cell r="G436" t="str">
            <v>一、上年年末余额</v>
          </cell>
          <cell r="I436">
            <v>8701</v>
          </cell>
          <cell r="J436" t="str">
            <v>J</v>
          </cell>
        </row>
        <row r="437">
          <cell r="B437">
            <v>8702</v>
          </cell>
          <cell r="C437" t="str">
            <v>未分配利润_会计政策变更调整上年年末余额</v>
          </cell>
          <cell r="D437">
            <v>-1</v>
          </cell>
          <cell r="F437">
            <v>5610</v>
          </cell>
          <cell r="G437" t="str">
            <v>加：会计政策变更</v>
          </cell>
          <cell r="I437">
            <v>8702</v>
          </cell>
          <cell r="J437" t="str">
            <v>J</v>
          </cell>
        </row>
        <row r="438">
          <cell r="B438">
            <v>8703</v>
          </cell>
          <cell r="C438" t="str">
            <v>未分配利润_前期差错更正调整上年年末余额</v>
          </cell>
          <cell r="D438">
            <v>-1</v>
          </cell>
          <cell r="F438">
            <v>5610</v>
          </cell>
          <cell r="G438" t="str">
            <v>前期差错更正</v>
          </cell>
          <cell r="I438">
            <v>8703</v>
          </cell>
          <cell r="J438" t="str">
            <v>J</v>
          </cell>
        </row>
        <row r="439">
          <cell r="B439">
            <v>8704</v>
          </cell>
          <cell r="C439" t="str">
            <v>未分配利润_同一控制下企业合并调整上年年末余额</v>
          </cell>
          <cell r="D439">
            <v>-1</v>
          </cell>
          <cell r="E439" t="str">
            <v>※</v>
          </cell>
          <cell r="F439">
            <v>5610</v>
          </cell>
          <cell r="G439" t="str">
            <v>同一控制下企业合并</v>
          </cell>
          <cell r="I439">
            <v>8704</v>
          </cell>
          <cell r="J439" t="str">
            <v>J</v>
          </cell>
        </row>
        <row r="440">
          <cell r="B440">
            <v>8709</v>
          </cell>
          <cell r="C440" t="str">
            <v>未分配利润_其他原因调整上年年末余额</v>
          </cell>
          <cell r="D440">
            <v>-1</v>
          </cell>
          <cell r="F440">
            <v>5610</v>
          </cell>
          <cell r="G440" t="str">
            <v>其他</v>
          </cell>
          <cell r="I440">
            <v>8709</v>
          </cell>
          <cell r="J440" t="str">
            <v>J</v>
          </cell>
        </row>
        <row r="441">
          <cell r="B441">
            <v>8710</v>
          </cell>
          <cell r="C441" t="str">
            <v>未分配利润_本年年初余额</v>
          </cell>
          <cell r="E441" t="str">
            <v>＝</v>
          </cell>
          <cell r="G441" t="str">
            <v>二、本年年初余额</v>
          </cell>
          <cell r="I441">
            <v>8710</v>
          </cell>
        </row>
        <row r="442">
          <cell r="B442">
            <v>8753</v>
          </cell>
          <cell r="C442" t="str">
            <v>未分配利润_其他权益工具持有者投入资本</v>
          </cell>
          <cell r="D442">
            <v>-1</v>
          </cell>
          <cell r="E442" t="str">
            <v>OEI</v>
          </cell>
          <cell r="F442">
            <v>5610</v>
          </cell>
          <cell r="G442" t="str">
            <v>其他权益工具持有者投入资本</v>
          </cell>
          <cell r="I442">
            <v>8753</v>
          </cell>
          <cell r="J442" t="str">
            <v>J</v>
          </cell>
        </row>
        <row r="443">
          <cell r="B443">
            <v>8790</v>
          </cell>
          <cell r="C443" t="str">
            <v>未分配利润_本期增减变动金额</v>
          </cell>
          <cell r="E443" t="str">
            <v>＝</v>
          </cell>
          <cell r="G443" t="str">
            <v>三、本期增减变动金额（减少以“-”号填列）</v>
          </cell>
          <cell r="I443">
            <v>8790</v>
          </cell>
        </row>
        <row r="444">
          <cell r="B444">
            <v>8721</v>
          </cell>
          <cell r="C444" t="str">
            <v>未分配利润_净利润增加权益</v>
          </cell>
          <cell r="D444">
            <v>-1</v>
          </cell>
          <cell r="G444" t="str">
            <v>（一）净利润</v>
          </cell>
          <cell r="I444">
            <v>8721</v>
          </cell>
        </row>
        <row r="445">
          <cell r="B445">
            <v>8740</v>
          </cell>
          <cell r="C445" t="str">
            <v>未分配利润_综合收益总额增加权益</v>
          </cell>
          <cell r="D445">
            <v>-1</v>
          </cell>
          <cell r="G445" t="str">
            <v>（一）综合收益总额</v>
          </cell>
          <cell r="I445">
            <v>8740</v>
          </cell>
        </row>
        <row r="446">
          <cell r="B446">
            <v>8750</v>
          </cell>
          <cell r="C446" t="str">
            <v>未分配利润_所有者投入和减少资本影响权益</v>
          </cell>
          <cell r="E446" t="str">
            <v>＝</v>
          </cell>
          <cell r="G446" t="str">
            <v>（二）所有者投入和减少资本</v>
          </cell>
          <cell r="I446">
            <v>8750</v>
          </cell>
        </row>
        <row r="447">
          <cell r="B447">
            <v>8756</v>
          </cell>
          <cell r="C447" t="str">
            <v>未分配利润_所有者其他投入和减少资本</v>
          </cell>
          <cell r="D447">
            <v>-1</v>
          </cell>
          <cell r="F447">
            <v>5610</v>
          </cell>
          <cell r="G447" t="str">
            <v>其他</v>
          </cell>
          <cell r="I447">
            <v>8756</v>
          </cell>
          <cell r="J447" t="str">
            <v>J</v>
          </cell>
        </row>
        <row r="448">
          <cell r="B448">
            <v>8760</v>
          </cell>
          <cell r="C448" t="str">
            <v>未分配利润_利润分配影响权益</v>
          </cell>
          <cell r="E448" t="str">
            <v>＝</v>
          </cell>
          <cell r="G448" t="str">
            <v>（三）利润分配</v>
          </cell>
          <cell r="I448">
            <v>8760</v>
          </cell>
        </row>
        <row r="449">
          <cell r="B449">
            <v>8761</v>
          </cell>
          <cell r="C449" t="str">
            <v>未分配利润_提取盈余公积</v>
          </cell>
          <cell r="D449">
            <v>-1</v>
          </cell>
          <cell r="F449">
            <v>5610</v>
          </cell>
          <cell r="G449" t="str">
            <v>提取盈余公积</v>
          </cell>
          <cell r="I449">
            <v>8761</v>
          </cell>
          <cell r="J449" t="str">
            <v>J</v>
          </cell>
        </row>
        <row r="450">
          <cell r="B450">
            <v>8762</v>
          </cell>
          <cell r="C450" t="str">
            <v>未分配利润_提取一般风险准备</v>
          </cell>
          <cell r="D450">
            <v>-1</v>
          </cell>
          <cell r="F450">
            <v>5610</v>
          </cell>
          <cell r="G450" t="str">
            <v>提取一般风险准备</v>
          </cell>
          <cell r="I450">
            <v>8762</v>
          </cell>
          <cell r="J450" t="str">
            <v>J</v>
          </cell>
        </row>
        <row r="451">
          <cell r="B451">
            <v>8763</v>
          </cell>
          <cell r="C451" t="str">
            <v>未分配利润_对所有者的分配</v>
          </cell>
          <cell r="D451">
            <v>-1</v>
          </cell>
          <cell r="F451">
            <v>5610</v>
          </cell>
          <cell r="G451" t="str">
            <v>对所有者（或股东）的分配</v>
          </cell>
          <cell r="I451">
            <v>8763</v>
          </cell>
          <cell r="J451" t="str">
            <v>J</v>
          </cell>
        </row>
        <row r="452">
          <cell r="B452">
            <v>8766</v>
          </cell>
          <cell r="C452" t="str">
            <v>未分配利润_其他利润分配</v>
          </cell>
          <cell r="D452">
            <v>-1</v>
          </cell>
          <cell r="F452">
            <v>5610</v>
          </cell>
          <cell r="G452" t="str">
            <v>其他</v>
          </cell>
          <cell r="I452">
            <v>8766</v>
          </cell>
          <cell r="J452" t="str">
            <v>J</v>
          </cell>
        </row>
        <row r="453">
          <cell r="B453">
            <v>8770</v>
          </cell>
          <cell r="C453" t="str">
            <v>未分配利润_所有者权益内部结转</v>
          </cell>
          <cell r="E453" t="str">
            <v>＝</v>
          </cell>
          <cell r="G453" t="str">
            <v>（四）所有者权益内部结转</v>
          </cell>
          <cell r="I453">
            <v>8770</v>
          </cell>
        </row>
        <row r="454">
          <cell r="B454">
            <v>8773</v>
          </cell>
          <cell r="C454" t="str">
            <v>未分配利润_盈余公积弥补亏损</v>
          </cell>
          <cell r="D454">
            <v>-1</v>
          </cell>
          <cell r="F454">
            <v>5610</v>
          </cell>
          <cell r="G454" t="str">
            <v>盈余公积弥补亏损</v>
          </cell>
          <cell r="I454">
            <v>8773</v>
          </cell>
          <cell r="J454" t="str">
            <v>J</v>
          </cell>
        </row>
        <row r="455">
          <cell r="B455">
            <v>8775</v>
          </cell>
          <cell r="C455" t="str">
            <v>未分配利润_设定受益计划变动额结转留存收益</v>
          </cell>
          <cell r="D455">
            <v>-1</v>
          </cell>
          <cell r="E455" t="str">
            <v>OEI</v>
          </cell>
          <cell r="F455">
            <v>5610</v>
          </cell>
          <cell r="G455" t="str">
            <v>设定受益计划变动额结转留存收益</v>
          </cell>
          <cell r="I455">
            <v>8775</v>
          </cell>
          <cell r="J455" t="str">
            <v>J</v>
          </cell>
        </row>
        <row r="456">
          <cell r="B456">
            <v>8776</v>
          </cell>
          <cell r="C456" t="str">
            <v>未分配利润_所有者权益其他内部结转</v>
          </cell>
          <cell r="D456">
            <v>-1</v>
          </cell>
          <cell r="F456">
            <v>5610</v>
          </cell>
          <cell r="G456" t="str">
            <v>其他</v>
          </cell>
          <cell r="I456">
            <v>8776</v>
          </cell>
          <cell r="J456" t="str">
            <v>J</v>
          </cell>
        </row>
        <row r="457">
          <cell r="B457">
            <v>8780</v>
          </cell>
          <cell r="C457" t="str">
            <v>未分配利润_专项储备影响权益</v>
          </cell>
          <cell r="E457" t="str">
            <v>＝</v>
          </cell>
          <cell r="G457" t="str">
            <v>（五）专项储备</v>
          </cell>
          <cell r="I457">
            <v>8780</v>
          </cell>
        </row>
        <row r="458">
          <cell r="B458">
            <v>8781</v>
          </cell>
          <cell r="C458" t="str">
            <v>未分配利润_专项储备本期提取</v>
          </cell>
          <cell r="D458">
            <v>-1</v>
          </cell>
          <cell r="E458" t="str">
            <v>LOW</v>
          </cell>
          <cell r="F458">
            <v>5610</v>
          </cell>
          <cell r="G458" t="str">
            <v>本期提取</v>
          </cell>
          <cell r="I458">
            <v>8781</v>
          </cell>
          <cell r="J458" t="str">
            <v>J</v>
          </cell>
        </row>
        <row r="459">
          <cell r="B459">
            <v>8782</v>
          </cell>
          <cell r="C459" t="str">
            <v>未分配利润_专项储备本期使用</v>
          </cell>
          <cell r="D459">
            <v>-1</v>
          </cell>
          <cell r="E459" t="str">
            <v>LOW</v>
          </cell>
          <cell r="F459">
            <v>5610</v>
          </cell>
          <cell r="G459" t="str">
            <v>本期使用</v>
          </cell>
          <cell r="I459">
            <v>8782</v>
          </cell>
          <cell r="J459" t="str">
            <v>J</v>
          </cell>
        </row>
        <row r="460">
          <cell r="B460">
            <v>8796</v>
          </cell>
          <cell r="C460" t="str">
            <v>未分配利润_本期其他增减变动</v>
          </cell>
          <cell r="D460">
            <v>-1</v>
          </cell>
          <cell r="E460" t="str">
            <v>LOW</v>
          </cell>
          <cell r="F460">
            <v>5610</v>
          </cell>
          <cell r="G460" t="str">
            <v>（七）其他</v>
          </cell>
          <cell r="I460">
            <v>8796</v>
          </cell>
          <cell r="J460" t="str">
            <v>J</v>
          </cell>
        </row>
        <row r="461">
          <cell r="B461">
            <v>8799</v>
          </cell>
          <cell r="C461" t="str">
            <v>未分配利润_本期期末余额</v>
          </cell>
          <cell r="E461" t="str">
            <v>＝</v>
          </cell>
          <cell r="G461" t="str">
            <v>四、本期期末余额</v>
          </cell>
          <cell r="I461">
            <v>8799</v>
          </cell>
        </row>
        <row r="462">
          <cell r="B462">
            <v>8800</v>
          </cell>
          <cell r="C462" t="str">
            <v>其他归属于母公司所有者权益增减变动</v>
          </cell>
          <cell r="E462" t="str">
            <v>※</v>
          </cell>
          <cell r="G462" t="str">
            <v>其他归属于母公司所有者权益增减变动</v>
          </cell>
          <cell r="I462">
            <v>8800</v>
          </cell>
        </row>
        <row r="463">
          <cell r="B463">
            <v>8801</v>
          </cell>
          <cell r="C463" t="str">
            <v>其他归属于母公司所有者权益_上年年末余额</v>
          </cell>
          <cell r="D463">
            <v>-1</v>
          </cell>
          <cell r="E463" t="str">
            <v>※</v>
          </cell>
          <cell r="G463" t="str">
            <v>一、上年年末余额</v>
          </cell>
          <cell r="I463">
            <v>8801</v>
          </cell>
        </row>
        <row r="464">
          <cell r="B464">
            <v>8802</v>
          </cell>
          <cell r="C464" t="str">
            <v>其他归属于母公司所有者权益_会计政策变更调整上年年末余额</v>
          </cell>
          <cell r="D464">
            <v>-1</v>
          </cell>
          <cell r="E464" t="str">
            <v>※LOW</v>
          </cell>
          <cell r="G464" t="str">
            <v>加：会计政策变更</v>
          </cell>
          <cell r="I464">
            <v>8802</v>
          </cell>
        </row>
        <row r="465">
          <cell r="B465">
            <v>8803</v>
          </cell>
          <cell r="C465" t="str">
            <v>其他归属于母公司所有者权益_前期差错更正调整上年年末余额</v>
          </cell>
          <cell r="D465">
            <v>-1</v>
          </cell>
          <cell r="E465" t="str">
            <v>※LOW</v>
          </cell>
          <cell r="G465" t="str">
            <v>前期差错更正</v>
          </cell>
          <cell r="I465">
            <v>8803</v>
          </cell>
        </row>
        <row r="466">
          <cell r="B466">
            <v>8804</v>
          </cell>
          <cell r="C466" t="str">
            <v>其他归属于母公司所有者权益_同一控制下企业合并调整上年年末余额</v>
          </cell>
          <cell r="D466">
            <v>-1</v>
          </cell>
          <cell r="E466" t="str">
            <v>※</v>
          </cell>
          <cell r="G466" t="str">
            <v>同一控制下企业合并</v>
          </cell>
          <cell r="I466">
            <v>8804</v>
          </cell>
        </row>
        <row r="467">
          <cell r="B467">
            <v>8809</v>
          </cell>
          <cell r="C467" t="str">
            <v>其他归属于母公司所有者权益_其他原因调整上年年末余额</v>
          </cell>
          <cell r="D467">
            <v>-1</v>
          </cell>
          <cell r="E467" t="str">
            <v>※LOW</v>
          </cell>
          <cell r="G467" t="str">
            <v>其他</v>
          </cell>
          <cell r="I467">
            <v>8809</v>
          </cell>
        </row>
        <row r="468">
          <cell r="B468">
            <v>8810</v>
          </cell>
          <cell r="C468" t="str">
            <v>其他归属于母公司所有者权益_本年年初余额</v>
          </cell>
          <cell r="E468" t="str">
            <v>※＝</v>
          </cell>
          <cell r="G468" t="str">
            <v>二、本年年初余额</v>
          </cell>
          <cell r="I468">
            <v>8810</v>
          </cell>
        </row>
        <row r="469">
          <cell r="B469">
            <v>8890</v>
          </cell>
          <cell r="C469" t="str">
            <v>其他归属于母公司所有者权益_本期增减变动金额</v>
          </cell>
          <cell r="E469" t="str">
            <v>※＝</v>
          </cell>
          <cell r="G469" t="str">
            <v>三、本期增减变动金额（减少以“-”号填列）</v>
          </cell>
          <cell r="I469">
            <v>8890</v>
          </cell>
        </row>
        <row r="470">
          <cell r="B470">
            <v>8821</v>
          </cell>
          <cell r="C470" t="str">
            <v>其他归属于母公司所有者权益_净利润增加权益</v>
          </cell>
          <cell r="D470">
            <v>-1</v>
          </cell>
          <cell r="E470" t="str">
            <v>※LOW</v>
          </cell>
          <cell r="G470" t="str">
            <v>（一）净利润</v>
          </cell>
          <cell r="I470">
            <v>8821</v>
          </cell>
        </row>
        <row r="471">
          <cell r="B471">
            <v>8830</v>
          </cell>
          <cell r="C471" t="str">
            <v>其他归属于母公司所有者权益_其他综合收益</v>
          </cell>
          <cell r="D471">
            <v>-1</v>
          </cell>
          <cell r="E471" t="str">
            <v>※LOW</v>
          </cell>
          <cell r="G471" t="str">
            <v>（二）其他综合收益</v>
          </cell>
          <cell r="I471">
            <v>8830</v>
          </cell>
        </row>
        <row r="472">
          <cell r="B472">
            <v>8840</v>
          </cell>
          <cell r="C472" t="str">
            <v>其他归属于母公司所有者权益_综合收益总额增加权益</v>
          </cell>
          <cell r="D472">
            <v>-1</v>
          </cell>
          <cell r="E472" t="str">
            <v>※</v>
          </cell>
          <cell r="G472" t="str">
            <v>（一）综合收益总额</v>
          </cell>
          <cell r="I472">
            <v>8840</v>
          </cell>
        </row>
        <row r="473">
          <cell r="B473">
            <v>8850</v>
          </cell>
          <cell r="C473" t="str">
            <v>其他归属于母公司所有者权益_所有者投入和减少资本影响权益</v>
          </cell>
          <cell r="E473" t="str">
            <v>※＝</v>
          </cell>
          <cell r="G473" t="str">
            <v>（二）所有者投入和减少资本</v>
          </cell>
          <cell r="I473">
            <v>8850</v>
          </cell>
        </row>
        <row r="474">
          <cell r="B474">
            <v>8851</v>
          </cell>
          <cell r="C474" t="str">
            <v>其他归属于母公司所有者权益_所有者投入资本</v>
          </cell>
          <cell r="D474">
            <v>-1</v>
          </cell>
          <cell r="E474" t="str">
            <v>※LOW</v>
          </cell>
          <cell r="G474" t="str">
            <v>所有者投入资本</v>
          </cell>
          <cell r="I474">
            <v>8851</v>
          </cell>
        </row>
        <row r="475">
          <cell r="B475">
            <v>8852</v>
          </cell>
          <cell r="C475" t="str">
            <v>其他归属于母公司所有者权益_股份支付</v>
          </cell>
          <cell r="D475">
            <v>-1</v>
          </cell>
          <cell r="E475" t="str">
            <v>※LOW</v>
          </cell>
          <cell r="G475" t="str">
            <v>股份支付计入所有者权益的金额</v>
          </cell>
          <cell r="I475">
            <v>8852</v>
          </cell>
        </row>
        <row r="476">
          <cell r="B476">
            <v>8853</v>
          </cell>
          <cell r="C476" t="str">
            <v>其他归属于母公司所有者权益_其他权益工具持有者投入资本</v>
          </cell>
          <cell r="D476">
            <v>-1</v>
          </cell>
          <cell r="E476" t="str">
            <v>※OEI</v>
          </cell>
          <cell r="G476" t="str">
            <v>其他权益工具持有者投入资本</v>
          </cell>
          <cell r="I476">
            <v>8853</v>
          </cell>
        </row>
        <row r="477">
          <cell r="B477">
            <v>8856</v>
          </cell>
          <cell r="C477" t="str">
            <v>其他归属于母公司所有者权益_所有者其他投入和减少资本</v>
          </cell>
          <cell r="D477">
            <v>-1</v>
          </cell>
          <cell r="E477" t="str">
            <v>※LOW</v>
          </cell>
          <cell r="G477" t="str">
            <v>其他</v>
          </cell>
          <cell r="I477">
            <v>8856</v>
          </cell>
        </row>
        <row r="478">
          <cell r="B478">
            <v>8860</v>
          </cell>
          <cell r="C478" t="str">
            <v>其他归属于母公司所有者权益_利润分配影响权益</v>
          </cell>
          <cell r="E478" t="str">
            <v>※＝</v>
          </cell>
          <cell r="G478" t="str">
            <v>（三）利润分配</v>
          </cell>
          <cell r="I478">
            <v>8860</v>
          </cell>
        </row>
        <row r="479">
          <cell r="B479">
            <v>8861</v>
          </cell>
          <cell r="C479" t="str">
            <v>其他归属于母公司所有者权益_提取盈余公积</v>
          </cell>
          <cell r="D479">
            <v>-1</v>
          </cell>
          <cell r="E479" t="str">
            <v>※LOW</v>
          </cell>
          <cell r="G479" t="str">
            <v>提取盈余公积</v>
          </cell>
          <cell r="I479">
            <v>8861</v>
          </cell>
        </row>
        <row r="480">
          <cell r="B480">
            <v>8862</v>
          </cell>
          <cell r="C480" t="str">
            <v>其他归属于母公司所有者权益_提取一般风险准备</v>
          </cell>
          <cell r="D480">
            <v>-1</v>
          </cell>
          <cell r="E480" t="str">
            <v>※LOW</v>
          </cell>
          <cell r="G480" t="str">
            <v>提取一般风险准备</v>
          </cell>
          <cell r="I480">
            <v>8862</v>
          </cell>
        </row>
        <row r="481">
          <cell r="B481">
            <v>8863</v>
          </cell>
          <cell r="C481" t="str">
            <v>其他归属于母公司所有者权益_对所有者的分配</v>
          </cell>
          <cell r="D481">
            <v>-1</v>
          </cell>
          <cell r="E481" t="str">
            <v>※LOW</v>
          </cell>
          <cell r="G481" t="str">
            <v>对所有者（或股东）的分配</v>
          </cell>
          <cell r="I481">
            <v>8863</v>
          </cell>
        </row>
        <row r="482">
          <cell r="B482">
            <v>8866</v>
          </cell>
          <cell r="C482" t="str">
            <v>其他归属于母公司所有者权益_其他利润分配</v>
          </cell>
          <cell r="D482">
            <v>-1</v>
          </cell>
          <cell r="E482" t="str">
            <v>※LOW</v>
          </cell>
          <cell r="G482" t="str">
            <v>其他</v>
          </cell>
          <cell r="I482">
            <v>8866</v>
          </cell>
        </row>
        <row r="483">
          <cell r="B483">
            <v>8870</v>
          </cell>
          <cell r="C483" t="str">
            <v>其他归属于母公司所有者权益_所有者权益内部结转</v>
          </cell>
          <cell r="E483" t="str">
            <v>※＝</v>
          </cell>
          <cell r="G483" t="str">
            <v>（四）所有者权益内部结转</v>
          </cell>
          <cell r="I483">
            <v>8870</v>
          </cell>
        </row>
        <row r="484">
          <cell r="B484">
            <v>8871</v>
          </cell>
          <cell r="C484" t="str">
            <v>其他归属于母公司所有者权益_资本公积转增资本</v>
          </cell>
          <cell r="D484">
            <v>-1</v>
          </cell>
          <cell r="E484" t="str">
            <v>※LOW</v>
          </cell>
          <cell r="G484" t="str">
            <v>资本公积转增资本（或股本）</v>
          </cell>
          <cell r="I484">
            <v>8871</v>
          </cell>
        </row>
        <row r="485">
          <cell r="B485">
            <v>8872</v>
          </cell>
          <cell r="C485" t="str">
            <v>其他归属于母公司所有者权益_盈余公积转增资本</v>
          </cell>
          <cell r="D485">
            <v>-1</v>
          </cell>
          <cell r="E485" t="str">
            <v>※LOW</v>
          </cell>
          <cell r="G485" t="str">
            <v>盈余公积转增资本（或股本）</v>
          </cell>
          <cell r="I485">
            <v>8872</v>
          </cell>
        </row>
        <row r="486">
          <cell r="B486">
            <v>8873</v>
          </cell>
          <cell r="C486" t="str">
            <v>其他归属于母公司所有者权益_盈余公积弥补亏损</v>
          </cell>
          <cell r="D486">
            <v>-1</v>
          </cell>
          <cell r="E486" t="str">
            <v>※LOW</v>
          </cell>
          <cell r="G486" t="str">
            <v>盈余公积弥补亏损</v>
          </cell>
          <cell r="I486">
            <v>8873</v>
          </cell>
        </row>
        <row r="487">
          <cell r="B487">
            <v>8875</v>
          </cell>
          <cell r="C487" t="str">
            <v>其他归属于母公司所有者权益_设定受益计划变动额结转留存收益</v>
          </cell>
          <cell r="D487">
            <v>-1</v>
          </cell>
          <cell r="E487" t="str">
            <v>※OEI</v>
          </cell>
          <cell r="G487" t="str">
            <v>设定受益计划变动额结转留存收益</v>
          </cell>
          <cell r="I487">
            <v>8875</v>
          </cell>
        </row>
        <row r="488">
          <cell r="B488">
            <v>8876</v>
          </cell>
          <cell r="C488" t="str">
            <v>其他归属于母公司所有者权益_所有者权益其他内部结转</v>
          </cell>
          <cell r="D488">
            <v>-1</v>
          </cell>
          <cell r="E488" t="str">
            <v>※LOW</v>
          </cell>
          <cell r="G488" t="str">
            <v>其他</v>
          </cell>
          <cell r="I488">
            <v>8876</v>
          </cell>
        </row>
        <row r="489">
          <cell r="B489">
            <v>8880</v>
          </cell>
          <cell r="C489" t="str">
            <v>其他归属于母公司所有者权益_专项储备影响权益</v>
          </cell>
          <cell r="E489" t="str">
            <v>※＝</v>
          </cell>
          <cell r="G489" t="str">
            <v>（五）专项储备</v>
          </cell>
          <cell r="I489">
            <v>8880</v>
          </cell>
        </row>
        <row r="490">
          <cell r="B490">
            <v>8881</v>
          </cell>
          <cell r="C490" t="str">
            <v>其他归属于母公司所有者权益_专项储备本期提取</v>
          </cell>
          <cell r="D490">
            <v>-1</v>
          </cell>
          <cell r="E490" t="str">
            <v>※LOW</v>
          </cell>
          <cell r="G490" t="str">
            <v>本期提取</v>
          </cell>
          <cell r="I490">
            <v>8881</v>
          </cell>
        </row>
        <row r="491">
          <cell r="B491">
            <v>8882</v>
          </cell>
          <cell r="C491" t="str">
            <v>其他归属于母公司所有者权益_专项储备本期使用</v>
          </cell>
          <cell r="D491">
            <v>-1</v>
          </cell>
          <cell r="E491" t="str">
            <v>※LOW</v>
          </cell>
          <cell r="G491" t="str">
            <v>本期使用</v>
          </cell>
          <cell r="I491">
            <v>8882</v>
          </cell>
        </row>
        <row r="492">
          <cell r="B492">
            <v>8896</v>
          </cell>
          <cell r="C492" t="str">
            <v>其他归属于母公司所有者权益_本期其他增减变动</v>
          </cell>
          <cell r="D492">
            <v>-1</v>
          </cell>
          <cell r="E492" t="str">
            <v>※LOW</v>
          </cell>
          <cell r="G492" t="str">
            <v>（七）其他</v>
          </cell>
          <cell r="I492">
            <v>8896</v>
          </cell>
        </row>
        <row r="493">
          <cell r="B493">
            <v>8899</v>
          </cell>
          <cell r="C493" t="str">
            <v>其他归属于母公司所有者权益_本期期末余额</v>
          </cell>
          <cell r="E493" t="str">
            <v>※＝</v>
          </cell>
          <cell r="G493" t="str">
            <v>四、本期期末余额</v>
          </cell>
          <cell r="I493">
            <v>8899</v>
          </cell>
        </row>
        <row r="494">
          <cell r="B494">
            <v>8900</v>
          </cell>
          <cell r="C494" t="str">
            <v>少数股东权益增减变动</v>
          </cell>
          <cell r="E494" t="str">
            <v>※</v>
          </cell>
          <cell r="G494" t="str">
            <v>少数股东权益增减变动</v>
          </cell>
          <cell r="I494">
            <v>8900</v>
          </cell>
        </row>
        <row r="495">
          <cell r="B495">
            <v>8901</v>
          </cell>
          <cell r="C495" t="str">
            <v>少数股东权益_上年年末余额</v>
          </cell>
          <cell r="D495">
            <v>-1</v>
          </cell>
          <cell r="E495" t="str">
            <v>※</v>
          </cell>
          <cell r="G495" t="str">
            <v>一、上年年末余额</v>
          </cell>
          <cell r="I495">
            <v>8901</v>
          </cell>
          <cell r="J495" t="str">
            <v>J</v>
          </cell>
        </row>
        <row r="496">
          <cell r="B496">
            <v>8902</v>
          </cell>
          <cell r="C496" t="str">
            <v>少数股东权益_会计政策变更调整上年年末余额</v>
          </cell>
          <cell r="D496">
            <v>-1</v>
          </cell>
          <cell r="E496" t="str">
            <v>※</v>
          </cell>
          <cell r="G496" t="str">
            <v>加：会计政策变更</v>
          </cell>
          <cell r="I496">
            <v>8902</v>
          </cell>
          <cell r="J496" t="str">
            <v>J</v>
          </cell>
        </row>
        <row r="497">
          <cell r="B497">
            <v>8903</v>
          </cell>
          <cell r="C497" t="str">
            <v>少数股东权益_前期差错更正调整上年年末余额</v>
          </cell>
          <cell r="D497">
            <v>-1</v>
          </cell>
          <cell r="E497" t="str">
            <v>※</v>
          </cell>
          <cell r="G497" t="str">
            <v>前期差错更正</v>
          </cell>
          <cell r="I497">
            <v>8903</v>
          </cell>
          <cell r="J497" t="str">
            <v>J</v>
          </cell>
        </row>
        <row r="498">
          <cell r="B498">
            <v>8904</v>
          </cell>
          <cell r="C498" t="str">
            <v>少数股东权益_同一控制下企业合并调整上年年末余额</v>
          </cell>
          <cell r="D498">
            <v>-1</v>
          </cell>
          <cell r="E498" t="str">
            <v>※</v>
          </cell>
          <cell r="G498" t="str">
            <v>同一控制下企业合并</v>
          </cell>
          <cell r="I498">
            <v>8904</v>
          </cell>
          <cell r="J498" t="str">
            <v>J</v>
          </cell>
        </row>
        <row r="499">
          <cell r="B499">
            <v>8909</v>
          </cell>
          <cell r="C499" t="str">
            <v>少数股东权益_其他原因调整上年年末余额</v>
          </cell>
          <cell r="D499">
            <v>-1</v>
          </cell>
          <cell r="E499" t="str">
            <v>※</v>
          </cell>
          <cell r="G499" t="str">
            <v>其他</v>
          </cell>
          <cell r="I499">
            <v>8909</v>
          </cell>
          <cell r="J499" t="str">
            <v>J</v>
          </cell>
        </row>
        <row r="500">
          <cell r="B500">
            <v>8910</v>
          </cell>
          <cell r="C500" t="str">
            <v>少数股东权益_本年年初余额</v>
          </cell>
          <cell r="E500" t="str">
            <v>※＝</v>
          </cell>
          <cell r="G500" t="str">
            <v>二、本年年初余额</v>
          </cell>
          <cell r="I500">
            <v>8910</v>
          </cell>
        </row>
        <row r="501">
          <cell r="B501">
            <v>8990</v>
          </cell>
          <cell r="C501" t="str">
            <v>少数股东权益_本期增减变动金额</v>
          </cell>
          <cell r="E501" t="str">
            <v>※＝</v>
          </cell>
          <cell r="G501" t="str">
            <v>三、本期增减变动金额（减少以“-”号填列）</v>
          </cell>
          <cell r="I501">
            <v>8990</v>
          </cell>
        </row>
        <row r="502">
          <cell r="B502">
            <v>8921</v>
          </cell>
          <cell r="C502" t="str">
            <v>少数股东权益_净利润</v>
          </cell>
          <cell r="D502">
            <v>-1</v>
          </cell>
          <cell r="E502" t="str">
            <v>※</v>
          </cell>
          <cell r="G502" t="str">
            <v>（一）净利润</v>
          </cell>
          <cell r="I502">
            <v>8921</v>
          </cell>
          <cell r="J502" t="str">
            <v>J</v>
          </cell>
        </row>
        <row r="503">
          <cell r="B503">
            <v>8930</v>
          </cell>
          <cell r="C503" t="str">
            <v>少数股东权益_其他综合收益</v>
          </cell>
          <cell r="D503">
            <v>-1</v>
          </cell>
          <cell r="E503" t="str">
            <v>※</v>
          </cell>
          <cell r="G503" t="str">
            <v>（二）其他综合收益</v>
          </cell>
          <cell r="I503">
            <v>8930</v>
          </cell>
          <cell r="J503" t="str">
            <v>J</v>
          </cell>
        </row>
        <row r="504">
          <cell r="B504">
            <v>8940</v>
          </cell>
          <cell r="C504" t="str">
            <v>少数股东权益_综合收益总额增加权益</v>
          </cell>
          <cell r="D504">
            <v>-1</v>
          </cell>
          <cell r="E504" t="str">
            <v>※</v>
          </cell>
          <cell r="G504" t="str">
            <v>（一）综合收益总额</v>
          </cell>
          <cell r="I504">
            <v>8940</v>
          </cell>
          <cell r="J504" t="str">
            <v>J</v>
          </cell>
        </row>
        <row r="505">
          <cell r="B505">
            <v>8950</v>
          </cell>
          <cell r="C505" t="str">
            <v>少数股东权益_所有者投入和减少资本影响权益</v>
          </cell>
          <cell r="E505" t="str">
            <v>※＝</v>
          </cell>
          <cell r="G505" t="str">
            <v>（二）所有者投入和减少资本</v>
          </cell>
          <cell r="I505">
            <v>8950</v>
          </cell>
        </row>
        <row r="506">
          <cell r="B506">
            <v>8951</v>
          </cell>
          <cell r="C506" t="str">
            <v>少数股东权益_所有者投入资本</v>
          </cell>
          <cell r="D506">
            <v>-1</v>
          </cell>
          <cell r="E506" t="str">
            <v>※</v>
          </cell>
          <cell r="G506" t="str">
            <v>所有者投入资本</v>
          </cell>
          <cell r="I506">
            <v>8951</v>
          </cell>
          <cell r="J506" t="str">
            <v>J</v>
          </cell>
        </row>
        <row r="507">
          <cell r="B507">
            <v>8952</v>
          </cell>
          <cell r="C507" t="str">
            <v>少数股东权益_股份支付</v>
          </cell>
          <cell r="D507">
            <v>-1</v>
          </cell>
          <cell r="E507" t="str">
            <v>※LOW</v>
          </cell>
          <cell r="G507" t="str">
            <v>股份支付计入所有者权益的金额</v>
          </cell>
          <cell r="I507">
            <v>8952</v>
          </cell>
          <cell r="J507" t="str">
            <v>J</v>
          </cell>
        </row>
        <row r="508">
          <cell r="B508">
            <v>8953</v>
          </cell>
          <cell r="C508" t="str">
            <v>少数股东权益_其他权益工具持有者投入资本</v>
          </cell>
          <cell r="D508">
            <v>-1</v>
          </cell>
          <cell r="E508" t="str">
            <v>※OEI</v>
          </cell>
          <cell r="G508" t="str">
            <v>其他权益工具持有者投入资本</v>
          </cell>
          <cell r="I508">
            <v>8953</v>
          </cell>
          <cell r="J508" t="str">
            <v>J</v>
          </cell>
        </row>
        <row r="509">
          <cell r="B509">
            <v>8956</v>
          </cell>
          <cell r="C509" t="str">
            <v>少数股东权益_所有者其他投入和减少资本</v>
          </cell>
          <cell r="D509">
            <v>-1</v>
          </cell>
          <cell r="E509" t="str">
            <v>※LOW</v>
          </cell>
          <cell r="G509" t="str">
            <v>其他</v>
          </cell>
          <cell r="I509">
            <v>8956</v>
          </cell>
          <cell r="J509" t="str">
            <v>J</v>
          </cell>
        </row>
        <row r="510">
          <cell r="B510">
            <v>8960</v>
          </cell>
          <cell r="C510" t="str">
            <v>少数股东权益_利润分配影响权益</v>
          </cell>
          <cell r="E510" t="str">
            <v>※＝</v>
          </cell>
          <cell r="G510" t="str">
            <v>（三）利润分配</v>
          </cell>
          <cell r="I510">
            <v>8960</v>
          </cell>
        </row>
        <row r="511">
          <cell r="B511">
            <v>8963</v>
          </cell>
          <cell r="C511" t="str">
            <v>少数股东权益_对所有者的分配</v>
          </cell>
          <cell r="D511">
            <v>-1</v>
          </cell>
          <cell r="E511" t="str">
            <v>※</v>
          </cell>
          <cell r="G511" t="str">
            <v>对所有者（或股东）的分配</v>
          </cell>
          <cell r="I511">
            <v>8963</v>
          </cell>
          <cell r="J511" t="str">
            <v>J</v>
          </cell>
        </row>
        <row r="512">
          <cell r="B512">
            <v>8966</v>
          </cell>
          <cell r="C512" t="str">
            <v>少数股东权益_其他利润分配</v>
          </cell>
          <cell r="D512">
            <v>-1</v>
          </cell>
          <cell r="E512" t="str">
            <v>※LOW</v>
          </cell>
          <cell r="G512" t="str">
            <v>其他</v>
          </cell>
          <cell r="I512">
            <v>8966</v>
          </cell>
          <cell r="J512" t="str">
            <v>J</v>
          </cell>
        </row>
        <row r="513">
          <cell r="B513">
            <v>8970</v>
          </cell>
          <cell r="C513" t="str">
            <v>少数股东权益_所有者权益内部结转</v>
          </cell>
          <cell r="E513" t="str">
            <v>※＝</v>
          </cell>
          <cell r="G513" t="str">
            <v>（四）所有者权益内部结转</v>
          </cell>
          <cell r="I513">
            <v>8970</v>
          </cell>
        </row>
        <row r="514">
          <cell r="B514">
            <v>8975</v>
          </cell>
          <cell r="C514" t="str">
            <v>少数股东权益_设定受益计划变动额结转留存收益</v>
          </cell>
          <cell r="D514">
            <v>-1</v>
          </cell>
          <cell r="E514" t="str">
            <v>※OEI</v>
          </cell>
          <cell r="G514" t="str">
            <v>设定受益计划变动额结转留存收益</v>
          </cell>
          <cell r="I514">
            <v>8975</v>
          </cell>
          <cell r="J514" t="str">
            <v>J</v>
          </cell>
        </row>
        <row r="515">
          <cell r="B515">
            <v>8976</v>
          </cell>
          <cell r="C515" t="str">
            <v>少数股东权益_所有者权益其他内部结转</v>
          </cell>
          <cell r="D515">
            <v>-1</v>
          </cell>
          <cell r="E515" t="str">
            <v>※LOW</v>
          </cell>
          <cell r="G515" t="str">
            <v>其他</v>
          </cell>
          <cell r="I515">
            <v>8976</v>
          </cell>
          <cell r="J515" t="str">
            <v>J</v>
          </cell>
        </row>
        <row r="516">
          <cell r="B516">
            <v>8980</v>
          </cell>
          <cell r="C516" t="str">
            <v>少数股东权益_专项储备影响权益</v>
          </cell>
          <cell r="E516" t="str">
            <v>※＝</v>
          </cell>
          <cell r="G516" t="str">
            <v>（五）专项储备</v>
          </cell>
          <cell r="I516">
            <v>8980</v>
          </cell>
        </row>
        <row r="517">
          <cell r="B517">
            <v>8981</v>
          </cell>
          <cell r="C517" t="str">
            <v>少数股东权益_专项储备本期提取</v>
          </cell>
          <cell r="D517">
            <v>-1</v>
          </cell>
          <cell r="E517" t="str">
            <v>※LOW</v>
          </cell>
          <cell r="G517" t="str">
            <v>本期提取</v>
          </cell>
          <cell r="I517">
            <v>8981</v>
          </cell>
          <cell r="J517" t="str">
            <v>J</v>
          </cell>
        </row>
        <row r="518">
          <cell r="B518">
            <v>8982</v>
          </cell>
          <cell r="C518" t="str">
            <v>少数股东权益_专项储备本期使用</v>
          </cell>
          <cell r="D518">
            <v>-1</v>
          </cell>
          <cell r="E518" t="str">
            <v>※LOW</v>
          </cell>
          <cell r="G518" t="str">
            <v>本期使用</v>
          </cell>
          <cell r="I518">
            <v>8982</v>
          </cell>
          <cell r="J518" t="str">
            <v>J</v>
          </cell>
        </row>
        <row r="519">
          <cell r="B519">
            <v>8996</v>
          </cell>
          <cell r="C519" t="str">
            <v>少数股东权益_本期其他增减变动</v>
          </cell>
          <cell r="D519">
            <v>-1</v>
          </cell>
          <cell r="E519" t="str">
            <v>※LOW</v>
          </cell>
          <cell r="G519" t="str">
            <v>（七）其他</v>
          </cell>
          <cell r="I519">
            <v>8996</v>
          </cell>
          <cell r="J519" t="str">
            <v>J</v>
          </cell>
        </row>
        <row r="520">
          <cell r="B520">
            <v>8999</v>
          </cell>
          <cell r="C520" t="str">
            <v>少数股东权益_本期期末余额</v>
          </cell>
          <cell r="E520" t="str">
            <v>※＝</v>
          </cell>
          <cell r="G520" t="str">
            <v>四、本期期末余额</v>
          </cell>
          <cell r="I520">
            <v>8999</v>
          </cell>
        </row>
        <row r="521">
          <cell r="B521">
            <v>7</v>
          </cell>
          <cell r="C521" t="str">
            <v>现金流量表</v>
          </cell>
          <cell r="E521" t="str">
            <v>：</v>
          </cell>
          <cell r="G521" t="str">
            <v>现金流量表</v>
          </cell>
          <cell r="I521">
            <v>7</v>
          </cell>
        </row>
        <row r="522">
          <cell r="B522">
            <v>7000</v>
          </cell>
          <cell r="C522" t="str">
            <v>经营活动现金流量项目</v>
          </cell>
          <cell r="E522" t="str">
            <v>：</v>
          </cell>
          <cell r="G522" t="str">
            <v>一、经营活动产生的现金流量：</v>
          </cell>
          <cell r="H522" t="str">
            <v>一、经营活动产生的现金流量：</v>
          </cell>
          <cell r="I522">
            <v>7000</v>
          </cell>
        </row>
        <row r="523">
          <cell r="B523">
            <v>7001</v>
          </cell>
          <cell r="C523" t="str">
            <v>销售商品提供劳务收到的现金</v>
          </cell>
          <cell r="D523">
            <v>1</v>
          </cell>
          <cell r="G523" t="str">
            <v>销售商品、提供劳务收到的现金</v>
          </cell>
          <cell r="H523" t="str">
            <v>销售商品、提供劳务收到的现金</v>
          </cell>
          <cell r="I523">
            <v>7001</v>
          </cell>
          <cell r="J523" t="str">
            <v>J</v>
          </cell>
        </row>
        <row r="524">
          <cell r="B524">
            <v>7011</v>
          </cell>
          <cell r="C524" t="str">
            <v>客户存款和同业存放款项净增加额</v>
          </cell>
          <cell r="D524">
            <v>1</v>
          </cell>
          <cell r="E524" t="str">
            <v>△</v>
          </cell>
          <cell r="G524" t="str">
            <v>客户存款和同业存放款项净增加额</v>
          </cell>
          <cell r="H524" t="str">
            <v>客户存款和同业存放款项净增加额</v>
          </cell>
          <cell r="I524">
            <v>7011</v>
          </cell>
          <cell r="J524" t="str">
            <v>J</v>
          </cell>
        </row>
        <row r="525">
          <cell r="B525">
            <v>7012</v>
          </cell>
          <cell r="C525" t="str">
            <v>向中央银行借款净增加额</v>
          </cell>
          <cell r="D525">
            <v>1</v>
          </cell>
          <cell r="E525" t="str">
            <v>△</v>
          </cell>
          <cell r="G525" t="str">
            <v>向中央银行借款净增加额</v>
          </cell>
          <cell r="H525" t="str">
            <v>向中央银行借款净增加额</v>
          </cell>
          <cell r="I525">
            <v>7012</v>
          </cell>
          <cell r="J525" t="str">
            <v>J</v>
          </cell>
        </row>
        <row r="526">
          <cell r="B526">
            <v>7013</v>
          </cell>
          <cell r="C526" t="str">
            <v>向其他金融机构拆入资金净增加额</v>
          </cell>
          <cell r="D526">
            <v>1</v>
          </cell>
          <cell r="E526" t="str">
            <v>△</v>
          </cell>
          <cell r="G526" t="str">
            <v>向其他金融机构拆入资金净增加额</v>
          </cell>
          <cell r="H526" t="str">
            <v>向其他金融机构拆入资金净增加额</v>
          </cell>
          <cell r="I526">
            <v>7013</v>
          </cell>
          <cell r="J526" t="str">
            <v>J</v>
          </cell>
        </row>
        <row r="527">
          <cell r="B527">
            <v>7014</v>
          </cell>
          <cell r="C527" t="str">
            <v>收到原保险合同保费取得的现金</v>
          </cell>
          <cell r="D527">
            <v>1</v>
          </cell>
          <cell r="E527" t="str">
            <v>△</v>
          </cell>
          <cell r="G527" t="str">
            <v>收到原保险合同保费取得的现金</v>
          </cell>
          <cell r="H527" t="str">
            <v>收到原保险合同保费取得的现金</v>
          </cell>
          <cell r="I527">
            <v>7014</v>
          </cell>
          <cell r="J527" t="str">
            <v>J</v>
          </cell>
        </row>
        <row r="528">
          <cell r="B528">
            <v>7015</v>
          </cell>
          <cell r="C528" t="str">
            <v>收到再保险业务现金净额</v>
          </cell>
          <cell r="D528">
            <v>1</v>
          </cell>
          <cell r="E528" t="str">
            <v>△</v>
          </cell>
          <cell r="G528" t="str">
            <v>收到再保险业务现金净额</v>
          </cell>
          <cell r="H528" t="str">
            <v>收到再保险业务现金净额</v>
          </cell>
          <cell r="I528">
            <v>7015</v>
          </cell>
          <cell r="J528" t="str">
            <v>J</v>
          </cell>
        </row>
        <row r="529">
          <cell r="B529">
            <v>7016</v>
          </cell>
          <cell r="C529" t="str">
            <v>保户储金及投资款净增加额</v>
          </cell>
          <cell r="D529">
            <v>1</v>
          </cell>
          <cell r="E529" t="str">
            <v>△</v>
          </cell>
          <cell r="G529" t="str">
            <v>保户储金及投资款净增加额</v>
          </cell>
          <cell r="H529" t="str">
            <v>保户储金及投资款净增加额</v>
          </cell>
          <cell r="I529">
            <v>7016</v>
          </cell>
          <cell r="J529" t="str">
            <v>J</v>
          </cell>
        </row>
        <row r="530">
          <cell r="B530">
            <v>7021</v>
          </cell>
          <cell r="C530" t="str">
            <v>处置交易性金融资产净增加额</v>
          </cell>
          <cell r="D530">
            <v>1</v>
          </cell>
          <cell r="E530" t="str">
            <v>△</v>
          </cell>
          <cell r="G530" t="str">
            <v>处置以公允价值计量且其变动计入当期损益的金融资产净增加额</v>
          </cell>
          <cell r="H530" t="str">
            <v>处置以公允价值计量且其变动计入当期损益的金融资产净增加额</v>
          </cell>
          <cell r="I530">
            <v>7021</v>
          </cell>
          <cell r="J530" t="str">
            <v>J</v>
          </cell>
        </row>
        <row r="531">
          <cell r="B531">
            <v>7023</v>
          </cell>
          <cell r="C531" t="str">
            <v>收取利息手续费及佣金的现金</v>
          </cell>
          <cell r="D531">
            <v>1</v>
          </cell>
          <cell r="E531" t="str">
            <v>△</v>
          </cell>
          <cell r="G531" t="str">
            <v>收取利息、手续费及佣金的现金</v>
          </cell>
          <cell r="H531" t="str">
            <v>收取利息、手续费及佣金的现金</v>
          </cell>
          <cell r="I531">
            <v>7023</v>
          </cell>
          <cell r="J531" t="str">
            <v>J</v>
          </cell>
        </row>
        <row r="532">
          <cell r="B532">
            <v>7025</v>
          </cell>
          <cell r="C532" t="str">
            <v>拆入资金净增加额</v>
          </cell>
          <cell r="D532">
            <v>1</v>
          </cell>
          <cell r="E532" t="str">
            <v>△</v>
          </cell>
          <cell r="G532" t="str">
            <v>拆入资金净增加额</v>
          </cell>
          <cell r="H532" t="str">
            <v>拆入资金净增加额</v>
          </cell>
          <cell r="I532">
            <v>7025</v>
          </cell>
          <cell r="J532" t="str">
            <v>J</v>
          </cell>
        </row>
        <row r="533">
          <cell r="B533">
            <v>7026</v>
          </cell>
          <cell r="C533" t="str">
            <v>回购业务资金净增加额</v>
          </cell>
          <cell r="D533">
            <v>1</v>
          </cell>
          <cell r="E533" t="str">
            <v>△</v>
          </cell>
          <cell r="G533" t="str">
            <v>回购业务资金净增加额</v>
          </cell>
          <cell r="H533" t="str">
            <v>回购业务资金净增加额</v>
          </cell>
          <cell r="I533">
            <v>7026</v>
          </cell>
          <cell r="J533" t="str">
            <v>J</v>
          </cell>
        </row>
        <row r="534">
          <cell r="B534">
            <v>7031</v>
          </cell>
          <cell r="C534" t="str">
            <v>收到的税费返还</v>
          </cell>
          <cell r="D534">
            <v>1</v>
          </cell>
          <cell r="G534" t="str">
            <v>收到的税费返还</v>
          </cell>
          <cell r="H534" t="str">
            <v>收到的税费返还</v>
          </cell>
          <cell r="I534">
            <v>7031</v>
          </cell>
          <cell r="J534" t="str">
            <v>J</v>
          </cell>
        </row>
        <row r="535">
          <cell r="B535">
            <v>7046</v>
          </cell>
          <cell r="C535" t="str">
            <v>收到其他与经营活动有关的现金</v>
          </cell>
          <cell r="D535">
            <v>1</v>
          </cell>
          <cell r="G535" t="str">
            <v>收到其他与经营活动有关的现金</v>
          </cell>
          <cell r="H535" t="str">
            <v>收到其他与经营活动有关的现金</v>
          </cell>
          <cell r="I535">
            <v>7046</v>
          </cell>
          <cell r="J535" t="str">
            <v>J</v>
          </cell>
        </row>
        <row r="536">
          <cell r="B536">
            <v>7048</v>
          </cell>
          <cell r="C536" t="str">
            <v>经营活动现金流入</v>
          </cell>
          <cell r="E536" t="str">
            <v>＝</v>
          </cell>
          <cell r="G536" t="str">
            <v>经营活动现金流入小计</v>
          </cell>
          <cell r="H536" t="str">
            <v>经营活动现金流入小计</v>
          </cell>
          <cell r="I536">
            <v>7048</v>
          </cell>
        </row>
        <row r="537">
          <cell r="B537">
            <v>7051</v>
          </cell>
          <cell r="C537" t="str">
            <v>购买商品接受劳务支付的现金</v>
          </cell>
          <cell r="D537">
            <v>-1</v>
          </cell>
          <cell r="G537" t="str">
            <v>购买商品、接受劳务支付的现金</v>
          </cell>
          <cell r="H537" t="str">
            <v>购买商品、接受劳务支付的现金</v>
          </cell>
          <cell r="I537">
            <v>7051</v>
          </cell>
          <cell r="J537" t="str">
            <v>J</v>
          </cell>
        </row>
        <row r="538">
          <cell r="B538">
            <v>7053</v>
          </cell>
          <cell r="C538" t="str">
            <v>客户贷款及垫款净增加额</v>
          </cell>
          <cell r="D538">
            <v>-1</v>
          </cell>
          <cell r="E538" t="str">
            <v>△</v>
          </cell>
          <cell r="G538" t="str">
            <v>客户贷款及垫款净增加额</v>
          </cell>
          <cell r="H538" t="str">
            <v>客户贷款及垫款净增加额</v>
          </cell>
          <cell r="I538">
            <v>7053</v>
          </cell>
          <cell r="J538" t="str">
            <v>J</v>
          </cell>
        </row>
        <row r="539">
          <cell r="B539">
            <v>7054</v>
          </cell>
          <cell r="C539" t="str">
            <v>存放中央银行和同业款项净增加额</v>
          </cell>
          <cell r="D539">
            <v>-1</v>
          </cell>
          <cell r="E539" t="str">
            <v>△</v>
          </cell>
          <cell r="G539" t="str">
            <v>存放中央银行和同业款项净增加额</v>
          </cell>
          <cell r="H539" t="str">
            <v>存放中央银行和同业款项净增加额</v>
          </cell>
          <cell r="I539">
            <v>7054</v>
          </cell>
          <cell r="J539" t="str">
            <v>J</v>
          </cell>
        </row>
        <row r="540">
          <cell r="B540">
            <v>7055</v>
          </cell>
          <cell r="C540" t="str">
            <v>支付原保险合同赔付款项的现金</v>
          </cell>
          <cell r="D540">
            <v>-1</v>
          </cell>
          <cell r="E540" t="str">
            <v>△</v>
          </cell>
          <cell r="G540" t="str">
            <v>支付原保险合同赔付款项的现金</v>
          </cell>
          <cell r="H540" t="str">
            <v>支付原保险合同赔付款项的现金</v>
          </cell>
          <cell r="I540">
            <v>7055</v>
          </cell>
          <cell r="J540" t="str">
            <v>J</v>
          </cell>
        </row>
        <row r="541">
          <cell r="B541">
            <v>7056</v>
          </cell>
          <cell r="C541" t="str">
            <v>支付利息手续费及佣金的现金</v>
          </cell>
          <cell r="D541">
            <v>-1</v>
          </cell>
          <cell r="E541" t="str">
            <v>△</v>
          </cell>
          <cell r="G541" t="str">
            <v>支付利息、手续费及佣金的现金</v>
          </cell>
          <cell r="H541" t="str">
            <v>支付利息、手续费及佣金的现金</v>
          </cell>
          <cell r="I541">
            <v>7056</v>
          </cell>
          <cell r="J541" t="str">
            <v>J</v>
          </cell>
        </row>
        <row r="542">
          <cell r="B542">
            <v>7057</v>
          </cell>
          <cell r="C542" t="str">
            <v>支付保单红利的现金</v>
          </cell>
          <cell r="D542">
            <v>-1</v>
          </cell>
          <cell r="E542" t="str">
            <v>△</v>
          </cell>
          <cell r="G542" t="str">
            <v>支付保单红利的现金</v>
          </cell>
          <cell r="H542" t="str">
            <v>支付保单红利的现金</v>
          </cell>
          <cell r="I542">
            <v>7057</v>
          </cell>
          <cell r="J542" t="str">
            <v>J</v>
          </cell>
        </row>
        <row r="543">
          <cell r="B543">
            <v>7061</v>
          </cell>
          <cell r="C543" t="str">
            <v>支付给职工以及为职工支付的现金</v>
          </cell>
          <cell r="D543">
            <v>-1</v>
          </cell>
          <cell r="G543" t="str">
            <v>支付给职工以及为职工支付的现金</v>
          </cell>
          <cell r="H543" t="str">
            <v>支付给职工以及为职工支付的现金</v>
          </cell>
          <cell r="I543">
            <v>7061</v>
          </cell>
          <cell r="J543" t="str">
            <v>J</v>
          </cell>
        </row>
        <row r="544">
          <cell r="B544">
            <v>7071</v>
          </cell>
          <cell r="C544" t="str">
            <v>支付的各项税费</v>
          </cell>
          <cell r="D544">
            <v>-1</v>
          </cell>
          <cell r="G544" t="str">
            <v>支付的各项税费</v>
          </cell>
          <cell r="H544" t="str">
            <v>支付的各项税费</v>
          </cell>
          <cell r="I544">
            <v>7071</v>
          </cell>
          <cell r="J544" t="str">
            <v>J</v>
          </cell>
        </row>
        <row r="545">
          <cell r="B545">
            <v>7096</v>
          </cell>
          <cell r="C545" t="str">
            <v>支付其他与经营活动有关的现金</v>
          </cell>
          <cell r="D545">
            <v>-1</v>
          </cell>
          <cell r="G545" t="str">
            <v>支付其他与经营活动有关的现金</v>
          </cell>
          <cell r="H545" t="str">
            <v>支付其他与经营活动有关的现金</v>
          </cell>
          <cell r="I545">
            <v>7096</v>
          </cell>
          <cell r="J545" t="str">
            <v>J</v>
          </cell>
        </row>
        <row r="546">
          <cell r="B546">
            <v>7098</v>
          </cell>
          <cell r="C546" t="str">
            <v>经营活动现金流出</v>
          </cell>
          <cell r="E546" t="str">
            <v>＝</v>
          </cell>
          <cell r="G546" t="str">
            <v>经营活动现金流出小计</v>
          </cell>
          <cell r="H546" t="str">
            <v>经营活动现金流出小计</v>
          </cell>
          <cell r="I546">
            <v>7098</v>
          </cell>
        </row>
        <row r="547">
          <cell r="B547">
            <v>7099</v>
          </cell>
          <cell r="C547" t="str">
            <v>经营活动产生的现金流量净额</v>
          </cell>
          <cell r="E547" t="str">
            <v>＝</v>
          </cell>
          <cell r="G547" t="str">
            <v>经营活动产生的现金流量净额</v>
          </cell>
          <cell r="H547" t="str">
            <v>经营活动产生的现金流量净额</v>
          </cell>
          <cell r="I547">
            <v>7099</v>
          </cell>
        </row>
        <row r="548">
          <cell r="B548">
            <v>7100</v>
          </cell>
          <cell r="C548" t="str">
            <v>投资活动现金流量项目</v>
          </cell>
          <cell r="E548" t="str">
            <v>：</v>
          </cell>
          <cell r="G548" t="str">
            <v>二、投资活动产生的现金流量：</v>
          </cell>
          <cell r="H548" t="str">
            <v>二、投资活动产生的现金流量：</v>
          </cell>
          <cell r="I548">
            <v>7100</v>
          </cell>
        </row>
        <row r="549">
          <cell r="B549">
            <v>7101</v>
          </cell>
          <cell r="C549" t="str">
            <v>收回投资收到的现金</v>
          </cell>
          <cell r="D549">
            <v>1</v>
          </cell>
          <cell r="G549" t="str">
            <v>收回投资收到的现金</v>
          </cell>
          <cell r="H549" t="str">
            <v>收回投资收到的现金</v>
          </cell>
          <cell r="I549">
            <v>7101</v>
          </cell>
          <cell r="J549" t="str">
            <v>J</v>
          </cell>
        </row>
        <row r="550">
          <cell r="B550">
            <v>7105</v>
          </cell>
          <cell r="C550" t="str">
            <v>取得投资收益收到的现金</v>
          </cell>
          <cell r="D550">
            <v>1</v>
          </cell>
          <cell r="G550" t="str">
            <v>取得投资收益收到的现金</v>
          </cell>
          <cell r="H550" t="str">
            <v>取得投资收益收到的现金</v>
          </cell>
          <cell r="I550">
            <v>7105</v>
          </cell>
          <cell r="J550" t="str">
            <v>J</v>
          </cell>
        </row>
        <row r="551">
          <cell r="B551">
            <v>7111</v>
          </cell>
          <cell r="C551" t="str">
            <v>处置固定资产无形资产长期资产收回的现金</v>
          </cell>
          <cell r="D551">
            <v>1</v>
          </cell>
          <cell r="G551" t="str">
            <v>处置固定资产、无形资产和其他长期资产收回的现金净额</v>
          </cell>
          <cell r="H551" t="str">
            <v>处置固定资产、无形资产和其他长期资产所收回的现金净额</v>
          </cell>
          <cell r="I551">
            <v>7111</v>
          </cell>
          <cell r="J551" t="str">
            <v>J</v>
          </cell>
        </row>
        <row r="552">
          <cell r="B552">
            <v>7121</v>
          </cell>
          <cell r="C552" t="str">
            <v>处置子公司及其他营业单位收到的现金净额</v>
          </cell>
          <cell r="D552">
            <v>1</v>
          </cell>
          <cell r="G552" t="str">
            <v>处置子公司及其他营业单位收到的现金净额</v>
          </cell>
          <cell r="H552" t="str">
            <v>处置子公司及其他营业单位收到的现金净额</v>
          </cell>
          <cell r="I552">
            <v>7121</v>
          </cell>
          <cell r="J552" t="str">
            <v>J</v>
          </cell>
        </row>
        <row r="553">
          <cell r="B553">
            <v>7146</v>
          </cell>
          <cell r="C553" t="str">
            <v>收到其他与投资活动有关的现金</v>
          </cell>
          <cell r="D553">
            <v>1</v>
          </cell>
          <cell r="G553" t="str">
            <v>收到其他与投资活动有关的现金</v>
          </cell>
          <cell r="H553" t="str">
            <v>收到其他与投资活动有关的现金</v>
          </cell>
          <cell r="I553">
            <v>7146</v>
          </cell>
          <cell r="J553" t="str">
            <v>J</v>
          </cell>
        </row>
        <row r="554">
          <cell r="B554">
            <v>7148</v>
          </cell>
          <cell r="C554" t="str">
            <v>投资活动现金流入</v>
          </cell>
          <cell r="E554" t="str">
            <v>＝</v>
          </cell>
          <cell r="G554" t="str">
            <v>投资活动现金流入小计</v>
          </cell>
          <cell r="H554" t="str">
            <v>投资活动现金流入小计</v>
          </cell>
          <cell r="I554">
            <v>7148</v>
          </cell>
        </row>
        <row r="555">
          <cell r="B555">
            <v>7151</v>
          </cell>
          <cell r="C555" t="str">
            <v>购置固定资产无形资产长期资产支付的现金</v>
          </cell>
          <cell r="D555">
            <v>-1</v>
          </cell>
          <cell r="G555" t="str">
            <v>购置固定资产、无形资产和其他长期资产支付的现金</v>
          </cell>
          <cell r="H555" t="str">
            <v>购置固定资产、无形资产和其他长期资产支付的现金</v>
          </cell>
          <cell r="I555">
            <v>7151</v>
          </cell>
          <cell r="J555" t="str">
            <v>J</v>
          </cell>
        </row>
        <row r="556">
          <cell r="B556">
            <v>7161</v>
          </cell>
          <cell r="C556" t="str">
            <v>投资支付的现金</v>
          </cell>
          <cell r="D556">
            <v>-1</v>
          </cell>
          <cell r="G556" t="str">
            <v>投资支付的现金</v>
          </cell>
          <cell r="H556" t="str">
            <v>投资支付的现金</v>
          </cell>
          <cell r="I556">
            <v>7161</v>
          </cell>
          <cell r="J556" t="str">
            <v>J</v>
          </cell>
        </row>
        <row r="557">
          <cell r="B557">
            <v>7165</v>
          </cell>
          <cell r="C557" t="str">
            <v>质押贷款净增加额</v>
          </cell>
          <cell r="D557">
            <v>-1</v>
          </cell>
          <cell r="E557" t="str">
            <v>△</v>
          </cell>
          <cell r="G557" t="str">
            <v>质押贷款净增加额</v>
          </cell>
          <cell r="H557" t="str">
            <v>质押贷款净增加额</v>
          </cell>
          <cell r="I557">
            <v>7165</v>
          </cell>
          <cell r="J557" t="str">
            <v>J</v>
          </cell>
        </row>
        <row r="558">
          <cell r="B558">
            <v>7171</v>
          </cell>
          <cell r="C558" t="str">
            <v>取得子公司及其他营业单位支付的现金净额</v>
          </cell>
          <cell r="D558">
            <v>-1</v>
          </cell>
          <cell r="G558" t="str">
            <v>取得子公司及其他营业单位支付的现金净额</v>
          </cell>
          <cell r="H558" t="str">
            <v>取得子公司及其他营业单位支付的现金净额</v>
          </cell>
          <cell r="I558">
            <v>7171</v>
          </cell>
          <cell r="J558" t="str">
            <v>J</v>
          </cell>
        </row>
        <row r="559">
          <cell r="B559">
            <v>7196</v>
          </cell>
          <cell r="C559" t="str">
            <v>支付其他与投资活动有关的现金</v>
          </cell>
          <cell r="D559">
            <v>-1</v>
          </cell>
          <cell r="G559" t="str">
            <v>支付其他与投资活动有关的现金</v>
          </cell>
          <cell r="H559" t="str">
            <v>支付其他与投资活动有关的现金</v>
          </cell>
          <cell r="I559">
            <v>7196</v>
          </cell>
          <cell r="J559" t="str">
            <v>J</v>
          </cell>
        </row>
        <row r="560">
          <cell r="B560">
            <v>7198</v>
          </cell>
          <cell r="C560" t="str">
            <v>投资活动现金流出</v>
          </cell>
          <cell r="E560" t="str">
            <v>＝</v>
          </cell>
          <cell r="G560" t="str">
            <v>投资活动现金流出小计</v>
          </cell>
          <cell r="H560" t="str">
            <v>投资活动现金流出小计</v>
          </cell>
          <cell r="I560">
            <v>7198</v>
          </cell>
        </row>
        <row r="561">
          <cell r="B561">
            <v>7199</v>
          </cell>
          <cell r="C561" t="str">
            <v>投资活动产生的现金流量净额</v>
          </cell>
          <cell r="E561" t="str">
            <v>＝</v>
          </cell>
          <cell r="G561" t="str">
            <v>投资活动产生的现金流量净额</v>
          </cell>
          <cell r="H561" t="str">
            <v>投资活动产生的现金流量净额</v>
          </cell>
          <cell r="I561">
            <v>7199</v>
          </cell>
        </row>
        <row r="562">
          <cell r="B562">
            <v>7200</v>
          </cell>
          <cell r="C562" t="str">
            <v>筹资活动现金流量项目</v>
          </cell>
          <cell r="E562" t="str">
            <v>：</v>
          </cell>
          <cell r="G562" t="str">
            <v>三、筹资活动产生的现金流量：</v>
          </cell>
          <cell r="H562" t="str">
            <v>三、筹资活动产生的现金流量：</v>
          </cell>
          <cell r="I562">
            <v>7200</v>
          </cell>
        </row>
        <row r="563">
          <cell r="B563">
            <v>7201</v>
          </cell>
          <cell r="C563" t="str">
            <v>吸收投资收到的现金</v>
          </cell>
          <cell r="D563">
            <v>1</v>
          </cell>
          <cell r="G563" t="str">
            <v>吸收投资收到的现金</v>
          </cell>
          <cell r="H563" t="str">
            <v>吸收投资收到的现金</v>
          </cell>
          <cell r="I563">
            <v>7201</v>
          </cell>
          <cell r="J563" t="str">
            <v>J</v>
          </cell>
        </row>
        <row r="564">
          <cell r="B564">
            <v>7201.01</v>
          </cell>
          <cell r="C564" t="str">
            <v>子公司吸收少数股东投资收到的现金</v>
          </cell>
          <cell r="D564">
            <v>1</v>
          </cell>
          <cell r="E564" t="str">
            <v>※</v>
          </cell>
          <cell r="G564" t="str">
            <v>其中：子公司吸收少数股东权益性投资收到的现金</v>
          </cell>
          <cell r="H564" t="str">
            <v>其中：子公司吸收少数股东投资收到的现金</v>
          </cell>
          <cell r="I564">
            <v>7201.01</v>
          </cell>
          <cell r="J564" t="str">
            <v>J</v>
          </cell>
        </row>
        <row r="565">
          <cell r="B565">
            <v>7211</v>
          </cell>
          <cell r="C565" t="str">
            <v>取得借款收到的现金</v>
          </cell>
          <cell r="D565">
            <v>1</v>
          </cell>
          <cell r="G565" t="str">
            <v>取得借款收到的现金</v>
          </cell>
          <cell r="H565" t="str">
            <v>取得借款所收到的现金</v>
          </cell>
          <cell r="I565">
            <v>7211</v>
          </cell>
          <cell r="J565" t="str">
            <v>J</v>
          </cell>
        </row>
        <row r="566">
          <cell r="B566">
            <v>7221</v>
          </cell>
          <cell r="C566" t="str">
            <v>发行债券收到的现金</v>
          </cell>
          <cell r="D566">
            <v>1</v>
          </cell>
          <cell r="G566" t="str">
            <v>发行债券收到的现金</v>
          </cell>
          <cell r="H566" t="str">
            <v>发行债券收到的现金</v>
          </cell>
          <cell r="I566">
            <v>7221</v>
          </cell>
          <cell r="J566" t="str">
            <v>J</v>
          </cell>
        </row>
        <row r="567">
          <cell r="B567">
            <v>7246</v>
          </cell>
          <cell r="C567" t="str">
            <v>收到其他与筹资活动有关的现金</v>
          </cell>
          <cell r="D567">
            <v>1</v>
          </cell>
          <cell r="G567" t="str">
            <v>收到其他与筹资活动有关的现金</v>
          </cell>
          <cell r="H567" t="str">
            <v>收到其他与筹资活动有关的现金</v>
          </cell>
          <cell r="I567">
            <v>7246</v>
          </cell>
          <cell r="J567" t="str">
            <v>J</v>
          </cell>
        </row>
        <row r="568">
          <cell r="B568">
            <v>7248</v>
          </cell>
          <cell r="C568" t="str">
            <v>筹资活动现金流入</v>
          </cell>
          <cell r="E568" t="str">
            <v>＝</v>
          </cell>
          <cell r="G568" t="str">
            <v>筹资活动现金流入小计</v>
          </cell>
          <cell r="H568" t="str">
            <v>筹资活动现金流入小计</v>
          </cell>
          <cell r="I568">
            <v>7248</v>
          </cell>
        </row>
        <row r="569">
          <cell r="B569">
            <v>7251</v>
          </cell>
          <cell r="C569" t="str">
            <v>偿还债务支付的现金</v>
          </cell>
          <cell r="D569">
            <v>-1</v>
          </cell>
          <cell r="G569" t="str">
            <v>偿还债务支付的现金</v>
          </cell>
          <cell r="H569" t="str">
            <v>偿还债务所支付的现金</v>
          </cell>
          <cell r="I569">
            <v>7251</v>
          </cell>
          <cell r="J569" t="str">
            <v>J</v>
          </cell>
        </row>
        <row r="570">
          <cell r="B570">
            <v>7261</v>
          </cell>
          <cell r="C570" t="str">
            <v>分配利润偿付利息支付的现金</v>
          </cell>
          <cell r="D570">
            <v>-1</v>
          </cell>
          <cell r="G570" t="str">
            <v>分配股利、利润或偿付利息支付的现金</v>
          </cell>
          <cell r="H570" t="str">
            <v>分配股利、利润或偿付利息所支付的现金</v>
          </cell>
          <cell r="I570">
            <v>7261</v>
          </cell>
          <cell r="J570" t="str">
            <v>J</v>
          </cell>
        </row>
        <row r="571">
          <cell r="B571">
            <v>7261.01</v>
          </cell>
          <cell r="C571" t="str">
            <v>子公司支付少数股东的现金股利</v>
          </cell>
          <cell r="D571">
            <v>-1</v>
          </cell>
          <cell r="E571" t="str">
            <v>※</v>
          </cell>
          <cell r="G571" t="str">
            <v>其中：子公司支付少数股东的现金股利</v>
          </cell>
          <cell r="H571" t="str">
            <v>其中：子公司支付给少数股东的股利、利润</v>
          </cell>
          <cell r="I571">
            <v>7261.01</v>
          </cell>
          <cell r="J571" t="str">
            <v>J</v>
          </cell>
        </row>
        <row r="572">
          <cell r="B572">
            <v>7296</v>
          </cell>
          <cell r="C572" t="str">
            <v>支付其他与筹资活动有关的现金</v>
          </cell>
          <cell r="D572">
            <v>-1</v>
          </cell>
          <cell r="G572" t="str">
            <v>支付其他与筹资活动有关的现金</v>
          </cell>
          <cell r="H572" t="str">
            <v>支付其他与筹资活动有关的现金</v>
          </cell>
          <cell r="I572">
            <v>7296</v>
          </cell>
          <cell r="J572" t="str">
            <v>J</v>
          </cell>
        </row>
        <row r="573">
          <cell r="B573">
            <v>7296.11</v>
          </cell>
          <cell r="C573" t="str">
            <v>子公司减资支付给少数股东的现金</v>
          </cell>
          <cell r="D573">
            <v>-1</v>
          </cell>
          <cell r="E573" t="str">
            <v>※</v>
          </cell>
          <cell r="G573" t="str">
            <v>其中：子公司减资支付给少数股东的现金</v>
          </cell>
          <cell r="H573" t="str">
            <v>其中：子公司减资支付给少数股东的现金</v>
          </cell>
          <cell r="I573">
            <v>7296.11</v>
          </cell>
          <cell r="J573" t="str">
            <v>J</v>
          </cell>
        </row>
        <row r="574">
          <cell r="B574">
            <v>7298</v>
          </cell>
          <cell r="C574" t="str">
            <v>筹资活动现金流出</v>
          </cell>
          <cell r="E574" t="str">
            <v>＝</v>
          </cell>
          <cell r="G574" t="str">
            <v>筹资活动现金流出小计</v>
          </cell>
          <cell r="H574" t="str">
            <v>筹资活动现金流出小计</v>
          </cell>
          <cell r="I574">
            <v>7298</v>
          </cell>
        </row>
        <row r="575">
          <cell r="B575">
            <v>7299</v>
          </cell>
          <cell r="C575" t="str">
            <v>筹资活动产生的现金流量净额</v>
          </cell>
          <cell r="E575" t="str">
            <v>＝</v>
          </cell>
          <cell r="G575" t="str">
            <v>筹资活动产生的现金流量净额</v>
          </cell>
          <cell r="H575" t="str">
            <v>筹资活动产生的现金流量净额</v>
          </cell>
          <cell r="I575">
            <v>7299</v>
          </cell>
        </row>
        <row r="576">
          <cell r="B576">
            <v>7309</v>
          </cell>
          <cell r="C576" t="str">
            <v>汇率变动对现金及现金等价物的影响</v>
          </cell>
          <cell r="D576">
            <v>1</v>
          </cell>
          <cell r="G576" t="str">
            <v>四、汇率变动对现金及现金等价物的影响</v>
          </cell>
          <cell r="H576" t="str">
            <v>四、汇率变动对现金及现金等价物的影响</v>
          </cell>
          <cell r="I576">
            <v>7309</v>
          </cell>
          <cell r="J576" t="str">
            <v>J</v>
          </cell>
        </row>
        <row r="577">
          <cell r="B577">
            <v>7348</v>
          </cell>
          <cell r="C577" t="str">
            <v>现金及现金等价物净增加额</v>
          </cell>
          <cell r="E577" t="str">
            <v>＝</v>
          </cell>
          <cell r="G577" t="str">
            <v>五、现金及现金等价物净增加额</v>
          </cell>
          <cell r="H577" t="str">
            <v>五、现金及现金等价物净增加额</v>
          </cell>
          <cell r="I577">
            <v>7348</v>
          </cell>
        </row>
        <row r="578">
          <cell r="B578">
            <v>7349</v>
          </cell>
          <cell r="C578" t="str">
            <v>期初现金及现金等价物余额</v>
          </cell>
          <cell r="D578">
            <v>1</v>
          </cell>
          <cell r="G578" t="str">
            <v>加：期初现金及现金等价物余额</v>
          </cell>
          <cell r="H578" t="str">
            <v>加：期初现金及现金等价物余额</v>
          </cell>
          <cell r="I578">
            <v>7349</v>
          </cell>
          <cell r="J578" t="str">
            <v>J</v>
          </cell>
        </row>
        <row r="579">
          <cell r="B579">
            <v>7399</v>
          </cell>
          <cell r="C579" t="str">
            <v>期末现金及现金等价物余额</v>
          </cell>
          <cell r="E579" t="str">
            <v>＝</v>
          </cell>
          <cell r="G579" t="str">
            <v>六、期末现金及现金等价物余额</v>
          </cell>
          <cell r="H579" t="str">
            <v>六、期末现金及现金等价物余额</v>
          </cell>
          <cell r="I579">
            <v>7399</v>
          </cell>
        </row>
        <row r="580">
          <cell r="B580">
            <v>7500</v>
          </cell>
          <cell r="C580" t="str">
            <v>现金流量表补充资料</v>
          </cell>
          <cell r="E580" t="str">
            <v>：</v>
          </cell>
          <cell r="G580" t="str">
            <v>现金流量表补充资料</v>
          </cell>
          <cell r="I580">
            <v>7500</v>
          </cell>
        </row>
        <row r="581">
          <cell r="B581">
            <v>7501</v>
          </cell>
          <cell r="C581" t="str">
            <v>将净利润调节为经营活动现金流量</v>
          </cell>
          <cell r="E581" t="str">
            <v>：</v>
          </cell>
          <cell r="G581" t="str">
            <v>1.将净利润调节为经营活动现金流量：</v>
          </cell>
          <cell r="I581">
            <v>7501</v>
          </cell>
        </row>
        <row r="582">
          <cell r="B582">
            <v>7502</v>
          </cell>
          <cell r="C582" t="str">
            <v>净利润金额</v>
          </cell>
          <cell r="D582">
            <v>1</v>
          </cell>
          <cell r="G582" t="str">
            <v>净利润</v>
          </cell>
          <cell r="I582">
            <v>7502</v>
          </cell>
        </row>
        <row r="583">
          <cell r="B583">
            <v>7503</v>
          </cell>
          <cell r="C583" t="str">
            <v>资产减值准备金额</v>
          </cell>
          <cell r="D583">
            <v>1</v>
          </cell>
          <cell r="G583" t="str">
            <v>加：资产减值准备</v>
          </cell>
          <cell r="I583">
            <v>7503</v>
          </cell>
        </row>
        <row r="584">
          <cell r="B584">
            <v>7505</v>
          </cell>
          <cell r="C584" t="str">
            <v>固定资产折旧、油气资产折耗、生产性生物资产折旧</v>
          </cell>
          <cell r="D584">
            <v>1</v>
          </cell>
          <cell r="G584" t="str">
            <v>固定资产折旧、油气资产折耗、生产性生物资产折旧</v>
          </cell>
          <cell r="I584">
            <v>7505</v>
          </cell>
        </row>
        <row r="585">
          <cell r="B585">
            <v>7506</v>
          </cell>
          <cell r="C585" t="str">
            <v>无形资产摊销</v>
          </cell>
          <cell r="D585">
            <v>1</v>
          </cell>
          <cell r="G585" t="str">
            <v>无形资产摊销</v>
          </cell>
          <cell r="I585">
            <v>7506</v>
          </cell>
        </row>
        <row r="586">
          <cell r="B586">
            <v>7507</v>
          </cell>
          <cell r="C586" t="str">
            <v>长期待摊费用摊销</v>
          </cell>
          <cell r="D586">
            <v>1</v>
          </cell>
          <cell r="G586" t="str">
            <v>长期待摊费用摊销</v>
          </cell>
          <cell r="I586">
            <v>7507</v>
          </cell>
        </row>
        <row r="587">
          <cell r="B587">
            <v>7508</v>
          </cell>
          <cell r="C587" t="str">
            <v>处置固定资产、无形资产和其他长期资产的损失</v>
          </cell>
          <cell r="D587">
            <v>1</v>
          </cell>
          <cell r="G587" t="str">
            <v>处置固定资产、无形资产和其他长期资产的损失（收益以“－”号填列）</v>
          </cell>
          <cell r="I587">
            <v>7508</v>
          </cell>
        </row>
        <row r="588">
          <cell r="B588">
            <v>7509</v>
          </cell>
          <cell r="C588" t="str">
            <v>固定资产报废损失</v>
          </cell>
          <cell r="D588">
            <v>1</v>
          </cell>
          <cell r="G588" t="str">
            <v>固定资产报废损失（收益以“－”号填列）</v>
          </cell>
          <cell r="I588">
            <v>7509</v>
          </cell>
        </row>
        <row r="589">
          <cell r="B589">
            <v>7510</v>
          </cell>
          <cell r="C589" t="str">
            <v>公允价值变动损失</v>
          </cell>
          <cell r="D589">
            <v>1</v>
          </cell>
          <cell r="G589" t="str">
            <v>公允价值变动损失（收益以“－”号填列）</v>
          </cell>
          <cell r="I589">
            <v>7510</v>
          </cell>
        </row>
        <row r="590">
          <cell r="B590">
            <v>7511</v>
          </cell>
          <cell r="C590" t="str">
            <v>财务费用金额</v>
          </cell>
          <cell r="D590">
            <v>1</v>
          </cell>
          <cell r="G590" t="str">
            <v>财务费用（收益以“－”号填列）</v>
          </cell>
          <cell r="I590">
            <v>7511</v>
          </cell>
        </row>
        <row r="591">
          <cell r="B591">
            <v>7512</v>
          </cell>
          <cell r="C591" t="str">
            <v>投资损失</v>
          </cell>
          <cell r="D591">
            <v>1</v>
          </cell>
          <cell r="G591" t="str">
            <v>投资损失（收益以“－”号填列）</v>
          </cell>
          <cell r="I591">
            <v>7512</v>
          </cell>
        </row>
        <row r="592">
          <cell r="B592">
            <v>7515</v>
          </cell>
          <cell r="C592" t="str">
            <v>递延所得税资产减少</v>
          </cell>
          <cell r="D592">
            <v>1</v>
          </cell>
          <cell r="G592" t="str">
            <v>递延所得税资产减少（增加以“－”号填列）</v>
          </cell>
          <cell r="I592">
            <v>7515</v>
          </cell>
        </row>
        <row r="593">
          <cell r="B593">
            <v>7516</v>
          </cell>
          <cell r="C593" t="str">
            <v>递延所得税负债增加</v>
          </cell>
          <cell r="D593">
            <v>1</v>
          </cell>
          <cell r="G593" t="str">
            <v>递延所得税负债增加（减少以“－”号填列）</v>
          </cell>
          <cell r="I593">
            <v>7516</v>
          </cell>
        </row>
        <row r="594">
          <cell r="B594">
            <v>7517</v>
          </cell>
          <cell r="C594" t="str">
            <v>存货的减少</v>
          </cell>
          <cell r="D594">
            <v>1</v>
          </cell>
          <cell r="G594" t="str">
            <v>存货的减少（增加以“－”号填列）</v>
          </cell>
          <cell r="I594">
            <v>7517</v>
          </cell>
        </row>
        <row r="595">
          <cell r="B595">
            <v>7518</v>
          </cell>
          <cell r="C595" t="str">
            <v>经营性应收项目的减少</v>
          </cell>
          <cell r="D595">
            <v>1</v>
          </cell>
          <cell r="G595" t="str">
            <v>经营性应收项目的减少（增加以“－”号填列）</v>
          </cell>
          <cell r="I595">
            <v>7518</v>
          </cell>
        </row>
        <row r="596">
          <cell r="B596">
            <v>7519</v>
          </cell>
          <cell r="C596" t="str">
            <v>经营性应付项目的增加</v>
          </cell>
          <cell r="D596">
            <v>1</v>
          </cell>
          <cell r="G596" t="str">
            <v>经营性应付项目的增加（减少以“－”号填列）</v>
          </cell>
          <cell r="I596">
            <v>7519</v>
          </cell>
        </row>
        <row r="597">
          <cell r="B597">
            <v>7523</v>
          </cell>
          <cell r="C597" t="str">
            <v>其他将净利润调节为经营活动现金流量项目</v>
          </cell>
          <cell r="D597">
            <v>1</v>
          </cell>
          <cell r="G597" t="str">
            <v>其他</v>
          </cell>
          <cell r="I597">
            <v>7523</v>
          </cell>
        </row>
        <row r="598">
          <cell r="B598">
            <v>7525</v>
          </cell>
          <cell r="C598" t="str">
            <v>经营活动产生的现金流量净额</v>
          </cell>
          <cell r="E598" t="str">
            <v>＝</v>
          </cell>
          <cell r="G598" t="str">
            <v>经营活动产生的现金流量净额</v>
          </cell>
          <cell r="I598">
            <v>7525</v>
          </cell>
        </row>
        <row r="599">
          <cell r="B599">
            <v>7526</v>
          </cell>
          <cell r="C599" t="str">
            <v>不涉及现金收支的重大投资和筹资活动</v>
          </cell>
          <cell r="E599" t="str">
            <v>：</v>
          </cell>
          <cell r="G599" t="str">
            <v>2.不涉及现金收支的重大投资和筹资活动：</v>
          </cell>
          <cell r="I599">
            <v>7526</v>
          </cell>
        </row>
        <row r="600">
          <cell r="B600">
            <v>7527</v>
          </cell>
          <cell r="C600" t="str">
            <v>债务转为资本</v>
          </cell>
          <cell r="G600" t="str">
            <v>债务转为资本</v>
          </cell>
          <cell r="I600">
            <v>7527</v>
          </cell>
        </row>
        <row r="601">
          <cell r="B601">
            <v>7528</v>
          </cell>
          <cell r="C601" t="str">
            <v>一年内到期的可转换公司债券</v>
          </cell>
          <cell r="G601" t="str">
            <v>一年内到期的可转换公司债券</v>
          </cell>
          <cell r="I601">
            <v>7528</v>
          </cell>
        </row>
        <row r="602">
          <cell r="B602">
            <v>7529</v>
          </cell>
          <cell r="C602" t="str">
            <v>融资租入固定资产</v>
          </cell>
          <cell r="G602" t="str">
            <v>融资租入固定资产</v>
          </cell>
          <cell r="I602">
            <v>7529</v>
          </cell>
        </row>
        <row r="603">
          <cell r="B603">
            <v>7533</v>
          </cell>
          <cell r="C603" t="str">
            <v>现金及现金等价物净变动情况</v>
          </cell>
          <cell r="E603" t="str">
            <v>：</v>
          </cell>
          <cell r="G603" t="str">
            <v>3.现金及现金等价物净变动情况：</v>
          </cell>
          <cell r="I603">
            <v>7533</v>
          </cell>
        </row>
        <row r="604">
          <cell r="B604">
            <v>7535</v>
          </cell>
          <cell r="C604" t="str">
            <v>现金的期末余额</v>
          </cell>
          <cell r="D604">
            <v>1</v>
          </cell>
          <cell r="G604" t="str">
            <v>现金的期末余额</v>
          </cell>
          <cell r="I604">
            <v>7535</v>
          </cell>
        </row>
        <row r="605">
          <cell r="B605">
            <v>7536</v>
          </cell>
          <cell r="C605" t="str">
            <v>减：现金的年初余额</v>
          </cell>
          <cell r="D605">
            <v>1</v>
          </cell>
          <cell r="G605" t="str">
            <v>减：现金的年初余额</v>
          </cell>
          <cell r="I605">
            <v>7536</v>
          </cell>
        </row>
        <row r="606">
          <cell r="B606">
            <v>7537</v>
          </cell>
          <cell r="C606" t="str">
            <v>加：现金等价物的期末余额</v>
          </cell>
          <cell r="D606">
            <v>1</v>
          </cell>
          <cell r="G606" t="str">
            <v>加：现金等价物的期末余额</v>
          </cell>
          <cell r="I606">
            <v>7537</v>
          </cell>
        </row>
        <row r="607">
          <cell r="B607">
            <v>7538</v>
          </cell>
          <cell r="C607" t="str">
            <v>减：现金等价物的年初余额</v>
          </cell>
          <cell r="D607">
            <v>1</v>
          </cell>
          <cell r="G607" t="str">
            <v>减：现金等价物的年初余额</v>
          </cell>
          <cell r="I607">
            <v>7538</v>
          </cell>
        </row>
        <row r="608">
          <cell r="B608">
            <v>7539</v>
          </cell>
          <cell r="C608" t="str">
            <v>现金及现金等价物净增加额</v>
          </cell>
          <cell r="D608">
            <v>1</v>
          </cell>
          <cell r="E608" t="str">
            <v>＝</v>
          </cell>
          <cell r="G608" t="str">
            <v>现金及现金等价物净增加额</v>
          </cell>
          <cell r="I608">
            <v>7539</v>
          </cell>
        </row>
        <row r="609">
          <cell r="B609">
            <v>19</v>
          </cell>
          <cell r="C609" t="str">
            <v>资产负债表补充资料：资产减值准备</v>
          </cell>
          <cell r="E609" t="str">
            <v>：</v>
          </cell>
          <cell r="I609">
            <v>19</v>
          </cell>
        </row>
        <row r="610">
          <cell r="B610">
            <v>1122.1231</v>
          </cell>
          <cell r="C610" t="str">
            <v>应收账款坏账准备</v>
          </cell>
          <cell r="D610">
            <v>-1</v>
          </cell>
          <cell r="G610" t="str">
            <v>应收账款坏账准备</v>
          </cell>
          <cell r="I610">
            <v>1122.1231</v>
          </cell>
          <cell r="J610" t="str">
            <v>J</v>
          </cell>
        </row>
        <row r="611">
          <cell r="B611">
            <v>1125.1231</v>
          </cell>
          <cell r="C611" t="str">
            <v>预付款项坏账准备</v>
          </cell>
          <cell r="D611">
            <v>-1</v>
          </cell>
          <cell r="G611" t="str">
            <v>预付款项坏账准备</v>
          </cell>
          <cell r="I611">
            <v>1125.1231</v>
          </cell>
          <cell r="J611" t="str">
            <v>J</v>
          </cell>
        </row>
        <row r="612">
          <cell r="B612">
            <v>1221.1231</v>
          </cell>
          <cell r="C612" t="str">
            <v>其他应收款坏账准备</v>
          </cell>
          <cell r="D612">
            <v>-1</v>
          </cell>
          <cell r="G612" t="str">
            <v>其他应收款坏账准备</v>
          </cell>
          <cell r="I612">
            <v>1221.1231</v>
          </cell>
          <cell r="J612" t="str">
            <v>J</v>
          </cell>
        </row>
        <row r="613">
          <cell r="B613">
            <v>1400.1470999999999</v>
          </cell>
          <cell r="C613" t="str">
            <v>存货跌价准备</v>
          </cell>
          <cell r="D613">
            <v>-1</v>
          </cell>
          <cell r="G613" t="str">
            <v>存货跌价准备</v>
          </cell>
          <cell r="I613">
            <v>1400.1470999999999</v>
          </cell>
          <cell r="J613" t="str">
            <v>J</v>
          </cell>
        </row>
        <row r="614">
          <cell r="B614">
            <v>1503.1504</v>
          </cell>
          <cell r="C614" t="str">
            <v>可供出售金融资产减值准备</v>
          </cell>
          <cell r="D614">
            <v>-1</v>
          </cell>
          <cell r="G614" t="str">
            <v>可供出售金融资产减值准备</v>
          </cell>
          <cell r="I614">
            <v>1503.1504</v>
          </cell>
          <cell r="J614" t="str">
            <v>J</v>
          </cell>
        </row>
        <row r="615">
          <cell r="B615">
            <v>1501.1502</v>
          </cell>
          <cell r="C615" t="str">
            <v>持有至到期投资减值准备</v>
          </cell>
          <cell r="D615">
            <v>-1</v>
          </cell>
          <cell r="G615" t="str">
            <v>持有至到期投资减值准备</v>
          </cell>
          <cell r="I615">
            <v>1501.1502</v>
          </cell>
          <cell r="J615" t="str">
            <v>J</v>
          </cell>
        </row>
        <row r="616">
          <cell r="B616">
            <v>1511.1512</v>
          </cell>
          <cell r="C616" t="str">
            <v>长期股权投资减值准备</v>
          </cell>
          <cell r="D616">
            <v>-1</v>
          </cell>
          <cell r="G616" t="str">
            <v>长期股权投资减值准备</v>
          </cell>
          <cell r="I616">
            <v>1511.1512</v>
          </cell>
          <cell r="J616" t="str">
            <v>J</v>
          </cell>
        </row>
        <row r="617">
          <cell r="B617">
            <v>1521.1522</v>
          </cell>
          <cell r="C617" t="str">
            <v>投资性房地产减值准备</v>
          </cell>
          <cell r="D617">
            <v>-1</v>
          </cell>
          <cell r="G617" t="str">
            <v>投资性房地产减值准备</v>
          </cell>
          <cell r="I617">
            <v>1521.1522</v>
          </cell>
          <cell r="J617" t="str">
            <v>J</v>
          </cell>
        </row>
        <row r="618">
          <cell r="B618">
            <v>1601.1603</v>
          </cell>
          <cell r="C618" t="str">
            <v>固定资产减值准备</v>
          </cell>
          <cell r="D618">
            <v>-1</v>
          </cell>
          <cell r="G618" t="str">
            <v>固定资产减值准备</v>
          </cell>
          <cell r="I618">
            <v>1601.1603</v>
          </cell>
          <cell r="J618" t="str">
            <v>J</v>
          </cell>
        </row>
        <row r="619">
          <cell r="B619">
            <v>1605.1608000000001</v>
          </cell>
          <cell r="C619" t="str">
            <v>工程物资减值准备</v>
          </cell>
          <cell r="D619">
            <v>-1</v>
          </cell>
          <cell r="G619" t="str">
            <v>工程物资减值准备</v>
          </cell>
          <cell r="I619">
            <v>1605.1608000000001</v>
          </cell>
          <cell r="J619" t="str">
            <v>J</v>
          </cell>
        </row>
        <row r="620">
          <cell r="B620">
            <v>1604.1606999999999</v>
          </cell>
          <cell r="C620" t="str">
            <v>在建工程减值准备</v>
          </cell>
          <cell r="D620">
            <v>-1</v>
          </cell>
          <cell r="G620" t="str">
            <v>在建工程减值准备</v>
          </cell>
          <cell r="I620">
            <v>1604.1606999999999</v>
          </cell>
          <cell r="J620" t="str">
            <v>J</v>
          </cell>
        </row>
        <row r="621">
          <cell r="B621">
            <v>1621.1623999999999</v>
          </cell>
          <cell r="C621" t="str">
            <v>生产性生物资产减值准备</v>
          </cell>
          <cell r="D621">
            <v>-1</v>
          </cell>
          <cell r="G621" t="str">
            <v>生产性生物资产减值准备</v>
          </cell>
          <cell r="I621">
            <v>1621.1623999999999</v>
          </cell>
          <cell r="J621" t="str">
            <v>J</v>
          </cell>
        </row>
        <row r="622">
          <cell r="B622">
            <v>1631.1632999999999</v>
          </cell>
          <cell r="C622" t="str">
            <v>油气资产减值准备</v>
          </cell>
          <cell r="D622">
            <v>-1</v>
          </cell>
          <cell r="G622" t="str">
            <v>油气资产减值准备</v>
          </cell>
          <cell r="I622">
            <v>1631.1632999999999</v>
          </cell>
          <cell r="J622" t="str">
            <v>J</v>
          </cell>
        </row>
        <row r="623">
          <cell r="B623">
            <v>1701.1703</v>
          </cell>
          <cell r="C623" t="str">
            <v>无形资产减值准备</v>
          </cell>
          <cell r="D623">
            <v>-1</v>
          </cell>
          <cell r="G623" t="str">
            <v>无形资产减值准备</v>
          </cell>
          <cell r="I623">
            <v>1701.1703</v>
          </cell>
          <cell r="J623" t="str">
            <v>J</v>
          </cell>
        </row>
        <row r="624">
          <cell r="B624">
            <v>1711.1712</v>
          </cell>
          <cell r="C624" t="str">
            <v>商誉减值准备</v>
          </cell>
          <cell r="D624">
            <v>-1</v>
          </cell>
          <cell r="G624" t="str">
            <v>商誉减值准备</v>
          </cell>
          <cell r="I624">
            <v>1711.1712</v>
          </cell>
          <cell r="J624" t="str">
            <v>J</v>
          </cell>
        </row>
        <row r="625">
          <cell r="B625">
            <v>1991.1992</v>
          </cell>
          <cell r="C625" t="str">
            <v>其他减值准备</v>
          </cell>
          <cell r="D625">
            <v>-1</v>
          </cell>
          <cell r="G625" t="str">
            <v>其他</v>
          </cell>
          <cell r="I625">
            <v>1991.1992</v>
          </cell>
        </row>
        <row r="626">
          <cell r="B626">
            <v>1015.1001</v>
          </cell>
          <cell r="C626" t="str">
            <v>库存现金</v>
          </cell>
          <cell r="D626">
            <v>1</v>
          </cell>
          <cell r="I626">
            <v>1015.1001</v>
          </cell>
          <cell r="J626" t="str">
            <v>J</v>
          </cell>
        </row>
        <row r="627">
          <cell r="B627">
            <v>1015.1002</v>
          </cell>
          <cell r="C627" t="str">
            <v>银行存款</v>
          </cell>
          <cell r="D627">
            <v>1</v>
          </cell>
          <cell r="I627">
            <v>1015.1002</v>
          </cell>
          <cell r="J627" t="str">
            <v>J</v>
          </cell>
        </row>
        <row r="628">
          <cell r="B628">
            <v>1015.1011999999999</v>
          </cell>
          <cell r="C628" t="str">
            <v>其他货币资金</v>
          </cell>
          <cell r="D628">
            <v>1</v>
          </cell>
          <cell r="I628">
            <v>1015.1011999999999</v>
          </cell>
          <cell r="J628" t="str">
            <v>J</v>
          </cell>
        </row>
        <row r="629">
          <cell r="B629">
            <v>1400.1401000000001</v>
          </cell>
          <cell r="C629" t="str">
            <v>材料采购</v>
          </cell>
          <cell r="D629">
            <v>1</v>
          </cell>
          <cell r="I629">
            <v>1400.1401000000001</v>
          </cell>
          <cell r="J629" t="str">
            <v>J</v>
          </cell>
        </row>
        <row r="630">
          <cell r="B630">
            <v>1400.1402</v>
          </cell>
          <cell r="C630" t="str">
            <v>在途物资</v>
          </cell>
          <cell r="D630">
            <v>1</v>
          </cell>
          <cell r="I630">
            <v>1400.1402</v>
          </cell>
          <cell r="J630" t="str">
            <v>J</v>
          </cell>
        </row>
        <row r="631">
          <cell r="B631">
            <v>1400.1403</v>
          </cell>
          <cell r="C631" t="str">
            <v>原材料</v>
          </cell>
          <cell r="D631">
            <v>1</v>
          </cell>
          <cell r="I631">
            <v>1400.1403</v>
          </cell>
          <cell r="J631" t="str">
            <v>J</v>
          </cell>
        </row>
        <row r="632">
          <cell r="B632">
            <v>1400.1404</v>
          </cell>
          <cell r="C632" t="str">
            <v>材料成本差异</v>
          </cell>
          <cell r="D632">
            <v>-1</v>
          </cell>
          <cell r="I632">
            <v>1400.1404</v>
          </cell>
          <cell r="J632" t="str">
            <v>J</v>
          </cell>
        </row>
        <row r="633">
          <cell r="B633">
            <v>1400.1405</v>
          </cell>
          <cell r="C633" t="str">
            <v>库存商品</v>
          </cell>
          <cell r="D633">
            <v>1</v>
          </cell>
          <cell r="I633">
            <v>1400.1405</v>
          </cell>
          <cell r="J633" t="str">
            <v>J</v>
          </cell>
        </row>
        <row r="634">
          <cell r="B634">
            <v>1400.1405999999999</v>
          </cell>
          <cell r="C634" t="str">
            <v>发出商品</v>
          </cell>
          <cell r="D634">
            <v>1</v>
          </cell>
          <cell r="I634">
            <v>1400.1405999999999</v>
          </cell>
          <cell r="J634" t="str">
            <v>J</v>
          </cell>
        </row>
        <row r="635">
          <cell r="B635">
            <v>1400.1406999999999</v>
          </cell>
          <cell r="C635" t="str">
            <v>商品进销差价</v>
          </cell>
          <cell r="D635">
            <v>-1</v>
          </cell>
          <cell r="I635">
            <v>1400.1406999999999</v>
          </cell>
          <cell r="J635" t="str">
            <v>J</v>
          </cell>
        </row>
        <row r="636">
          <cell r="B636">
            <v>1400.1407999999999</v>
          </cell>
          <cell r="C636" t="str">
            <v>委托加工物资</v>
          </cell>
          <cell r="D636">
            <v>1</v>
          </cell>
          <cell r="I636">
            <v>1400.1407999999999</v>
          </cell>
          <cell r="J636" t="str">
            <v>J</v>
          </cell>
        </row>
        <row r="637">
          <cell r="B637">
            <v>1400.1411000000001</v>
          </cell>
          <cell r="C637" t="str">
            <v>周转材料</v>
          </cell>
          <cell r="D637">
            <v>1</v>
          </cell>
          <cell r="I637">
            <v>1400.1411000000001</v>
          </cell>
          <cell r="J637" t="str">
            <v>J</v>
          </cell>
        </row>
        <row r="638">
          <cell r="B638">
            <v>1400.5001</v>
          </cell>
          <cell r="C638" t="str">
            <v>生产成本</v>
          </cell>
          <cell r="D638">
            <v>1</v>
          </cell>
          <cell r="I638">
            <v>1400.5001</v>
          </cell>
          <cell r="J638" t="str">
            <v>J</v>
          </cell>
        </row>
        <row r="639">
          <cell r="B639">
            <v>1400.5101</v>
          </cell>
          <cell r="C639" t="str">
            <v>制造费用</v>
          </cell>
          <cell r="D639">
            <v>1</v>
          </cell>
          <cell r="I639">
            <v>1400.5101</v>
          </cell>
          <cell r="J639" t="str">
            <v>J</v>
          </cell>
        </row>
        <row r="640">
          <cell r="B640">
            <v>1400.5400999999999</v>
          </cell>
          <cell r="C640" t="str">
            <v>工程施工</v>
          </cell>
          <cell r="D640">
            <v>1</v>
          </cell>
          <cell r="I640">
            <v>1400.5400999999999</v>
          </cell>
          <cell r="J640" t="str">
            <v>J</v>
          </cell>
        </row>
        <row r="641">
          <cell r="B641">
            <v>1400.1421</v>
          </cell>
          <cell r="C641" t="str">
            <v>消耗性生物资产</v>
          </cell>
          <cell r="D641">
            <v>1</v>
          </cell>
          <cell r="I641">
            <v>1400.1421</v>
          </cell>
          <cell r="J641" t="str">
            <v>J</v>
          </cell>
        </row>
        <row r="642">
          <cell r="B642">
            <v>1621.1622</v>
          </cell>
          <cell r="C642" t="str">
            <v>生产性生物资产累计折旧</v>
          </cell>
          <cell r="D642">
            <v>-1</v>
          </cell>
          <cell r="I642">
            <v>1621.1622</v>
          </cell>
          <cell r="J642" t="str">
            <v>J</v>
          </cell>
        </row>
        <row r="643">
          <cell r="B643">
            <v>1601.1602</v>
          </cell>
          <cell r="C643" t="str">
            <v>累计折旧</v>
          </cell>
          <cell r="D643">
            <v>-1</v>
          </cell>
          <cell r="I643">
            <v>1601.1602</v>
          </cell>
          <cell r="J643" t="str">
            <v>J</v>
          </cell>
        </row>
        <row r="644">
          <cell r="B644">
            <v>1701.1702</v>
          </cell>
          <cell r="C644" t="str">
            <v>累计摊销</v>
          </cell>
          <cell r="D644">
            <v>-1</v>
          </cell>
          <cell r="I644">
            <v>1701.1702</v>
          </cell>
          <cell r="J644" t="str">
            <v>J</v>
          </cell>
        </row>
        <row r="645">
          <cell r="B645">
            <v>1996.1623</v>
          </cell>
          <cell r="C645" t="str">
            <v>公益性生物资产</v>
          </cell>
          <cell r="D645">
            <v>1</v>
          </cell>
          <cell r="I645">
            <v>1996.1623</v>
          </cell>
          <cell r="J645" t="str">
            <v>J</v>
          </cell>
        </row>
        <row r="646">
          <cell r="B646">
            <v>1631.1632</v>
          </cell>
          <cell r="C646" t="str">
            <v>累计折耗</v>
          </cell>
          <cell r="D646">
            <v>-1</v>
          </cell>
          <cell r="I646">
            <v>1631.1632</v>
          </cell>
          <cell r="J646" t="str">
            <v>J</v>
          </cell>
        </row>
        <row r="647">
          <cell r="B647">
            <v>1535</v>
          </cell>
          <cell r="C647" t="str">
            <v>对合营企业投资和对联营企业投资</v>
          </cell>
          <cell r="I647">
            <v>1535</v>
          </cell>
        </row>
        <row r="648">
          <cell r="B648">
            <v>1705</v>
          </cell>
          <cell r="C648" t="str">
            <v>无形资产与开发支出</v>
          </cell>
          <cell r="I648">
            <v>1705</v>
          </cell>
        </row>
        <row r="649">
          <cell r="B649">
            <v>1829</v>
          </cell>
          <cell r="C649" t="str">
            <v>递延所得税资产与递延所得税负债</v>
          </cell>
          <cell r="I649">
            <v>1829</v>
          </cell>
        </row>
        <row r="650">
          <cell r="B650">
            <v>1991</v>
          </cell>
          <cell r="C650" t="str">
            <v>资产减值准备</v>
          </cell>
          <cell r="G650" t="str">
            <v>资产减值准备小计</v>
          </cell>
          <cell r="I650">
            <v>1991</v>
          </cell>
        </row>
        <row r="651">
          <cell r="B651">
            <v>1997</v>
          </cell>
          <cell r="C651" t="str">
            <v xml:space="preserve">所有权或使用权受到限制的资产 </v>
          </cell>
          <cell r="I651">
            <v>1997</v>
          </cell>
        </row>
        <row r="652">
          <cell r="B652">
            <v>1314</v>
          </cell>
          <cell r="C652" t="str">
            <v>持有待售资产和持有待售负债</v>
          </cell>
          <cell r="I652">
            <v>1314</v>
          </cell>
        </row>
        <row r="653">
          <cell r="B653">
            <v>1704</v>
          </cell>
          <cell r="C653" t="str">
            <v>外币货币性项目</v>
          </cell>
          <cell r="I653">
            <v>1704</v>
          </cell>
        </row>
        <row r="654">
          <cell r="B654">
            <v>9314</v>
          </cell>
          <cell r="C654" t="str">
            <v>所有者权益变动表项目注释</v>
          </cell>
          <cell r="I654">
            <v>9314</v>
          </cell>
        </row>
        <row r="655">
          <cell r="B655">
            <v>6064</v>
          </cell>
          <cell r="C655" t="str">
            <v>营业收入、营业成本</v>
          </cell>
          <cell r="I655">
            <v>6064</v>
          </cell>
        </row>
        <row r="656">
          <cell r="B656">
            <v>6095</v>
          </cell>
          <cell r="C656" t="str">
            <v>合同项目收入</v>
          </cell>
          <cell r="I656">
            <v>6095</v>
          </cell>
        </row>
        <row r="657">
          <cell r="B657">
            <v>6820</v>
          </cell>
          <cell r="C657" t="str">
            <v>基本每股收益和稀释每股收益</v>
          </cell>
          <cell r="E657" t="str">
            <v>：</v>
          </cell>
          <cell r="I657">
            <v>6820</v>
          </cell>
        </row>
        <row r="658">
          <cell r="B658">
            <v>7400</v>
          </cell>
          <cell r="C658" t="str">
            <v>现金流量表项目注释</v>
          </cell>
          <cell r="I658">
            <v>7400</v>
          </cell>
        </row>
        <row r="659">
          <cell r="B659">
            <v>7500</v>
          </cell>
          <cell r="C659" t="str">
            <v>现金流量表补充资料</v>
          </cell>
          <cell r="E659" t="str">
            <v>：</v>
          </cell>
          <cell r="I659">
            <v>7500</v>
          </cell>
        </row>
        <row r="660">
          <cell r="B660">
            <v>9010</v>
          </cell>
          <cell r="C660" t="str">
            <v>分部报告</v>
          </cell>
          <cell r="I660">
            <v>9010</v>
          </cell>
        </row>
        <row r="661">
          <cell r="B661">
            <v>9020</v>
          </cell>
          <cell r="C661" t="str">
            <v>资产证券化业务的会计处理</v>
          </cell>
          <cell r="I661">
            <v>9020</v>
          </cell>
        </row>
        <row r="662">
          <cell r="B662">
            <v>9100</v>
          </cell>
          <cell r="C662" t="str">
            <v>关联方关系及其交易</v>
          </cell>
          <cell r="I662">
            <v>9100</v>
          </cell>
        </row>
        <row r="663">
          <cell r="B663">
            <v>9101</v>
          </cell>
          <cell r="C663" t="str">
            <v>关联方关系</v>
          </cell>
          <cell r="I663">
            <v>9101</v>
          </cell>
        </row>
        <row r="664">
          <cell r="B664">
            <v>9120</v>
          </cell>
          <cell r="C664" t="str">
            <v>关联方交易</v>
          </cell>
          <cell r="I664">
            <v>9120</v>
          </cell>
        </row>
        <row r="665">
          <cell r="B665">
            <v>9130</v>
          </cell>
          <cell r="C665" t="str">
            <v>关联方往来款项余额</v>
          </cell>
          <cell r="I665">
            <v>9130</v>
          </cell>
        </row>
        <row r="666">
          <cell r="B666">
            <v>9210</v>
          </cell>
          <cell r="C666" t="str">
            <v>股份支付</v>
          </cell>
          <cell r="I666">
            <v>9210</v>
          </cell>
        </row>
        <row r="667">
          <cell r="B667">
            <v>9220</v>
          </cell>
          <cell r="C667" t="str">
            <v>或有事项</v>
          </cell>
          <cell r="I667">
            <v>9220</v>
          </cell>
        </row>
        <row r="668">
          <cell r="B668">
            <v>9250</v>
          </cell>
          <cell r="C668" t="str">
            <v>重大承诺事项</v>
          </cell>
          <cell r="I668">
            <v>9250</v>
          </cell>
        </row>
        <row r="669">
          <cell r="B669">
            <v>9260</v>
          </cell>
          <cell r="C669" t="str">
            <v>资产负债表日后事项</v>
          </cell>
          <cell r="I669">
            <v>9260</v>
          </cell>
        </row>
        <row r="670">
          <cell r="B670">
            <v>9300</v>
          </cell>
          <cell r="C670" t="str">
            <v>其他重要事项</v>
          </cell>
          <cell r="I670">
            <v>9300</v>
          </cell>
        </row>
        <row r="671">
          <cell r="B671">
            <v>9301</v>
          </cell>
          <cell r="C671" t="str">
            <v>非货币性资产交换</v>
          </cell>
          <cell r="I671">
            <v>9301</v>
          </cell>
        </row>
        <row r="672">
          <cell r="B672">
            <v>9302</v>
          </cell>
          <cell r="C672" t="str">
            <v>债务重组</v>
          </cell>
          <cell r="I672">
            <v>9302</v>
          </cell>
        </row>
        <row r="673">
          <cell r="B673">
            <v>9303</v>
          </cell>
          <cell r="C673" t="str">
            <v>企业合并</v>
          </cell>
          <cell r="I673">
            <v>9303</v>
          </cell>
        </row>
        <row r="674">
          <cell r="B674">
            <v>9305</v>
          </cell>
          <cell r="C674" t="str">
            <v>其他资产置换、转让及出售</v>
          </cell>
          <cell r="I674">
            <v>9305</v>
          </cell>
        </row>
        <row r="675">
          <cell r="B675">
            <v>9310</v>
          </cell>
          <cell r="C675" t="str">
            <v>租赁</v>
          </cell>
          <cell r="I675">
            <v>9310</v>
          </cell>
        </row>
        <row r="676">
          <cell r="B676">
            <v>9321</v>
          </cell>
          <cell r="C676" t="str">
            <v>期末发行在外的、可转换为股份的金融工具</v>
          </cell>
          <cell r="I676">
            <v>9321</v>
          </cell>
        </row>
        <row r="677">
          <cell r="B677">
            <v>9331</v>
          </cell>
          <cell r="C677" t="str">
            <v>公允价值</v>
          </cell>
          <cell r="I677">
            <v>9331</v>
          </cell>
        </row>
        <row r="678">
          <cell r="B678">
            <v>9336</v>
          </cell>
          <cell r="C678" t="str">
            <v>外币金融资产和外币金融负债</v>
          </cell>
          <cell r="I678">
            <v>9336</v>
          </cell>
        </row>
        <row r="679">
          <cell r="B679">
            <v>9351</v>
          </cell>
          <cell r="C679" t="str">
            <v>年金计划的主要内容及重大变化</v>
          </cell>
          <cell r="I679">
            <v>9351</v>
          </cell>
        </row>
        <row r="680">
          <cell r="B680">
            <v>9361</v>
          </cell>
          <cell r="C680" t="str">
            <v>借款费用</v>
          </cell>
          <cell r="I680">
            <v>9361</v>
          </cell>
        </row>
        <row r="681">
          <cell r="B681">
            <v>9363</v>
          </cell>
          <cell r="C681" t="str">
            <v>外币折算</v>
          </cell>
          <cell r="I681">
            <v>9363</v>
          </cell>
        </row>
        <row r="682">
          <cell r="B682">
            <v>9367</v>
          </cell>
          <cell r="C682" t="str">
            <v>终止经营</v>
          </cell>
          <cell r="I682">
            <v>9367</v>
          </cell>
        </row>
        <row r="683">
          <cell r="B683">
            <v>9390</v>
          </cell>
          <cell r="C683" t="str">
            <v>其他重要事项_其他</v>
          </cell>
          <cell r="I683">
            <v>9390</v>
          </cell>
        </row>
        <row r="684">
          <cell r="B684">
            <v>9509</v>
          </cell>
          <cell r="C684" t="str">
            <v>母公司反向购买下以公允价值入账的资产、负债情况</v>
          </cell>
          <cell r="I684">
            <v>9509</v>
          </cell>
        </row>
        <row r="685">
          <cell r="B685">
            <v>9601</v>
          </cell>
          <cell r="C685" t="str">
            <v>当期非经常性损益明细表</v>
          </cell>
          <cell r="I685">
            <v>9601</v>
          </cell>
        </row>
        <row r="686">
          <cell r="B686">
            <v>9611</v>
          </cell>
          <cell r="C686" t="str">
            <v>境内外会计准则下会计数据差异</v>
          </cell>
          <cell r="I686">
            <v>9611</v>
          </cell>
        </row>
        <row r="687">
          <cell r="B687">
            <v>9621</v>
          </cell>
          <cell r="C687" t="str">
            <v>净资产收益率和每股收益</v>
          </cell>
          <cell r="I687">
            <v>9621</v>
          </cell>
        </row>
        <row r="688">
          <cell r="B688">
            <v>8121</v>
          </cell>
          <cell r="C688" t="str">
            <v>实收资本_净利润增加权益</v>
          </cell>
          <cell r="D688">
            <v>-1</v>
          </cell>
          <cell r="E688" t="str">
            <v>N</v>
          </cell>
          <cell r="G688" t="str">
            <v>（一）净利润</v>
          </cell>
          <cell r="I688">
            <v>8121</v>
          </cell>
          <cell r="J688" t="str">
            <v>J</v>
          </cell>
        </row>
        <row r="689">
          <cell r="B689">
            <v>8130</v>
          </cell>
          <cell r="C689" t="str">
            <v>实收资本_其他综合收益增加权益</v>
          </cell>
          <cell r="D689">
            <v>-1</v>
          </cell>
          <cell r="E689" t="str">
            <v>N</v>
          </cell>
          <cell r="G689" t="str">
            <v>（二）其他综合收益</v>
          </cell>
          <cell r="I689">
            <v>8130</v>
          </cell>
          <cell r="J689" t="str">
            <v>J</v>
          </cell>
        </row>
        <row r="690">
          <cell r="B690">
            <v>8152</v>
          </cell>
          <cell r="C690" t="str">
            <v>实收资本_股份支付计入所有者权益的金额</v>
          </cell>
          <cell r="D690">
            <v>-1</v>
          </cell>
          <cell r="E690" t="str">
            <v>N</v>
          </cell>
          <cell r="G690" t="str">
            <v>股份支付计入所有者权益的金额</v>
          </cell>
          <cell r="I690">
            <v>8152</v>
          </cell>
          <cell r="J690" t="str">
            <v>J</v>
          </cell>
        </row>
        <row r="691">
          <cell r="B691">
            <v>8161</v>
          </cell>
          <cell r="C691" t="str">
            <v>实收资本_提取盈余公积影响权益</v>
          </cell>
          <cell r="D691">
            <v>-1</v>
          </cell>
          <cell r="E691" t="str">
            <v>N</v>
          </cell>
          <cell r="G691" t="str">
            <v>提取盈余公积</v>
          </cell>
          <cell r="I691">
            <v>8161</v>
          </cell>
          <cell r="J691" t="str">
            <v>J</v>
          </cell>
        </row>
        <row r="692">
          <cell r="B692">
            <v>8162</v>
          </cell>
          <cell r="C692" t="str">
            <v>实收资本_提取一般风险准备影响权益</v>
          </cell>
          <cell r="D692">
            <v>-1</v>
          </cell>
          <cell r="E692" t="str">
            <v>N</v>
          </cell>
          <cell r="G692" t="str">
            <v>提取一般风险准备</v>
          </cell>
          <cell r="I692">
            <v>8162</v>
          </cell>
          <cell r="J692" t="str">
            <v>J</v>
          </cell>
        </row>
        <row r="693">
          <cell r="B693">
            <v>8163</v>
          </cell>
          <cell r="C693" t="str">
            <v>实收资本_对所有者的分配影响权益</v>
          </cell>
          <cell r="D693">
            <v>-1</v>
          </cell>
          <cell r="E693" t="str">
            <v>N</v>
          </cell>
          <cell r="G693" t="str">
            <v>对所有者（或股东）的分配</v>
          </cell>
          <cell r="I693">
            <v>8163</v>
          </cell>
          <cell r="J693" t="str">
            <v>J</v>
          </cell>
        </row>
        <row r="694">
          <cell r="B694">
            <v>8166</v>
          </cell>
          <cell r="C694" t="str">
            <v>实收资本_其他利润分配影响权益</v>
          </cell>
          <cell r="D694">
            <v>-1</v>
          </cell>
          <cell r="E694" t="str">
            <v>N</v>
          </cell>
          <cell r="G694" t="str">
            <v>其他</v>
          </cell>
          <cell r="I694">
            <v>8166</v>
          </cell>
          <cell r="J694" t="str">
            <v>J</v>
          </cell>
        </row>
        <row r="695">
          <cell r="B695">
            <v>8173</v>
          </cell>
          <cell r="C695" t="str">
            <v>实收资本_盈余公积弥补亏损影响权益</v>
          </cell>
          <cell r="D695">
            <v>-1</v>
          </cell>
          <cell r="E695" t="str">
            <v>N</v>
          </cell>
          <cell r="G695" t="str">
            <v>盈余公积弥补亏损</v>
          </cell>
          <cell r="I695">
            <v>8173</v>
          </cell>
          <cell r="J695" t="str">
            <v>J</v>
          </cell>
        </row>
        <row r="696">
          <cell r="B696">
            <v>8181</v>
          </cell>
          <cell r="C696" t="str">
            <v>实收资本_专项储备本期提取</v>
          </cell>
          <cell r="D696">
            <v>-1</v>
          </cell>
          <cell r="E696" t="str">
            <v>N</v>
          </cell>
          <cell r="G696" t="str">
            <v>本期提取</v>
          </cell>
          <cell r="I696">
            <v>8181</v>
          </cell>
          <cell r="J696" t="str">
            <v>J</v>
          </cell>
        </row>
        <row r="697">
          <cell r="B697">
            <v>8182</v>
          </cell>
          <cell r="C697" t="str">
            <v>实收资本_专项储备本期使用</v>
          </cell>
          <cell r="D697">
            <v>-1</v>
          </cell>
          <cell r="E697" t="str">
            <v>N</v>
          </cell>
          <cell r="G697" t="str">
            <v>本期使用</v>
          </cell>
          <cell r="I697">
            <v>8182</v>
          </cell>
          <cell r="J697" t="str">
            <v>J</v>
          </cell>
        </row>
        <row r="698">
          <cell r="B698">
            <v>8221</v>
          </cell>
          <cell r="C698" t="str">
            <v>资本公积_净利润增加权益</v>
          </cell>
          <cell r="D698">
            <v>-1</v>
          </cell>
          <cell r="E698" t="str">
            <v>N</v>
          </cell>
          <cell r="G698" t="str">
            <v>（一）净利润</v>
          </cell>
          <cell r="I698">
            <v>8221</v>
          </cell>
          <cell r="J698" t="str">
            <v>J</v>
          </cell>
        </row>
        <row r="699">
          <cell r="B699">
            <v>8261</v>
          </cell>
          <cell r="C699" t="str">
            <v>资本公积_提取盈余公积影响权益</v>
          </cell>
          <cell r="D699">
            <v>-1</v>
          </cell>
          <cell r="E699" t="str">
            <v>N</v>
          </cell>
          <cell r="G699" t="str">
            <v>提取盈余公积</v>
          </cell>
          <cell r="I699">
            <v>8261</v>
          </cell>
          <cell r="J699" t="str">
            <v>J</v>
          </cell>
        </row>
        <row r="700">
          <cell r="B700">
            <v>8262</v>
          </cell>
          <cell r="C700" t="str">
            <v>资本公积_提取一般风险准备影响权益</v>
          </cell>
          <cell r="D700">
            <v>-1</v>
          </cell>
          <cell r="E700" t="str">
            <v>N</v>
          </cell>
          <cell r="G700" t="str">
            <v>提取一般风险准备</v>
          </cell>
          <cell r="I700">
            <v>8262</v>
          </cell>
          <cell r="J700" t="str">
            <v>J</v>
          </cell>
        </row>
        <row r="701">
          <cell r="B701">
            <v>8263</v>
          </cell>
          <cell r="C701" t="str">
            <v>资本公积_对所有者的分配影响权益</v>
          </cell>
          <cell r="D701">
            <v>-1</v>
          </cell>
          <cell r="E701" t="str">
            <v>N</v>
          </cell>
          <cell r="G701" t="str">
            <v>对所有者（或股东）的分配</v>
          </cell>
          <cell r="I701">
            <v>8263</v>
          </cell>
          <cell r="J701" t="str">
            <v>J</v>
          </cell>
        </row>
        <row r="702">
          <cell r="B702">
            <v>8272</v>
          </cell>
          <cell r="C702" t="str">
            <v>资本公积_盈余公积转增资本影响权益</v>
          </cell>
          <cell r="D702">
            <v>-1</v>
          </cell>
          <cell r="E702" t="str">
            <v>N</v>
          </cell>
          <cell r="G702" t="str">
            <v>盈余公积转增资本（或股本）</v>
          </cell>
          <cell r="I702">
            <v>8272</v>
          </cell>
          <cell r="J702" t="str">
            <v>J</v>
          </cell>
        </row>
        <row r="703">
          <cell r="B703">
            <v>8273</v>
          </cell>
          <cell r="C703" t="str">
            <v>资本公积_盈余公积弥补亏损影响权益</v>
          </cell>
          <cell r="D703">
            <v>-1</v>
          </cell>
          <cell r="E703" t="str">
            <v>N</v>
          </cell>
          <cell r="G703" t="str">
            <v>盈余公积弥补亏损</v>
          </cell>
          <cell r="I703">
            <v>8273</v>
          </cell>
          <cell r="J703" t="str">
            <v>J</v>
          </cell>
        </row>
        <row r="704">
          <cell r="B704">
            <v>8281</v>
          </cell>
          <cell r="C704" t="str">
            <v>资本公积_专项储备本期提取</v>
          </cell>
          <cell r="D704">
            <v>-1</v>
          </cell>
          <cell r="E704" t="str">
            <v>N</v>
          </cell>
          <cell r="G704" t="str">
            <v>本期提取</v>
          </cell>
          <cell r="I704">
            <v>8281</v>
          </cell>
          <cell r="J704" t="str">
            <v>J</v>
          </cell>
        </row>
        <row r="705">
          <cell r="B705">
            <v>8282</v>
          </cell>
          <cell r="C705" t="str">
            <v>资本公积_专项储备本期使用</v>
          </cell>
          <cell r="D705">
            <v>-1</v>
          </cell>
          <cell r="E705" t="str">
            <v>N</v>
          </cell>
          <cell r="G705" t="str">
            <v>本期使用</v>
          </cell>
          <cell r="I705">
            <v>8282</v>
          </cell>
          <cell r="J705" t="str">
            <v>J</v>
          </cell>
        </row>
        <row r="706">
          <cell r="B706">
            <v>8321</v>
          </cell>
          <cell r="C706" t="str">
            <v>库存股_净利润增加权益</v>
          </cell>
          <cell r="D706">
            <v>1</v>
          </cell>
          <cell r="E706" t="str">
            <v>N</v>
          </cell>
          <cell r="G706" t="str">
            <v>（一）净利润</v>
          </cell>
          <cell r="I706">
            <v>8321</v>
          </cell>
          <cell r="J706" t="str">
            <v>J</v>
          </cell>
        </row>
        <row r="707">
          <cell r="B707">
            <v>8330</v>
          </cell>
          <cell r="C707" t="str">
            <v>库存股_其他综合收益增加权益</v>
          </cell>
          <cell r="D707">
            <v>1</v>
          </cell>
          <cell r="E707" t="str">
            <v>N</v>
          </cell>
          <cell r="G707" t="str">
            <v>（二）其他综合收益</v>
          </cell>
          <cell r="I707">
            <v>8330</v>
          </cell>
          <cell r="J707" t="str">
            <v>J</v>
          </cell>
        </row>
        <row r="708">
          <cell r="B708">
            <v>8361</v>
          </cell>
          <cell r="C708" t="str">
            <v>库存股_提取盈余公积影响权益</v>
          </cell>
          <cell r="D708">
            <v>1</v>
          </cell>
          <cell r="E708" t="str">
            <v>N</v>
          </cell>
          <cell r="G708" t="str">
            <v>提取盈余公积</v>
          </cell>
          <cell r="I708">
            <v>8361</v>
          </cell>
          <cell r="J708" t="str">
            <v>J</v>
          </cell>
        </row>
        <row r="709">
          <cell r="B709">
            <v>8362</v>
          </cell>
          <cell r="C709" t="str">
            <v>库存股_提取一般风险准备影响权益</v>
          </cell>
          <cell r="D709">
            <v>1</v>
          </cell>
          <cell r="E709" t="str">
            <v>N</v>
          </cell>
          <cell r="G709" t="str">
            <v>提取一般风险准备</v>
          </cell>
          <cell r="I709">
            <v>8362</v>
          </cell>
          <cell r="J709" t="str">
            <v>J</v>
          </cell>
        </row>
        <row r="710">
          <cell r="B710">
            <v>8371</v>
          </cell>
          <cell r="C710" t="str">
            <v>库存股_资本公积转增资本影响权益</v>
          </cell>
          <cell r="D710">
            <v>1</v>
          </cell>
          <cell r="E710" t="str">
            <v>N</v>
          </cell>
          <cell r="G710" t="str">
            <v>资本公积转增资本（或股本）</v>
          </cell>
          <cell r="I710">
            <v>8371</v>
          </cell>
          <cell r="J710" t="str">
            <v>J</v>
          </cell>
        </row>
        <row r="711">
          <cell r="B711">
            <v>8372</v>
          </cell>
          <cell r="C711" t="str">
            <v>库存股_盈余公积转增资本影响权益</v>
          </cell>
          <cell r="D711">
            <v>1</v>
          </cell>
          <cell r="E711" t="str">
            <v>N</v>
          </cell>
          <cell r="G711" t="str">
            <v>盈余公积转增资本（或股本）</v>
          </cell>
          <cell r="I711">
            <v>8372</v>
          </cell>
          <cell r="J711" t="str">
            <v>J</v>
          </cell>
        </row>
        <row r="712">
          <cell r="B712">
            <v>8373</v>
          </cell>
          <cell r="C712" t="str">
            <v>库存股_盈余公积弥补亏损影响权益</v>
          </cell>
          <cell r="D712">
            <v>1</v>
          </cell>
          <cell r="E712" t="str">
            <v>N</v>
          </cell>
          <cell r="G712" t="str">
            <v>盈余公积弥补亏损</v>
          </cell>
          <cell r="I712">
            <v>8373</v>
          </cell>
          <cell r="J712" t="str">
            <v>J</v>
          </cell>
        </row>
        <row r="713">
          <cell r="B713">
            <v>8381</v>
          </cell>
          <cell r="C713" t="str">
            <v>库存股_专项储备本期提取</v>
          </cell>
          <cell r="D713">
            <v>1</v>
          </cell>
          <cell r="E713" t="str">
            <v>N</v>
          </cell>
          <cell r="G713" t="str">
            <v>本期提取</v>
          </cell>
          <cell r="I713">
            <v>8381</v>
          </cell>
          <cell r="J713" t="str">
            <v>J</v>
          </cell>
        </row>
        <row r="714">
          <cell r="B714">
            <v>8382</v>
          </cell>
          <cell r="C714" t="str">
            <v>库存股_专项储备本期使用</v>
          </cell>
          <cell r="D714">
            <v>1</v>
          </cell>
          <cell r="E714" t="str">
            <v>N</v>
          </cell>
          <cell r="G714" t="str">
            <v>本期使用</v>
          </cell>
          <cell r="I714">
            <v>8382</v>
          </cell>
          <cell r="J714" t="str">
            <v>J</v>
          </cell>
        </row>
        <row r="715">
          <cell r="B715">
            <v>8421</v>
          </cell>
          <cell r="C715" t="str">
            <v>专项储备_净利润增加权益</v>
          </cell>
          <cell r="D715">
            <v>-1</v>
          </cell>
          <cell r="E715" t="str">
            <v>N</v>
          </cell>
          <cell r="G715" t="str">
            <v>（一）净利润</v>
          </cell>
          <cell r="I715">
            <v>8421</v>
          </cell>
          <cell r="J715" t="str">
            <v>J</v>
          </cell>
        </row>
        <row r="716">
          <cell r="B716">
            <v>8430</v>
          </cell>
          <cell r="C716" t="str">
            <v>专项储备_其他综合收益增加权益</v>
          </cell>
          <cell r="D716">
            <v>-1</v>
          </cell>
          <cell r="E716" t="str">
            <v>N</v>
          </cell>
          <cell r="G716" t="str">
            <v>（二）其他综合收益</v>
          </cell>
          <cell r="I716">
            <v>8430</v>
          </cell>
          <cell r="J716" t="str">
            <v>J</v>
          </cell>
        </row>
        <row r="717">
          <cell r="B717">
            <v>8451</v>
          </cell>
          <cell r="C717" t="str">
            <v>专项储备_所有者投入资本增加权益</v>
          </cell>
          <cell r="D717">
            <v>-1</v>
          </cell>
          <cell r="E717" t="str">
            <v>N</v>
          </cell>
          <cell r="G717" t="str">
            <v>所有者投入资本</v>
          </cell>
          <cell r="I717">
            <v>8451</v>
          </cell>
          <cell r="J717" t="str">
            <v>J</v>
          </cell>
        </row>
        <row r="718">
          <cell r="B718">
            <v>8452</v>
          </cell>
          <cell r="C718" t="str">
            <v>专项储备_股份支付计入所有者权益的金额</v>
          </cell>
          <cell r="D718">
            <v>-1</v>
          </cell>
          <cell r="E718" t="str">
            <v>N</v>
          </cell>
          <cell r="G718" t="str">
            <v>股份支付计入所有者权益的金额</v>
          </cell>
          <cell r="I718">
            <v>8452</v>
          </cell>
          <cell r="J718" t="str">
            <v>J</v>
          </cell>
        </row>
        <row r="719">
          <cell r="B719">
            <v>8456</v>
          </cell>
          <cell r="C719" t="str">
            <v>专项储备_所有者其他投入和减少资本</v>
          </cell>
          <cell r="D719">
            <v>-1</v>
          </cell>
          <cell r="E719" t="str">
            <v>N</v>
          </cell>
          <cell r="G719" t="str">
            <v>其他</v>
          </cell>
          <cell r="I719">
            <v>8456</v>
          </cell>
          <cell r="J719" t="str">
            <v>J</v>
          </cell>
        </row>
        <row r="720">
          <cell r="B720">
            <v>8461</v>
          </cell>
          <cell r="C720" t="str">
            <v>专项储备_提取盈余公积影响权益</v>
          </cell>
          <cell r="D720">
            <v>-1</v>
          </cell>
          <cell r="E720" t="str">
            <v>N</v>
          </cell>
          <cell r="G720" t="str">
            <v>提取盈余公积</v>
          </cell>
          <cell r="I720">
            <v>8461</v>
          </cell>
          <cell r="J720" t="str">
            <v>J</v>
          </cell>
        </row>
        <row r="721">
          <cell r="B721">
            <v>8462</v>
          </cell>
          <cell r="C721" t="str">
            <v>专项储备_提取一般风险准备影响权益</v>
          </cell>
          <cell r="D721">
            <v>-1</v>
          </cell>
          <cell r="E721" t="str">
            <v>N</v>
          </cell>
          <cell r="G721" t="str">
            <v>提取一般风险准备</v>
          </cell>
          <cell r="I721">
            <v>8462</v>
          </cell>
          <cell r="J721" t="str">
            <v>J</v>
          </cell>
        </row>
        <row r="722">
          <cell r="B722">
            <v>8463</v>
          </cell>
          <cell r="C722" t="str">
            <v>专项储备_对所有者的分配影响权益</v>
          </cell>
          <cell r="D722">
            <v>-1</v>
          </cell>
          <cell r="E722" t="str">
            <v>N</v>
          </cell>
          <cell r="G722" t="str">
            <v>对所有者（或股东）的分配</v>
          </cell>
          <cell r="I722">
            <v>8463</v>
          </cell>
          <cell r="J722" t="str">
            <v>J</v>
          </cell>
        </row>
        <row r="723">
          <cell r="B723">
            <v>8466</v>
          </cell>
          <cell r="C723" t="str">
            <v>专项储备_其他利润分配影响权益</v>
          </cell>
          <cell r="D723">
            <v>-1</v>
          </cell>
          <cell r="E723" t="str">
            <v>N</v>
          </cell>
          <cell r="G723" t="str">
            <v>其他</v>
          </cell>
          <cell r="I723">
            <v>8466</v>
          </cell>
          <cell r="J723" t="str">
            <v>J</v>
          </cell>
        </row>
        <row r="724">
          <cell r="B724">
            <v>8471</v>
          </cell>
          <cell r="C724" t="str">
            <v>专项储备_资本公积转增资本影响权益</v>
          </cell>
          <cell r="D724">
            <v>-1</v>
          </cell>
          <cell r="E724" t="str">
            <v>N</v>
          </cell>
          <cell r="G724" t="str">
            <v>资本公积转增资本（或股本）</v>
          </cell>
          <cell r="I724">
            <v>8471</v>
          </cell>
          <cell r="J724" t="str">
            <v>J</v>
          </cell>
        </row>
        <row r="725">
          <cell r="B725">
            <v>8472</v>
          </cell>
          <cell r="C725" t="str">
            <v>专项储备_盈余公积转增资本影响权益</v>
          </cell>
          <cell r="D725">
            <v>-1</v>
          </cell>
          <cell r="E725" t="str">
            <v>N</v>
          </cell>
          <cell r="G725" t="str">
            <v>盈余公积转增资本（或股本）</v>
          </cell>
          <cell r="I725">
            <v>8472</v>
          </cell>
          <cell r="J725" t="str">
            <v>J</v>
          </cell>
        </row>
        <row r="726">
          <cell r="B726">
            <v>8473</v>
          </cell>
          <cell r="C726" t="str">
            <v>专项储备_盈余公积弥补亏损影响权益</v>
          </cell>
          <cell r="D726">
            <v>-1</v>
          </cell>
          <cell r="E726" t="str">
            <v>N</v>
          </cell>
          <cell r="G726" t="str">
            <v>盈余公积弥补亏损</v>
          </cell>
          <cell r="I726">
            <v>8473</v>
          </cell>
          <cell r="J726" t="str">
            <v>J</v>
          </cell>
        </row>
        <row r="727">
          <cell r="B727">
            <v>8521</v>
          </cell>
          <cell r="C727" t="str">
            <v>盈余公积_净利润增加权益</v>
          </cell>
          <cell r="D727">
            <v>-1</v>
          </cell>
          <cell r="E727" t="str">
            <v>N</v>
          </cell>
          <cell r="G727" t="str">
            <v>（一）净利润</v>
          </cell>
          <cell r="I727">
            <v>8521</v>
          </cell>
          <cell r="J727" t="str">
            <v>J</v>
          </cell>
        </row>
        <row r="728">
          <cell r="B728">
            <v>8530</v>
          </cell>
          <cell r="C728" t="str">
            <v>盈余公积_其他综合收益增加权益</v>
          </cell>
          <cell r="D728">
            <v>-1</v>
          </cell>
          <cell r="E728" t="str">
            <v>N</v>
          </cell>
          <cell r="G728" t="str">
            <v>（二）其他综合收益</v>
          </cell>
          <cell r="I728">
            <v>8530</v>
          </cell>
          <cell r="J728" t="str">
            <v>J</v>
          </cell>
        </row>
        <row r="729">
          <cell r="B729">
            <v>8551</v>
          </cell>
          <cell r="C729" t="str">
            <v>盈余公积_所有者投入资本增加权益</v>
          </cell>
          <cell r="D729">
            <v>-1</v>
          </cell>
          <cell r="E729" t="str">
            <v>N</v>
          </cell>
          <cell r="G729" t="str">
            <v>所有者投入资本</v>
          </cell>
          <cell r="I729">
            <v>8551</v>
          </cell>
          <cell r="J729" t="str">
            <v>J</v>
          </cell>
        </row>
        <row r="730">
          <cell r="B730">
            <v>8552</v>
          </cell>
          <cell r="C730" t="str">
            <v>盈余公积_股份支付计入所有者权益的金额</v>
          </cell>
          <cell r="D730">
            <v>-1</v>
          </cell>
          <cell r="E730" t="str">
            <v>N</v>
          </cell>
          <cell r="G730" t="str">
            <v>股份支付计入所有者权益的金额</v>
          </cell>
          <cell r="I730">
            <v>8552</v>
          </cell>
          <cell r="J730" t="str">
            <v>J</v>
          </cell>
        </row>
        <row r="731">
          <cell r="B731">
            <v>8562</v>
          </cell>
          <cell r="C731" t="str">
            <v>盈余公积_提取一般风险准备影响权益</v>
          </cell>
          <cell r="D731">
            <v>-1</v>
          </cell>
          <cell r="E731" t="str">
            <v>N</v>
          </cell>
          <cell r="G731" t="str">
            <v>提取一般风险准备</v>
          </cell>
          <cell r="I731">
            <v>8562</v>
          </cell>
          <cell r="J731" t="str">
            <v>J</v>
          </cell>
        </row>
        <row r="732">
          <cell r="B732">
            <v>8571</v>
          </cell>
          <cell r="C732" t="str">
            <v>盈余公积_资本公积转增资本影响权益</v>
          </cell>
          <cell r="D732">
            <v>-1</v>
          </cell>
          <cell r="E732" t="str">
            <v>N</v>
          </cell>
          <cell r="G732" t="str">
            <v>资本公积转增资本（或股本）</v>
          </cell>
          <cell r="I732">
            <v>8571</v>
          </cell>
          <cell r="J732" t="str">
            <v>J</v>
          </cell>
        </row>
        <row r="733">
          <cell r="B733">
            <v>8581</v>
          </cell>
          <cell r="C733" t="str">
            <v>盈余公积_专项储备本期提取</v>
          </cell>
          <cell r="D733">
            <v>-1</v>
          </cell>
          <cell r="E733" t="str">
            <v>N</v>
          </cell>
          <cell r="G733" t="str">
            <v>本期提取</v>
          </cell>
          <cell r="I733">
            <v>8581</v>
          </cell>
          <cell r="J733" t="str">
            <v>J</v>
          </cell>
        </row>
        <row r="734">
          <cell r="B734">
            <v>8582</v>
          </cell>
          <cell r="C734" t="str">
            <v>盈余公积_专项储备本期使用</v>
          </cell>
          <cell r="D734">
            <v>-1</v>
          </cell>
          <cell r="E734" t="str">
            <v>N</v>
          </cell>
          <cell r="G734" t="str">
            <v>本期使用</v>
          </cell>
          <cell r="I734">
            <v>8582</v>
          </cell>
          <cell r="J734" t="str">
            <v>J</v>
          </cell>
        </row>
        <row r="735">
          <cell r="B735">
            <v>8621</v>
          </cell>
          <cell r="C735" t="str">
            <v>一般风险准备_净利润增加权益</v>
          </cell>
          <cell r="D735">
            <v>-1</v>
          </cell>
          <cell r="E735" t="str">
            <v>N</v>
          </cell>
          <cell r="G735" t="str">
            <v>（一）净利润</v>
          </cell>
          <cell r="I735">
            <v>8621</v>
          </cell>
          <cell r="J735" t="str">
            <v>J</v>
          </cell>
        </row>
        <row r="736">
          <cell r="B736">
            <v>8630</v>
          </cell>
          <cell r="C736" t="str">
            <v>一般风险准备_其他综合收益增加权益</v>
          </cell>
          <cell r="D736">
            <v>-1</v>
          </cell>
          <cell r="E736" t="str">
            <v>N</v>
          </cell>
          <cell r="G736" t="str">
            <v>（二）其他综合收益</v>
          </cell>
          <cell r="I736">
            <v>8630</v>
          </cell>
          <cell r="J736" t="str">
            <v>J</v>
          </cell>
        </row>
        <row r="737">
          <cell r="B737">
            <v>8651</v>
          </cell>
          <cell r="C737" t="str">
            <v>一般风险准备_所有者投入资本增加权益</v>
          </cell>
          <cell r="D737">
            <v>-1</v>
          </cell>
          <cell r="E737" t="str">
            <v>N</v>
          </cell>
          <cell r="G737" t="str">
            <v>所有者投入资本</v>
          </cell>
          <cell r="I737">
            <v>8651</v>
          </cell>
          <cell r="J737" t="str">
            <v>J</v>
          </cell>
        </row>
        <row r="738">
          <cell r="B738">
            <v>8652</v>
          </cell>
          <cell r="C738" t="str">
            <v>一般风险准备_股份支付计入所有者权益的金额</v>
          </cell>
          <cell r="D738">
            <v>-1</v>
          </cell>
          <cell r="E738" t="str">
            <v>N</v>
          </cell>
          <cell r="G738" t="str">
            <v>股份支付计入所有者权益的金额</v>
          </cell>
          <cell r="I738">
            <v>8652</v>
          </cell>
          <cell r="J738" t="str">
            <v>J</v>
          </cell>
        </row>
        <row r="739">
          <cell r="B739">
            <v>8661</v>
          </cell>
          <cell r="C739" t="str">
            <v>一般风险准备_提取盈余公积影响权益</v>
          </cell>
          <cell r="D739">
            <v>-1</v>
          </cell>
          <cell r="E739" t="str">
            <v>N</v>
          </cell>
          <cell r="G739" t="str">
            <v>提取盈余公积</v>
          </cell>
          <cell r="I739">
            <v>8661</v>
          </cell>
          <cell r="J739" t="str">
            <v>J</v>
          </cell>
        </row>
        <row r="740">
          <cell r="B740">
            <v>8663</v>
          </cell>
          <cell r="C740" t="str">
            <v>一般风险准备_对所有者的分配影响权益</v>
          </cell>
          <cell r="D740">
            <v>-1</v>
          </cell>
          <cell r="E740" t="str">
            <v>N</v>
          </cell>
          <cell r="G740" t="str">
            <v>对所有者（或股东）的分配</v>
          </cell>
          <cell r="I740">
            <v>8663</v>
          </cell>
          <cell r="J740" t="str">
            <v>J</v>
          </cell>
        </row>
        <row r="741">
          <cell r="B741">
            <v>8671</v>
          </cell>
          <cell r="C741" t="str">
            <v>一般风险准备_资本公积转增资本影响权益</v>
          </cell>
          <cell r="D741">
            <v>-1</v>
          </cell>
          <cell r="E741" t="str">
            <v>N</v>
          </cell>
          <cell r="G741" t="str">
            <v>资本公积转增资本（或股本）</v>
          </cell>
          <cell r="I741">
            <v>8671</v>
          </cell>
          <cell r="J741" t="str">
            <v>J</v>
          </cell>
        </row>
        <row r="742">
          <cell r="B742">
            <v>8672</v>
          </cell>
          <cell r="C742" t="str">
            <v>一般风险准备_盈余公积转增资本影响权益</v>
          </cell>
          <cell r="D742">
            <v>-1</v>
          </cell>
          <cell r="E742" t="str">
            <v>N</v>
          </cell>
          <cell r="G742" t="str">
            <v>盈余公积转增资本（或股本）</v>
          </cell>
          <cell r="I742">
            <v>8672</v>
          </cell>
          <cell r="J742" t="str">
            <v>J</v>
          </cell>
        </row>
        <row r="743">
          <cell r="B743">
            <v>8673</v>
          </cell>
          <cell r="C743" t="str">
            <v>一般风险准备_盈余公积弥补亏损影响权益</v>
          </cell>
          <cell r="D743">
            <v>-1</v>
          </cell>
          <cell r="E743" t="str">
            <v>N</v>
          </cell>
          <cell r="G743" t="str">
            <v>盈余公积弥补亏损</v>
          </cell>
          <cell r="I743">
            <v>8673</v>
          </cell>
          <cell r="J743" t="str">
            <v>J</v>
          </cell>
        </row>
        <row r="744">
          <cell r="B744">
            <v>8681</v>
          </cell>
          <cell r="C744" t="str">
            <v>一般风险准备_专项储备本期提取</v>
          </cell>
          <cell r="D744">
            <v>-1</v>
          </cell>
          <cell r="E744" t="str">
            <v>N</v>
          </cell>
          <cell r="G744" t="str">
            <v>本期提取</v>
          </cell>
          <cell r="I744">
            <v>8681</v>
          </cell>
          <cell r="J744" t="str">
            <v>J</v>
          </cell>
        </row>
        <row r="745">
          <cell r="B745">
            <v>8682</v>
          </cell>
          <cell r="C745" t="str">
            <v>一般风险准备_专项储备本期使用</v>
          </cell>
          <cell r="D745">
            <v>-1</v>
          </cell>
          <cell r="E745" t="str">
            <v>N</v>
          </cell>
          <cell r="G745" t="str">
            <v>本期使用</v>
          </cell>
          <cell r="I745">
            <v>8682</v>
          </cell>
          <cell r="J745" t="str">
            <v>J</v>
          </cell>
        </row>
        <row r="746">
          <cell r="B746">
            <v>8730</v>
          </cell>
          <cell r="C746" t="str">
            <v>未分配利润_其他综合收益增加权益</v>
          </cell>
          <cell r="D746">
            <v>-1</v>
          </cell>
          <cell r="E746" t="str">
            <v>N</v>
          </cell>
          <cell r="G746" t="str">
            <v>（二）其他综合收益</v>
          </cell>
          <cell r="I746">
            <v>8730</v>
          </cell>
        </row>
        <row r="747">
          <cell r="B747">
            <v>8751</v>
          </cell>
          <cell r="C747" t="str">
            <v>未分配利润_所有者投入资本增加权益</v>
          </cell>
          <cell r="D747">
            <v>-1</v>
          </cell>
          <cell r="E747" t="str">
            <v>N</v>
          </cell>
          <cell r="G747" t="str">
            <v>所有者投入资本</v>
          </cell>
          <cell r="I747">
            <v>8751</v>
          </cell>
          <cell r="J747" t="str">
            <v>J</v>
          </cell>
        </row>
        <row r="748">
          <cell r="B748">
            <v>8752</v>
          </cell>
          <cell r="C748" t="str">
            <v>未分配利润_股份支付计入所有者权益的金额</v>
          </cell>
          <cell r="D748">
            <v>-1</v>
          </cell>
          <cell r="E748" t="str">
            <v>N</v>
          </cell>
          <cell r="G748" t="str">
            <v>股份支付计入所有者权益的金额</v>
          </cell>
          <cell r="I748">
            <v>8752</v>
          </cell>
          <cell r="J748" t="str">
            <v>J</v>
          </cell>
        </row>
        <row r="749">
          <cell r="B749">
            <v>8771</v>
          </cell>
          <cell r="C749" t="str">
            <v>未分配利润_资本公积转增资本影响权益</v>
          </cell>
          <cell r="D749">
            <v>-1</v>
          </cell>
          <cell r="E749" t="str">
            <v>N</v>
          </cell>
          <cell r="G749" t="str">
            <v>资本公积转增资本（或股本）</v>
          </cell>
          <cell r="I749">
            <v>8771</v>
          </cell>
          <cell r="J749" t="str">
            <v>J</v>
          </cell>
        </row>
        <row r="750">
          <cell r="B750">
            <v>8772</v>
          </cell>
          <cell r="C750" t="str">
            <v>未分配利润_盈余公积转增资本影响权益</v>
          </cell>
          <cell r="D750">
            <v>-1</v>
          </cell>
          <cell r="E750" t="str">
            <v>N</v>
          </cell>
          <cell r="G750" t="str">
            <v>盈余公积转增资本（或股本）</v>
          </cell>
          <cell r="I750">
            <v>8772</v>
          </cell>
          <cell r="J750" t="str">
            <v>J</v>
          </cell>
        </row>
        <row r="751">
          <cell r="B751">
            <v>8961</v>
          </cell>
          <cell r="C751" t="str">
            <v>少数股东权益_提取盈余公积影响权益</v>
          </cell>
          <cell r="D751">
            <v>-1</v>
          </cell>
          <cell r="E751" t="str">
            <v>※N</v>
          </cell>
          <cell r="G751" t="str">
            <v>提取盈余公积</v>
          </cell>
          <cell r="I751">
            <v>8961</v>
          </cell>
          <cell r="J751" t="str">
            <v>J</v>
          </cell>
        </row>
        <row r="752">
          <cell r="B752">
            <v>8962</v>
          </cell>
          <cell r="C752" t="str">
            <v>少数股东权益_提取一般风险准备影响权益</v>
          </cell>
          <cell r="D752">
            <v>-1</v>
          </cell>
          <cell r="E752" t="str">
            <v>※N</v>
          </cell>
          <cell r="G752" t="str">
            <v>提取一般风险准备</v>
          </cell>
          <cell r="I752">
            <v>8962</v>
          </cell>
          <cell r="J752" t="str">
            <v>J</v>
          </cell>
        </row>
        <row r="753">
          <cell r="B753">
            <v>8971</v>
          </cell>
          <cell r="C753" t="str">
            <v>少数股东权益_资本公积转增资本影响权益</v>
          </cell>
          <cell r="D753">
            <v>-1</v>
          </cell>
          <cell r="E753" t="str">
            <v>※N</v>
          </cell>
          <cell r="G753" t="str">
            <v>资本公积转增资本（或股本）</v>
          </cell>
          <cell r="I753">
            <v>8971</v>
          </cell>
          <cell r="J753" t="str">
            <v>J</v>
          </cell>
        </row>
        <row r="754">
          <cell r="B754">
            <v>8972</v>
          </cell>
          <cell r="C754" t="str">
            <v>少数股东权益_盈余公积转增资本影响权益</v>
          </cell>
          <cell r="D754">
            <v>-1</v>
          </cell>
          <cell r="E754" t="str">
            <v>※N</v>
          </cell>
          <cell r="G754" t="str">
            <v>盈余公积转增资本（或股本）</v>
          </cell>
          <cell r="I754">
            <v>8972</v>
          </cell>
          <cell r="J754" t="str">
            <v>J</v>
          </cell>
        </row>
        <row r="755">
          <cell r="B755">
            <v>8973</v>
          </cell>
          <cell r="C755" t="str">
            <v>少数股东权益_盈余公积弥补亏损影响权益</v>
          </cell>
          <cell r="D755">
            <v>-1</v>
          </cell>
          <cell r="E755" t="str">
            <v>※N</v>
          </cell>
          <cell r="G755" t="str">
            <v>盈余公积弥补亏损</v>
          </cell>
          <cell r="I755">
            <v>8973</v>
          </cell>
          <cell r="J755" t="str">
            <v>J</v>
          </cell>
        </row>
        <row r="756">
          <cell r="B756">
            <v>8140</v>
          </cell>
          <cell r="C756" t="str">
            <v>实收资本_综合收益总额增加权益</v>
          </cell>
          <cell r="D756">
            <v>-1</v>
          </cell>
          <cell r="G756" t="str">
            <v>（一）综合收益总额</v>
          </cell>
          <cell r="I756">
            <v>8140</v>
          </cell>
          <cell r="J756" t="str">
            <v>J</v>
          </cell>
        </row>
        <row r="757">
          <cell r="B757">
            <v>8160</v>
          </cell>
          <cell r="C757" t="str">
            <v>实收资本_利润分配影响权益</v>
          </cell>
          <cell r="E757" t="str">
            <v>＝</v>
          </cell>
          <cell r="G757" t="str">
            <v>（三）利润分配</v>
          </cell>
          <cell r="I757">
            <v>8160</v>
          </cell>
        </row>
        <row r="758">
          <cell r="B758">
            <v>8180</v>
          </cell>
          <cell r="C758" t="str">
            <v>实收资本_专项储备影响权益</v>
          </cell>
          <cell r="E758" t="str">
            <v>＝</v>
          </cell>
          <cell r="G758" t="str">
            <v>（五）专项储备</v>
          </cell>
          <cell r="I758">
            <v>8180</v>
          </cell>
        </row>
        <row r="759">
          <cell r="B759">
            <v>8280</v>
          </cell>
          <cell r="C759" t="str">
            <v>资本公积_专项储备影响权益</v>
          </cell>
          <cell r="E759" t="str">
            <v>＝</v>
          </cell>
          <cell r="G759" t="str">
            <v>（五）专项储备</v>
          </cell>
          <cell r="I759">
            <v>8280</v>
          </cell>
        </row>
        <row r="760">
          <cell r="B760">
            <v>8340</v>
          </cell>
          <cell r="C760" t="str">
            <v>库存股_综合收益总额增加权益</v>
          </cell>
          <cell r="D760">
            <v>1</v>
          </cell>
          <cell r="G760" t="str">
            <v>（一）综合收益总额</v>
          </cell>
          <cell r="I760">
            <v>8340</v>
          </cell>
          <cell r="J760" t="str">
            <v>J</v>
          </cell>
        </row>
        <row r="761">
          <cell r="B761">
            <v>8380</v>
          </cell>
          <cell r="C761" t="str">
            <v>库存股_专项储备影响权益</v>
          </cell>
          <cell r="E761" t="str">
            <v>＝</v>
          </cell>
          <cell r="G761" t="str">
            <v>（五）专项储备</v>
          </cell>
          <cell r="I761">
            <v>8380</v>
          </cell>
        </row>
        <row r="762">
          <cell r="B762">
            <v>8440</v>
          </cell>
          <cell r="C762" t="str">
            <v>专项储备_综合收益总额增加权益</v>
          </cell>
          <cell r="D762">
            <v>-1</v>
          </cell>
          <cell r="G762" t="str">
            <v>（一）综合收益总额</v>
          </cell>
          <cell r="I762">
            <v>8440</v>
          </cell>
          <cell r="J762" t="str">
            <v>J</v>
          </cell>
        </row>
        <row r="763">
          <cell r="B763">
            <v>8450</v>
          </cell>
          <cell r="C763" t="str">
            <v>专项储备_所有者投入和减少资本影响权益</v>
          </cell>
          <cell r="E763" t="str">
            <v>＝</v>
          </cell>
          <cell r="G763" t="str">
            <v>（二）所有者投入和减少资本</v>
          </cell>
          <cell r="I763">
            <v>8450</v>
          </cell>
        </row>
        <row r="764">
          <cell r="B764">
            <v>8460</v>
          </cell>
          <cell r="C764" t="str">
            <v>专项储备_利润分配影响权益</v>
          </cell>
          <cell r="E764" t="str">
            <v>＝</v>
          </cell>
          <cell r="G764" t="str">
            <v>（三）利润分配</v>
          </cell>
          <cell r="I764">
            <v>8460</v>
          </cell>
        </row>
        <row r="765">
          <cell r="B765">
            <v>8540</v>
          </cell>
          <cell r="C765" t="str">
            <v>盈余公积_综合收益总额增加权益</v>
          </cell>
          <cell r="D765">
            <v>-1</v>
          </cell>
          <cell r="G765" t="str">
            <v>（一）综合收益总额</v>
          </cell>
          <cell r="I765">
            <v>8540</v>
          </cell>
          <cell r="J765" t="str">
            <v>J</v>
          </cell>
        </row>
        <row r="766">
          <cell r="B766">
            <v>8580</v>
          </cell>
          <cell r="C766" t="str">
            <v>盈余公积_专项储备影响权益</v>
          </cell>
          <cell r="E766" t="str">
            <v>＝</v>
          </cell>
          <cell r="G766" t="str">
            <v>（五）专项储备</v>
          </cell>
          <cell r="I766">
            <v>8580</v>
          </cell>
        </row>
        <row r="767">
          <cell r="B767">
            <v>8640</v>
          </cell>
          <cell r="C767" t="str">
            <v>一般风险准备_综合收益总额增加权益</v>
          </cell>
          <cell r="D767">
            <v>-1</v>
          </cell>
          <cell r="G767" t="str">
            <v>（一）综合收益总额</v>
          </cell>
          <cell r="I767">
            <v>8640</v>
          </cell>
          <cell r="J767" t="str">
            <v>J</v>
          </cell>
        </row>
        <row r="768">
          <cell r="B768">
            <v>8680</v>
          </cell>
          <cell r="C768" t="str">
            <v>一般风险准备_专项储备影响权益</v>
          </cell>
          <cell r="E768" t="str">
            <v>＝</v>
          </cell>
          <cell r="G768" t="str">
            <v>（五）专项储备</v>
          </cell>
          <cell r="I768">
            <v>8680</v>
          </cell>
        </row>
        <row r="769">
          <cell r="B769" t="str">
            <v>8a00</v>
          </cell>
          <cell r="C769" t="str">
            <v>其他权益工具增减变动</v>
          </cell>
          <cell r="E769" t="str">
            <v>：OEI</v>
          </cell>
          <cell r="G769" t="str">
            <v>其他权益工具增减变动</v>
          </cell>
          <cell r="I769" t="str">
            <v>8a00</v>
          </cell>
        </row>
        <row r="770">
          <cell r="B770" t="str">
            <v>8a01</v>
          </cell>
          <cell r="C770" t="str">
            <v>其他权益工具_上年年末余额</v>
          </cell>
          <cell r="D770">
            <v>-1</v>
          </cell>
          <cell r="E770" t="str">
            <v>OEI</v>
          </cell>
          <cell r="G770" t="str">
            <v>一、上年年末余额</v>
          </cell>
          <cell r="I770" t="str">
            <v>8a01</v>
          </cell>
        </row>
        <row r="771">
          <cell r="B771" t="str">
            <v>8a02</v>
          </cell>
          <cell r="C771" t="str">
            <v>其他权益工具_会计政策变更调整上年年末余额</v>
          </cell>
          <cell r="D771">
            <v>-1</v>
          </cell>
          <cell r="E771" t="str">
            <v>OEI</v>
          </cell>
          <cell r="G771" t="str">
            <v>加：会计政策变更</v>
          </cell>
          <cell r="I771" t="str">
            <v>8a02</v>
          </cell>
        </row>
        <row r="772">
          <cell r="B772" t="str">
            <v>8a03</v>
          </cell>
          <cell r="C772" t="str">
            <v>其他权益工具_前期差错更正调整上年年末余额</v>
          </cell>
          <cell r="D772">
            <v>-1</v>
          </cell>
          <cell r="E772" t="str">
            <v>OEI</v>
          </cell>
          <cell r="G772" t="str">
            <v>前期差错更正</v>
          </cell>
          <cell r="I772" t="str">
            <v>8a03</v>
          </cell>
        </row>
        <row r="773">
          <cell r="B773" t="str">
            <v>8a04</v>
          </cell>
          <cell r="C773" t="str">
            <v>其他权益工具_同一控制下企业合并调整上年年末余额</v>
          </cell>
          <cell r="D773">
            <v>-1</v>
          </cell>
          <cell r="E773" t="str">
            <v>※OEI</v>
          </cell>
          <cell r="G773" t="str">
            <v>同一控制下企业合并</v>
          </cell>
          <cell r="I773" t="str">
            <v>8a04</v>
          </cell>
        </row>
        <row r="774">
          <cell r="B774" t="str">
            <v>8a09</v>
          </cell>
          <cell r="C774" t="str">
            <v>其他权益工具_其他原因调整上年年末余额</v>
          </cell>
          <cell r="D774">
            <v>-1</v>
          </cell>
          <cell r="E774" t="str">
            <v>OEI</v>
          </cell>
          <cell r="G774" t="str">
            <v>其他</v>
          </cell>
          <cell r="I774" t="str">
            <v>8a09</v>
          </cell>
        </row>
        <row r="775">
          <cell r="B775" t="str">
            <v>8a10</v>
          </cell>
          <cell r="C775" t="str">
            <v>其他权益工具_本年年初余额</v>
          </cell>
          <cell r="E775" t="str">
            <v>OEI＝</v>
          </cell>
          <cell r="G775" t="str">
            <v>二、本年年初余额</v>
          </cell>
          <cell r="I775" t="str">
            <v>8a10</v>
          </cell>
        </row>
        <row r="776">
          <cell r="B776" t="str">
            <v>8a90</v>
          </cell>
          <cell r="C776" t="str">
            <v>其他权益工具_本期增减变动金额</v>
          </cell>
          <cell r="E776" t="str">
            <v>OEI＝</v>
          </cell>
          <cell r="G776" t="str">
            <v>三、本期增减变动金额（减少以“-”号填列）</v>
          </cell>
          <cell r="I776" t="str">
            <v>8a90</v>
          </cell>
        </row>
        <row r="777">
          <cell r="B777" t="str">
            <v>8a40</v>
          </cell>
          <cell r="C777" t="str">
            <v>其他权益工具_综合收益总额增加权益</v>
          </cell>
          <cell r="E777" t="str">
            <v>OEI</v>
          </cell>
          <cell r="G777" t="str">
            <v>（一）综合收益总额</v>
          </cell>
          <cell r="I777" t="str">
            <v>8a40</v>
          </cell>
        </row>
        <row r="778">
          <cell r="B778" t="str">
            <v>8a50</v>
          </cell>
          <cell r="C778" t="str">
            <v>其他权益工具_所有者投入和减少资本影响权益</v>
          </cell>
          <cell r="E778" t="str">
            <v>OEI＝</v>
          </cell>
          <cell r="G778" t="str">
            <v>（二）所有者投入和减少资本</v>
          </cell>
          <cell r="I778" t="str">
            <v>8a50</v>
          </cell>
        </row>
        <row r="779">
          <cell r="B779" t="str">
            <v>8a51</v>
          </cell>
          <cell r="C779" t="str">
            <v>其他权益工具_所有者投入资本</v>
          </cell>
          <cell r="D779">
            <v>-1</v>
          </cell>
          <cell r="E779" t="str">
            <v>OEI</v>
          </cell>
          <cell r="G779" t="str">
            <v>所有者投入资本</v>
          </cell>
          <cell r="I779" t="str">
            <v>8a51</v>
          </cell>
        </row>
        <row r="780">
          <cell r="B780" t="str">
            <v>8a52</v>
          </cell>
          <cell r="C780" t="str">
            <v>其他权益工具_股份支付</v>
          </cell>
          <cell r="D780">
            <v>-1</v>
          </cell>
          <cell r="E780" t="str">
            <v>OEI</v>
          </cell>
          <cell r="G780" t="str">
            <v>股份支付计入所有者权益的金额</v>
          </cell>
          <cell r="I780" t="str">
            <v>8a52</v>
          </cell>
        </row>
        <row r="781">
          <cell r="B781" t="str">
            <v>8a53</v>
          </cell>
          <cell r="C781" t="str">
            <v>其他权益工具_其他权益工具持有者投入资本</v>
          </cell>
          <cell r="D781">
            <v>-1</v>
          </cell>
          <cell r="E781" t="str">
            <v>OEI</v>
          </cell>
          <cell r="G781" t="str">
            <v>其他权益工具持有者投入资本</v>
          </cell>
          <cell r="I781" t="str">
            <v>8a53</v>
          </cell>
        </row>
        <row r="782">
          <cell r="B782" t="str">
            <v>8a56</v>
          </cell>
          <cell r="C782" t="str">
            <v>其他权益工具_所有者其他投入和减少资本</v>
          </cell>
          <cell r="D782">
            <v>-1</v>
          </cell>
          <cell r="E782" t="str">
            <v>OEI</v>
          </cell>
          <cell r="G782" t="str">
            <v>其他</v>
          </cell>
          <cell r="I782" t="str">
            <v>8a56</v>
          </cell>
        </row>
        <row r="783">
          <cell r="B783" t="str">
            <v>8a60</v>
          </cell>
          <cell r="C783" t="str">
            <v>其他权益工具_利润分配影响权益</v>
          </cell>
          <cell r="E783" t="str">
            <v>OEI＝</v>
          </cell>
          <cell r="G783" t="str">
            <v>（三）利润分配</v>
          </cell>
          <cell r="I783" t="str">
            <v>8a60</v>
          </cell>
        </row>
        <row r="784">
          <cell r="B784" t="str">
            <v>8a61</v>
          </cell>
          <cell r="C784" t="str">
            <v>其他权益工具_提取盈余公积</v>
          </cell>
          <cell r="D784">
            <v>-1</v>
          </cell>
          <cell r="E784" t="str">
            <v>OEI</v>
          </cell>
          <cell r="G784" t="str">
            <v>提取盈余公积</v>
          </cell>
          <cell r="I784" t="str">
            <v>8a61</v>
          </cell>
        </row>
        <row r="785">
          <cell r="B785" t="str">
            <v>8a62</v>
          </cell>
          <cell r="C785" t="str">
            <v>其他权益工具_提取一般风险准备</v>
          </cell>
          <cell r="D785">
            <v>-1</v>
          </cell>
          <cell r="E785" t="str">
            <v>OEI</v>
          </cell>
          <cell r="G785" t="str">
            <v>提取一般风险准备</v>
          </cell>
          <cell r="I785" t="str">
            <v>8a62</v>
          </cell>
        </row>
        <row r="786">
          <cell r="B786" t="str">
            <v>8a63</v>
          </cell>
          <cell r="C786" t="str">
            <v>其他权益工具_对所有者的分配</v>
          </cell>
          <cell r="D786">
            <v>-1</v>
          </cell>
          <cell r="E786" t="str">
            <v>OEI</v>
          </cell>
          <cell r="G786" t="str">
            <v>对所有者（或股东）的分配</v>
          </cell>
          <cell r="I786" t="str">
            <v>8a63</v>
          </cell>
        </row>
        <row r="787">
          <cell r="B787" t="str">
            <v>8a66</v>
          </cell>
          <cell r="C787" t="str">
            <v>其他权益工具_其他利润分配</v>
          </cell>
          <cell r="D787">
            <v>-1</v>
          </cell>
          <cell r="E787" t="str">
            <v>OEI</v>
          </cell>
          <cell r="G787" t="str">
            <v>其他</v>
          </cell>
          <cell r="I787" t="str">
            <v>8a66</v>
          </cell>
        </row>
        <row r="788">
          <cell r="B788" t="str">
            <v>8a70</v>
          </cell>
          <cell r="C788" t="str">
            <v>其他权益工具_所有者权益内部结转</v>
          </cell>
          <cell r="E788" t="str">
            <v>OEI＝</v>
          </cell>
          <cell r="G788" t="str">
            <v>（四）所有者权益内部结转</v>
          </cell>
          <cell r="I788" t="str">
            <v>8a70</v>
          </cell>
        </row>
        <row r="789">
          <cell r="B789" t="str">
            <v>8a71</v>
          </cell>
          <cell r="C789" t="str">
            <v>其他权益工具_资本公积转增资本</v>
          </cell>
          <cell r="D789">
            <v>-1</v>
          </cell>
          <cell r="E789" t="str">
            <v>OEI</v>
          </cell>
          <cell r="G789" t="str">
            <v>资本公积转增资本（或股本）</v>
          </cell>
          <cell r="I789" t="str">
            <v>8a71</v>
          </cell>
        </row>
        <row r="790">
          <cell r="B790" t="str">
            <v>8a72</v>
          </cell>
          <cell r="C790" t="str">
            <v>其他权益工具_盈余公积转增资本</v>
          </cell>
          <cell r="D790">
            <v>-1</v>
          </cell>
          <cell r="E790" t="str">
            <v>OEI</v>
          </cell>
          <cell r="G790" t="str">
            <v>盈余公积转增资本（或股本）</v>
          </cell>
          <cell r="I790" t="str">
            <v>8a72</v>
          </cell>
        </row>
        <row r="791">
          <cell r="B791" t="str">
            <v>8a73</v>
          </cell>
          <cell r="C791" t="str">
            <v>其他权益工具_盈余公积弥补亏损</v>
          </cell>
          <cell r="D791">
            <v>-1</v>
          </cell>
          <cell r="E791" t="str">
            <v>OEI</v>
          </cell>
          <cell r="G791" t="str">
            <v>盈余公积弥补亏损</v>
          </cell>
          <cell r="I791" t="str">
            <v>8a73</v>
          </cell>
        </row>
        <row r="792">
          <cell r="B792" t="str">
            <v>8a75</v>
          </cell>
          <cell r="C792" t="str">
            <v>其他权益工具_设定受益计划变动额结转留存收益</v>
          </cell>
          <cell r="D792">
            <v>-1</v>
          </cell>
          <cell r="E792" t="str">
            <v>OEI</v>
          </cell>
          <cell r="G792" t="str">
            <v>设定受益计划变动额结转留存收益</v>
          </cell>
          <cell r="I792" t="str">
            <v>8a75</v>
          </cell>
        </row>
        <row r="793">
          <cell r="B793" t="str">
            <v>8a76</v>
          </cell>
          <cell r="C793" t="str">
            <v>其他权益工具_所有者权益其他内部结转</v>
          </cell>
          <cell r="D793">
            <v>-1</v>
          </cell>
          <cell r="E793" t="str">
            <v>OEI</v>
          </cell>
          <cell r="G793" t="str">
            <v>其他</v>
          </cell>
          <cell r="I793" t="str">
            <v>8a76</v>
          </cell>
        </row>
        <row r="794">
          <cell r="B794" t="str">
            <v>8a80</v>
          </cell>
          <cell r="C794" t="str">
            <v>其他权益工具_专项储备影响权益</v>
          </cell>
          <cell r="E794" t="str">
            <v>OEI＝</v>
          </cell>
          <cell r="G794" t="str">
            <v>（五）专项储备</v>
          </cell>
          <cell r="I794" t="str">
            <v>8a80</v>
          </cell>
        </row>
        <row r="795">
          <cell r="B795" t="str">
            <v>8a81</v>
          </cell>
          <cell r="C795" t="str">
            <v>其他权益工具_专项储备本期提取</v>
          </cell>
          <cell r="D795">
            <v>-1</v>
          </cell>
          <cell r="E795" t="str">
            <v>OEI</v>
          </cell>
          <cell r="G795" t="str">
            <v>本期提取</v>
          </cell>
          <cell r="I795" t="str">
            <v>8a81</v>
          </cell>
        </row>
        <row r="796">
          <cell r="B796" t="str">
            <v>8a82</v>
          </cell>
          <cell r="C796" t="str">
            <v>其他权益工具_专项储备本期使用</v>
          </cell>
          <cell r="D796">
            <v>-1</v>
          </cell>
          <cell r="E796" t="str">
            <v>OEI</v>
          </cell>
          <cell r="G796" t="str">
            <v>本期使用</v>
          </cell>
          <cell r="I796" t="str">
            <v>8a82</v>
          </cell>
        </row>
        <row r="797">
          <cell r="B797" t="str">
            <v>8a96</v>
          </cell>
          <cell r="C797" t="str">
            <v>其他权益工具_本期其他增减变动</v>
          </cell>
          <cell r="D797">
            <v>-1</v>
          </cell>
          <cell r="E797" t="str">
            <v>OEI</v>
          </cell>
          <cell r="G797" t="str">
            <v>（七）其他</v>
          </cell>
          <cell r="I797" t="str">
            <v>8a96</v>
          </cell>
        </row>
        <row r="798">
          <cell r="B798" t="str">
            <v>8a99</v>
          </cell>
          <cell r="C798" t="str">
            <v>其他权益工具_本期期末余额</v>
          </cell>
          <cell r="E798" t="str">
            <v>OEI＝</v>
          </cell>
          <cell r="G798" t="str">
            <v>四、本期期末余额</v>
          </cell>
          <cell r="I798" t="str">
            <v>8a99</v>
          </cell>
        </row>
        <row r="799">
          <cell r="B799">
            <v>7400</v>
          </cell>
          <cell r="C799" t="str">
            <v>现金流量调整</v>
          </cell>
          <cell r="D799">
            <v>1</v>
          </cell>
          <cell r="G799" t="str">
            <v>现金流量调整</v>
          </cell>
          <cell r="I799">
            <v>7400</v>
          </cell>
        </row>
        <row r="800">
          <cell r="B800">
            <v>9325</v>
          </cell>
          <cell r="C800" t="str">
            <v>金融工具及风险管理</v>
          </cell>
          <cell r="I800">
            <v>9325</v>
          </cell>
        </row>
        <row r="801">
          <cell r="B801">
            <v>9690</v>
          </cell>
          <cell r="C801" t="str">
            <v>补充资料</v>
          </cell>
          <cell r="I801">
            <v>9690</v>
          </cell>
        </row>
        <row r="802">
          <cell r="B802">
            <v>1521.1523</v>
          </cell>
          <cell r="C802" t="str">
            <v>投资性房地产累计折旧</v>
          </cell>
          <cell r="D802">
            <v>-1</v>
          </cell>
          <cell r="I802">
            <v>1521.1523</v>
          </cell>
          <cell r="J802" t="str">
            <v>J</v>
          </cell>
        </row>
        <row r="803">
          <cell r="B803">
            <v>6829.5110000000004</v>
          </cell>
          <cell r="C803" t="str">
            <v>少数股东其他综合收益_重新计量设定受益计划变动额</v>
          </cell>
          <cell r="D803">
            <v>1</v>
          </cell>
          <cell r="E803" t="str">
            <v>※</v>
          </cell>
          <cell r="I803">
            <v>6829.5110000000004</v>
          </cell>
          <cell r="J803" t="str">
            <v>J</v>
          </cell>
        </row>
        <row r="804">
          <cell r="B804">
            <v>6829.5119999999997</v>
          </cell>
          <cell r="C804" t="str">
            <v>少数股东其他综合收益_权益法下不能转损益的其他综合收益</v>
          </cell>
          <cell r="D804">
            <v>1</v>
          </cell>
          <cell r="E804" t="str">
            <v>※</v>
          </cell>
          <cell r="I804">
            <v>6829.5119999999997</v>
          </cell>
          <cell r="J804" t="str">
            <v>J</v>
          </cell>
        </row>
        <row r="805">
          <cell r="B805">
            <v>6829.5190000000002</v>
          </cell>
          <cell r="C805" t="str">
            <v>少数股东其他综合收益_其他以后不能重分类进损益的其他综合收益</v>
          </cell>
          <cell r="D805">
            <v>1</v>
          </cell>
          <cell r="E805" t="str">
            <v>※</v>
          </cell>
          <cell r="I805">
            <v>6829.5190000000002</v>
          </cell>
          <cell r="J805" t="str">
            <v>J</v>
          </cell>
        </row>
        <row r="806">
          <cell r="B806">
            <v>6829.5309999999999</v>
          </cell>
          <cell r="C806" t="str">
            <v>少数股东其他综合收益_权益法下可转损益的其他综合收益</v>
          </cell>
          <cell r="D806">
            <v>1</v>
          </cell>
          <cell r="E806" t="str">
            <v>※</v>
          </cell>
          <cell r="I806">
            <v>6829.5309999999999</v>
          </cell>
          <cell r="J806" t="str">
            <v>J</v>
          </cell>
        </row>
        <row r="807">
          <cell r="B807">
            <v>6829.5320000000002</v>
          </cell>
          <cell r="C807" t="str">
            <v>少数股东其他综合收益_可供出售金融资产公允价值变动损益</v>
          </cell>
          <cell r="D807">
            <v>1</v>
          </cell>
          <cell r="E807" t="str">
            <v>※</v>
          </cell>
          <cell r="I807">
            <v>6829.5320000000002</v>
          </cell>
          <cell r="J807" t="str">
            <v>J</v>
          </cell>
        </row>
        <row r="808">
          <cell r="B808">
            <v>6829.5330000000004</v>
          </cell>
          <cell r="C808" t="str">
            <v>少数股东其他综合收益_持有至到期投资重分类为可供出售金融资产损益</v>
          </cell>
          <cell r="D808">
            <v>1</v>
          </cell>
          <cell r="E808" t="str">
            <v>※</v>
          </cell>
          <cell r="I808">
            <v>6829.5330000000004</v>
          </cell>
          <cell r="J808" t="str">
            <v>J</v>
          </cell>
        </row>
        <row r="809">
          <cell r="B809">
            <v>6829.5339999999997</v>
          </cell>
          <cell r="C809" t="str">
            <v>少数股东其他综合收益_现金流量套期损益的有效部分</v>
          </cell>
          <cell r="D809">
            <v>1</v>
          </cell>
          <cell r="E809" t="str">
            <v>※</v>
          </cell>
          <cell r="I809">
            <v>6829.5339999999997</v>
          </cell>
          <cell r="J809" t="str">
            <v>J</v>
          </cell>
        </row>
        <row r="810">
          <cell r="B810">
            <v>6829.5349999999999</v>
          </cell>
          <cell r="C810" t="str">
            <v>少数股东其他综合收益_外币财务报表折算差额</v>
          </cell>
          <cell r="D810">
            <v>1</v>
          </cell>
          <cell r="E810" t="str">
            <v>※</v>
          </cell>
          <cell r="I810">
            <v>6829.5349999999999</v>
          </cell>
          <cell r="J810" t="str">
            <v>J</v>
          </cell>
        </row>
        <row r="811">
          <cell r="B811">
            <v>6829.5360000000001</v>
          </cell>
          <cell r="C811" t="str">
            <v>少数股东其他综合收益_自用房地产或作为存货的房地产转换为以公允价值计量的投资性房地产在转换日公允价值大于账面价值部分</v>
          </cell>
          <cell r="D811">
            <v>1</v>
          </cell>
          <cell r="E811" t="str">
            <v>※</v>
          </cell>
          <cell r="I811">
            <v>6829.5360000000001</v>
          </cell>
          <cell r="J811" t="str">
            <v>J</v>
          </cell>
        </row>
        <row r="812">
          <cell r="B812">
            <v>6829.5370000000003</v>
          </cell>
          <cell r="C812" t="str">
            <v>少数股东其他综合收益_多次交易分步处置子公司股权构成一揽子交易的丧失控制权之前各次交易处置价款与对应净资产账面价值份额的差额</v>
          </cell>
          <cell r="D812">
            <v>1</v>
          </cell>
          <cell r="E812" t="str">
            <v>※</v>
          </cell>
          <cell r="I812">
            <v>6829.5370000000003</v>
          </cell>
          <cell r="J812" t="str">
            <v>J</v>
          </cell>
        </row>
        <row r="813">
          <cell r="B813">
            <v>6829.5389999999998</v>
          </cell>
          <cell r="C813" t="str">
            <v>少数股东其他综合收益_其他以后将重分类进损益的其他综合收益</v>
          </cell>
          <cell r="D813">
            <v>1</v>
          </cell>
          <cell r="E813" t="str">
            <v>※</v>
          </cell>
          <cell r="I813">
            <v>6829.5389999999998</v>
          </cell>
          <cell r="J813" t="str">
            <v>J</v>
          </cell>
        </row>
        <row r="814">
          <cell r="B814">
            <v>6181</v>
          </cell>
          <cell r="C814" t="str">
            <v>其他收益</v>
          </cell>
          <cell r="D814">
            <v>-1</v>
          </cell>
          <cell r="F814">
            <v>6480</v>
          </cell>
          <cell r="G814" t="str">
            <v>加：其他收益</v>
          </cell>
          <cell r="H814" t="str">
            <v>加：其他收益</v>
          </cell>
          <cell r="I814">
            <v>6181</v>
          </cell>
          <cell r="J814" t="str">
            <v>J</v>
          </cell>
        </row>
        <row r="815">
          <cell r="B815">
            <v>6810</v>
          </cell>
          <cell r="C815" t="str">
            <v>归属所有者的净利润_X</v>
          </cell>
          <cell r="G815" t="str">
            <v>（一）归属所有者的净利润</v>
          </cell>
          <cell r="H815" t="str">
            <v>（一）归属所有者的净利润</v>
          </cell>
          <cell r="I815">
            <v>6810</v>
          </cell>
        </row>
        <row r="816">
          <cell r="B816">
            <v>6815</v>
          </cell>
          <cell r="C816" t="str">
            <v>来自持续经营和终止经营的净利润_X</v>
          </cell>
          <cell r="G816" t="str">
            <v>（二）来自持续经营和终止经营的净利润</v>
          </cell>
          <cell r="H816" t="str">
            <v>（二）来自持续经营和终止经营的净利润</v>
          </cell>
          <cell r="I816">
            <v>6815</v>
          </cell>
        </row>
        <row r="817">
          <cell r="B817">
            <v>6816</v>
          </cell>
          <cell r="C817" t="str">
            <v>持续经营净利润</v>
          </cell>
          <cell r="D817">
            <v>1</v>
          </cell>
          <cell r="G817" t="str">
            <v>（一）持续经营净利润（净亏损以“-”号填列）</v>
          </cell>
          <cell r="H817" t="str">
            <v>其中：持续经营净利润（净亏损以“-”号填列）</v>
          </cell>
          <cell r="I817">
            <v>6816</v>
          </cell>
        </row>
        <row r="818">
          <cell r="B818">
            <v>6817</v>
          </cell>
          <cell r="C818" t="str">
            <v>终止经营净利润</v>
          </cell>
          <cell r="D818">
            <v>1</v>
          </cell>
          <cell r="G818" t="str">
            <v>（二）终止经营净利润（净亏损以“-”号填列）</v>
          </cell>
          <cell r="H818" t="str">
            <v>终止经营净利润（净亏损以“-”号填列）</v>
          </cell>
          <cell r="I818">
            <v>6817</v>
          </cell>
        </row>
        <row r="819">
          <cell r="B819">
            <v>9371</v>
          </cell>
          <cell r="C819" t="str">
            <v>政府补助</v>
          </cell>
          <cell r="I819">
            <v>9371</v>
          </cell>
        </row>
        <row r="820">
          <cell r="B820">
            <v>6171</v>
          </cell>
          <cell r="C820" t="str">
            <v>资产处置收益</v>
          </cell>
          <cell r="D820">
            <v>-1</v>
          </cell>
          <cell r="F820">
            <v>6440</v>
          </cell>
          <cell r="G820" t="str">
            <v>资产处置收益(损失以“-”号填列）</v>
          </cell>
          <cell r="H820" t="str">
            <v>资产处置收益(损失以“-”号填列）</v>
          </cell>
          <cell r="I820">
            <v>6171</v>
          </cell>
          <cell r="J820" t="str">
            <v>J</v>
          </cell>
        </row>
        <row r="821">
          <cell r="B821">
            <v>6830</v>
          </cell>
          <cell r="C821" t="str">
            <v>净利润按所有权归属分类</v>
          </cell>
          <cell r="E821" t="str">
            <v>※</v>
          </cell>
          <cell r="H821" t="str">
            <v>（二）按所有权归属分类：</v>
          </cell>
          <cell r="I821">
            <v>6830</v>
          </cell>
        </row>
        <row r="822">
          <cell r="B822">
            <v>6835</v>
          </cell>
          <cell r="C822" t="str">
            <v>净利润按经营持续性分类</v>
          </cell>
          <cell r="E822" t="str">
            <v>※</v>
          </cell>
          <cell r="H822" t="str">
            <v>（一）按经营持续性分类：</v>
          </cell>
          <cell r="I822">
            <v>6835</v>
          </cell>
        </row>
        <row r="823">
          <cell r="B823">
            <v>1123</v>
          </cell>
          <cell r="C823" t="str">
            <v>应收票据及应收账款</v>
          </cell>
          <cell r="D823">
            <v>1</v>
          </cell>
          <cell r="G823" t="str">
            <v>应收票据及应收账款</v>
          </cell>
          <cell r="H823" t="str">
            <v>应收票据及应收账款</v>
          </cell>
          <cell r="I823">
            <v>1123</v>
          </cell>
          <cell r="J823" t="str">
            <v>J</v>
          </cell>
        </row>
        <row r="824">
          <cell r="B824">
            <v>2203</v>
          </cell>
          <cell r="C824" t="str">
            <v>应付票据及应付账款</v>
          </cell>
          <cell r="D824">
            <v>-1</v>
          </cell>
          <cell r="G824" t="str">
            <v>应付票据及应付账款</v>
          </cell>
          <cell r="H824" t="str">
            <v>应付票据及应付账款</v>
          </cell>
          <cell r="I824">
            <v>2203</v>
          </cell>
          <cell r="J824" t="str">
            <v>J</v>
          </cell>
        </row>
        <row r="825">
          <cell r="B825" t="str">
            <v>6603_01</v>
          </cell>
          <cell r="C825" t="str">
            <v>财务费用_利息费用</v>
          </cell>
          <cell r="D825">
            <v>1</v>
          </cell>
          <cell r="G825" t="str">
            <v>其中：利息费用</v>
          </cell>
          <cell r="H825" t="str">
            <v>其中：利息费用</v>
          </cell>
          <cell r="I825" t="str">
            <v>6603_01</v>
          </cell>
          <cell r="J825" t="str">
            <v>J</v>
          </cell>
        </row>
        <row r="826">
          <cell r="B826" t="str">
            <v>6603_06</v>
          </cell>
          <cell r="C826" t="str">
            <v>财务费用_利息收入</v>
          </cell>
          <cell r="D826">
            <v>-1</v>
          </cell>
          <cell r="G826" t="str">
            <v xml:space="preserve">      利息收入</v>
          </cell>
          <cell r="H826" t="str">
            <v xml:space="preserve">      利息收入</v>
          </cell>
          <cell r="I826" t="str">
            <v>6603_06</v>
          </cell>
          <cell r="J826" t="str">
            <v>J</v>
          </cell>
        </row>
        <row r="827">
          <cell r="B827">
            <v>6606</v>
          </cell>
          <cell r="C827" t="str">
            <v>研发费用</v>
          </cell>
          <cell r="D827">
            <v>1</v>
          </cell>
          <cell r="F827">
            <v>6370</v>
          </cell>
          <cell r="G827" t="str">
            <v>研发费用</v>
          </cell>
          <cell r="H827" t="str">
            <v>研发费用</v>
          </cell>
          <cell r="I827">
            <v>6606</v>
          </cell>
          <cell r="J827" t="str">
            <v>J</v>
          </cell>
        </row>
        <row r="828">
          <cell r="B828">
            <v>1220</v>
          </cell>
          <cell r="C828" t="str">
            <v>其他应收款（报表项目）</v>
          </cell>
          <cell r="D828">
            <v>1</v>
          </cell>
          <cell r="G828" t="str">
            <v>其他应收款</v>
          </cell>
          <cell r="H828" t="str">
            <v>其他应收款</v>
          </cell>
          <cell r="I828">
            <v>1220</v>
          </cell>
        </row>
        <row r="829">
          <cell r="B829">
            <v>1611</v>
          </cell>
          <cell r="C829" t="str">
            <v>固定资产（报表项目）</v>
          </cell>
          <cell r="D829">
            <v>1</v>
          </cell>
          <cell r="G829" t="str">
            <v>固定资产</v>
          </cell>
          <cell r="H829" t="str">
            <v>固定资产</v>
          </cell>
          <cell r="I829">
            <v>1611</v>
          </cell>
        </row>
        <row r="830">
          <cell r="B830">
            <v>1616</v>
          </cell>
          <cell r="C830" t="str">
            <v>在建工程（报表项目）</v>
          </cell>
          <cell r="D830">
            <v>1</v>
          </cell>
          <cell r="G830" t="str">
            <v>在建工程</v>
          </cell>
          <cell r="H830" t="str">
            <v>在建工程</v>
          </cell>
          <cell r="I830">
            <v>1616</v>
          </cell>
        </row>
        <row r="831">
          <cell r="B831">
            <v>2246</v>
          </cell>
          <cell r="C831" t="str">
            <v>其他应付款（报表项目）</v>
          </cell>
          <cell r="D831">
            <v>-1</v>
          </cell>
          <cell r="G831" t="str">
            <v>其他应付款</v>
          </cell>
          <cell r="H831" t="str">
            <v>其他应付款</v>
          </cell>
          <cell r="I831">
            <v>2246</v>
          </cell>
        </row>
        <row r="832">
          <cell r="B832">
            <v>2706</v>
          </cell>
          <cell r="C832" t="str">
            <v>长期应付款（报表项目）</v>
          </cell>
          <cell r="D832">
            <v>-1</v>
          </cell>
          <cell r="G832" t="str">
            <v>长期应付款</v>
          </cell>
          <cell r="H832" t="str">
            <v>长期应付款</v>
          </cell>
          <cell r="I832">
            <v>2706</v>
          </cell>
        </row>
      </sheetData>
      <sheetData sheetId="1">
        <row r="5">
          <cell r="F5">
            <v>42735</v>
          </cell>
        </row>
        <row r="6">
          <cell r="F6">
            <v>42369</v>
          </cell>
        </row>
        <row r="7">
          <cell r="F7" t="str">
            <v>2016年度</v>
          </cell>
        </row>
        <row r="8">
          <cell r="F8" t="str">
            <v>2015年度</v>
          </cell>
        </row>
      </sheetData>
      <sheetData sheetId="2" refreshError="1"/>
      <sheetData sheetId="3">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G9">
            <v>0</v>
          </cell>
          <cell r="H9">
            <v>2000</v>
          </cell>
          <cell r="I9" t="str">
            <v>流动负债：</v>
          </cell>
          <cell r="L9">
            <v>0</v>
          </cell>
        </row>
        <row r="10">
          <cell r="C10">
            <v>1015</v>
          </cell>
          <cell r="D10" t="str">
            <v>货币资金</v>
          </cell>
          <cell r="E10" t="str">
            <v>陈</v>
          </cell>
          <cell r="F10">
            <v>154212308.21000001</v>
          </cell>
          <cell r="G10">
            <v>51616363.890000001</v>
          </cell>
          <cell r="H10">
            <v>2001</v>
          </cell>
          <cell r="I10" t="str">
            <v>短期借款</v>
          </cell>
          <cell r="J10" t="str">
            <v>陈</v>
          </cell>
          <cell r="K10">
            <v>25361905.199999999</v>
          </cell>
          <cell r="L10">
            <v>60318652.869999997</v>
          </cell>
        </row>
        <row r="11">
          <cell r="C11">
            <v>1021</v>
          </cell>
          <cell r="D11" t="str">
            <v>结算备付金</v>
          </cell>
          <cell r="G11">
            <v>0</v>
          </cell>
          <cell r="H11">
            <v>2004</v>
          </cell>
          <cell r="I11" t="str">
            <v>向中央银行借款</v>
          </cell>
          <cell r="L11">
            <v>0</v>
          </cell>
        </row>
        <row r="12">
          <cell r="C12">
            <v>1302</v>
          </cell>
          <cell r="D12" t="str">
            <v>拆出资金</v>
          </cell>
          <cell r="G12">
            <v>0</v>
          </cell>
          <cell r="H12">
            <v>2010</v>
          </cell>
          <cell r="I12" t="str">
            <v>吸收存款及同业存放</v>
          </cell>
          <cell r="L12">
            <v>0</v>
          </cell>
        </row>
        <row r="13">
          <cell r="D13" t="str">
            <v/>
          </cell>
          <cell r="G13" t="str">
            <v/>
          </cell>
          <cell r="H13">
            <v>2003</v>
          </cell>
          <cell r="I13" t="str">
            <v>拆入资金</v>
          </cell>
          <cell r="L13">
            <v>0</v>
          </cell>
        </row>
        <row r="14">
          <cell r="C14">
            <v>1101</v>
          </cell>
          <cell r="D14" t="str">
            <v>以公允价值计量且其变动计入当期损益的金融资产</v>
          </cell>
          <cell r="G14">
            <v>0</v>
          </cell>
          <cell r="H14">
            <v>2101</v>
          </cell>
          <cell r="I14" t="str">
            <v>以公允价值计量且其变动计入当期损益的金融负债</v>
          </cell>
          <cell r="L14">
            <v>0</v>
          </cell>
        </row>
        <row r="15">
          <cell r="C15">
            <v>1115</v>
          </cell>
          <cell r="D15" t="str">
            <v>衍生金融资产</v>
          </cell>
          <cell r="G15">
            <v>0</v>
          </cell>
          <cell r="H15">
            <v>2115</v>
          </cell>
          <cell r="I15" t="str">
            <v>衍生金融负债</v>
          </cell>
          <cell r="L15">
            <v>0</v>
          </cell>
        </row>
        <row r="16">
          <cell r="C16">
            <v>1123</v>
          </cell>
          <cell r="D16" t="str">
            <v>应收票据及应收账款</v>
          </cell>
          <cell r="F16">
            <v>399623729.88999999</v>
          </cell>
          <cell r="G16">
            <v>154282122.88</v>
          </cell>
          <cell r="H16">
            <v>2203</v>
          </cell>
          <cell r="I16" t="str">
            <v>应付票据及应付账款</v>
          </cell>
          <cell r="K16">
            <v>218924741.46000001</v>
          </cell>
          <cell r="L16">
            <v>51278748.18</v>
          </cell>
        </row>
        <row r="17">
          <cell r="C17">
            <v>1121</v>
          </cell>
          <cell r="D17" t="str">
            <v>其中：应收票据</v>
          </cell>
          <cell r="E17" t="str">
            <v>陈</v>
          </cell>
          <cell r="F17">
            <v>7746391</v>
          </cell>
          <cell r="G17">
            <v>4700800</v>
          </cell>
          <cell r="H17">
            <v>2201</v>
          </cell>
          <cell r="I17" t="str">
            <v>其中：应付票据</v>
          </cell>
          <cell r="J17" t="str">
            <v>陈</v>
          </cell>
          <cell r="K17">
            <v>25277242.879999999</v>
          </cell>
          <cell r="L17">
            <v>0</v>
          </cell>
        </row>
        <row r="18">
          <cell r="C18">
            <v>1122</v>
          </cell>
          <cell r="D18" t="str">
            <v>其中：应收账款</v>
          </cell>
          <cell r="E18" t="str">
            <v>周</v>
          </cell>
          <cell r="F18">
            <v>391877338.88999999</v>
          </cell>
          <cell r="G18">
            <v>149581322.88</v>
          </cell>
          <cell r="H18">
            <v>2202</v>
          </cell>
          <cell r="I18" t="str">
            <v>其中：应付账款</v>
          </cell>
          <cell r="J18" t="str">
            <v>刘</v>
          </cell>
          <cell r="K18">
            <v>193647498.58000001</v>
          </cell>
          <cell r="L18">
            <v>51278748.18</v>
          </cell>
        </row>
        <row r="19">
          <cell r="C19">
            <v>1125</v>
          </cell>
          <cell r="D19" t="str">
            <v>预付款项</v>
          </cell>
          <cell r="E19" t="str">
            <v>刘</v>
          </cell>
          <cell r="F19">
            <v>145749191.74000001</v>
          </cell>
          <cell r="G19">
            <v>25019814.32</v>
          </cell>
          <cell r="H19">
            <v>2205</v>
          </cell>
          <cell r="I19" t="str">
            <v>预收款项</v>
          </cell>
          <cell r="J19" t="str">
            <v>周</v>
          </cell>
          <cell r="K19">
            <v>44236187.990000002</v>
          </cell>
          <cell r="L19">
            <v>129571605.23</v>
          </cell>
        </row>
        <row r="20">
          <cell r="C20">
            <v>1127</v>
          </cell>
          <cell r="D20" t="str">
            <v>应收保费</v>
          </cell>
          <cell r="G20">
            <v>0</v>
          </cell>
          <cell r="H20">
            <v>2111</v>
          </cell>
          <cell r="I20" t="str">
            <v>卖出回购金融资产款</v>
          </cell>
          <cell r="L20">
            <v>0</v>
          </cell>
        </row>
        <row r="21">
          <cell r="C21">
            <v>1211</v>
          </cell>
          <cell r="D21" t="str">
            <v>应收分保账款</v>
          </cell>
          <cell r="G21">
            <v>0</v>
          </cell>
          <cell r="H21">
            <v>2240</v>
          </cell>
          <cell r="I21" t="str">
            <v>应付手续费及佣金</v>
          </cell>
          <cell r="L21">
            <v>0</v>
          </cell>
        </row>
        <row r="22">
          <cell r="C22">
            <v>1212</v>
          </cell>
          <cell r="D22" t="str">
            <v>应收分保准备金</v>
          </cell>
          <cell r="G22">
            <v>0</v>
          </cell>
          <cell r="I22" t="str">
            <v/>
          </cell>
          <cell r="L22" t="str">
            <v/>
          </cell>
        </row>
        <row r="23">
          <cell r="C23">
            <v>1220</v>
          </cell>
          <cell r="D23" t="str">
            <v>其他应收款（报表项目）</v>
          </cell>
          <cell r="F23">
            <v>38404930.939999998</v>
          </cell>
          <cell r="G23">
            <v>14248842.76</v>
          </cell>
          <cell r="H23">
            <v>2211</v>
          </cell>
          <cell r="I23" t="str">
            <v>应付职工薪酬</v>
          </cell>
          <cell r="J23" t="str">
            <v>朱</v>
          </cell>
          <cell r="K23">
            <v>3172045.68</v>
          </cell>
          <cell r="L23">
            <v>5681263.0800000001</v>
          </cell>
        </row>
        <row r="24">
          <cell r="C24">
            <v>1132</v>
          </cell>
          <cell r="D24" t="str">
            <v>其中：应收利息</v>
          </cell>
          <cell r="G24">
            <v>0</v>
          </cell>
          <cell r="H24">
            <v>2221</v>
          </cell>
          <cell r="I24" t="str">
            <v>应交税费</v>
          </cell>
          <cell r="J24" t="str">
            <v>朱</v>
          </cell>
          <cell r="K24">
            <v>24657028.59</v>
          </cell>
          <cell r="L24">
            <v>11668543.33</v>
          </cell>
        </row>
        <row r="25">
          <cell r="C25">
            <v>1131</v>
          </cell>
          <cell r="D25" t="str">
            <v>其中：应收股利</v>
          </cell>
          <cell r="G25">
            <v>0</v>
          </cell>
          <cell r="H25">
            <v>2246</v>
          </cell>
          <cell r="I25" t="str">
            <v>其他应付款（报表项目）</v>
          </cell>
          <cell r="K25">
            <v>2434194.2200000002</v>
          </cell>
          <cell r="L25">
            <v>2813677.46</v>
          </cell>
        </row>
        <row r="26">
          <cell r="C26">
            <v>1221</v>
          </cell>
          <cell r="D26" t="str">
            <v>其中：其他应收款</v>
          </cell>
          <cell r="E26" t="str">
            <v>朱</v>
          </cell>
          <cell r="F26">
            <v>38404930.939999998</v>
          </cell>
          <cell r="G26">
            <v>14248842.76</v>
          </cell>
          <cell r="H26">
            <v>2231</v>
          </cell>
          <cell r="I26" t="str">
            <v>其中：应付利息</v>
          </cell>
          <cell r="L26">
            <v>185804.42</v>
          </cell>
        </row>
        <row r="27">
          <cell r="C27">
            <v>1111</v>
          </cell>
          <cell r="D27" t="str">
            <v>买入返售金融资产</v>
          </cell>
          <cell r="G27">
            <v>0</v>
          </cell>
          <cell r="I27" t="str">
            <v/>
          </cell>
          <cell r="L27" t="str">
            <v/>
          </cell>
        </row>
        <row r="28">
          <cell r="C28">
            <v>1400</v>
          </cell>
          <cell r="D28" t="str">
            <v>存货</v>
          </cell>
          <cell r="E28" t="str">
            <v>刘</v>
          </cell>
          <cell r="F28">
            <v>67413266.879999995</v>
          </cell>
          <cell r="G28">
            <v>163973521.94999999</v>
          </cell>
          <cell r="H28">
            <v>2232</v>
          </cell>
          <cell r="I28" t="str">
            <v>其中：应付股利</v>
          </cell>
          <cell r="L28">
            <v>0</v>
          </cell>
        </row>
        <row r="29">
          <cell r="D29" t="str">
            <v/>
          </cell>
          <cell r="G29" t="str">
            <v/>
          </cell>
          <cell r="H29">
            <v>2241</v>
          </cell>
          <cell r="I29" t="str">
            <v>其中：其他应付款</v>
          </cell>
          <cell r="J29" t="str">
            <v>朱</v>
          </cell>
          <cell r="K29">
            <v>2434194.2200000002</v>
          </cell>
          <cell r="L29">
            <v>2627873.04</v>
          </cell>
        </row>
        <row r="30">
          <cell r="D30" t="str">
            <v/>
          </cell>
          <cell r="G30" t="str">
            <v/>
          </cell>
          <cell r="H30">
            <v>2261</v>
          </cell>
          <cell r="I30" t="str">
            <v>应付分保账款</v>
          </cell>
          <cell r="L30">
            <v>0</v>
          </cell>
        </row>
        <row r="31">
          <cell r="D31" t="str">
            <v/>
          </cell>
          <cell r="G31" t="str">
            <v/>
          </cell>
          <cell r="H31">
            <v>2310</v>
          </cell>
          <cell r="I31" t="str">
            <v>保险合同准备金</v>
          </cell>
          <cell r="L31">
            <v>0</v>
          </cell>
        </row>
        <row r="32">
          <cell r="D32" t="str">
            <v/>
          </cell>
          <cell r="G32" t="str">
            <v/>
          </cell>
          <cell r="H32">
            <v>2311</v>
          </cell>
          <cell r="I32" t="str">
            <v>代理买卖证券款</v>
          </cell>
          <cell r="L32">
            <v>0</v>
          </cell>
        </row>
        <row r="33">
          <cell r="D33" t="str">
            <v/>
          </cell>
          <cell r="G33" t="str">
            <v/>
          </cell>
          <cell r="H33">
            <v>2312</v>
          </cell>
          <cell r="I33" t="str">
            <v>代理承销证券款</v>
          </cell>
          <cell r="L33">
            <v>0</v>
          </cell>
        </row>
        <row r="34">
          <cell r="C34">
            <v>1315</v>
          </cell>
          <cell r="D34" t="str">
            <v>持有待售资产</v>
          </cell>
          <cell r="G34">
            <v>0</v>
          </cell>
          <cell r="H34">
            <v>2315</v>
          </cell>
          <cell r="I34" t="str">
            <v>持有待售负债</v>
          </cell>
          <cell r="L34">
            <v>0</v>
          </cell>
        </row>
        <row r="35">
          <cell r="C35">
            <v>1495</v>
          </cell>
          <cell r="D35" t="str">
            <v>一年内到期的非流动资产</v>
          </cell>
          <cell r="G35">
            <v>0</v>
          </cell>
          <cell r="H35">
            <v>2395</v>
          </cell>
          <cell r="I35" t="str">
            <v>一年内到期的非流动负债</v>
          </cell>
          <cell r="L35">
            <v>0</v>
          </cell>
        </row>
        <row r="36">
          <cell r="C36">
            <v>1496</v>
          </cell>
          <cell r="D36" t="str">
            <v>其他流动资产</v>
          </cell>
          <cell r="G36">
            <v>208386136.91999999</v>
          </cell>
          <cell r="H36">
            <v>2396</v>
          </cell>
          <cell r="I36" t="str">
            <v>其他流动负债</v>
          </cell>
          <cell r="L36">
            <v>0</v>
          </cell>
        </row>
        <row r="37">
          <cell r="C37">
            <v>1498</v>
          </cell>
          <cell r="D37" t="str">
            <v>流动资产合计</v>
          </cell>
          <cell r="F37">
            <v>805403427.65999997</v>
          </cell>
          <cell r="G37">
            <v>617526802.72000003</v>
          </cell>
          <cell r="H37">
            <v>2498</v>
          </cell>
          <cell r="I37" t="str">
            <v>流动负债合计</v>
          </cell>
          <cell r="K37">
            <v>318786103.13999999</v>
          </cell>
          <cell r="L37">
            <v>261332490.15000001</v>
          </cell>
        </row>
        <row r="38">
          <cell r="C38">
            <v>1500</v>
          </cell>
          <cell r="D38" t="str">
            <v>非流动资产：</v>
          </cell>
          <cell r="G38">
            <v>0</v>
          </cell>
          <cell r="H38">
            <v>2500</v>
          </cell>
          <cell r="I38" t="str">
            <v>非流动负债：</v>
          </cell>
          <cell r="L38">
            <v>0</v>
          </cell>
        </row>
        <row r="39">
          <cell r="C39">
            <v>1600</v>
          </cell>
          <cell r="D39" t="str">
            <v>发放贷款及垫款</v>
          </cell>
          <cell r="G39">
            <v>0</v>
          </cell>
          <cell r="I39" t="str">
            <v/>
          </cell>
          <cell r="L39" t="str">
            <v/>
          </cell>
        </row>
        <row r="40">
          <cell r="C40">
            <v>1503</v>
          </cell>
          <cell r="D40" t="str">
            <v>可供出售金融资产</v>
          </cell>
          <cell r="G40">
            <v>0</v>
          </cell>
          <cell r="H40">
            <v>2501</v>
          </cell>
          <cell r="I40" t="str">
            <v>长期借款</v>
          </cell>
          <cell r="J40" t="str">
            <v>陈</v>
          </cell>
          <cell r="K40">
            <v>10000000</v>
          </cell>
          <cell r="L40">
            <v>15000000</v>
          </cell>
        </row>
        <row r="41">
          <cell r="C41">
            <v>1501</v>
          </cell>
          <cell r="D41" t="str">
            <v>持有至到期投资</v>
          </cell>
          <cell r="G41">
            <v>0</v>
          </cell>
          <cell r="I41" t="str">
            <v/>
          </cell>
          <cell r="L41" t="str">
            <v/>
          </cell>
        </row>
        <row r="42">
          <cell r="C42">
            <v>1531</v>
          </cell>
          <cell r="D42" t="str">
            <v>长期应收款</v>
          </cell>
          <cell r="G42">
            <v>0</v>
          </cell>
          <cell r="H42">
            <v>2502</v>
          </cell>
          <cell r="I42" t="str">
            <v>应付债券</v>
          </cell>
          <cell r="J42" t="str">
            <v>陈</v>
          </cell>
          <cell r="K42">
            <v>49500000</v>
          </cell>
          <cell r="L42">
            <v>0</v>
          </cell>
        </row>
        <row r="43">
          <cell r="C43">
            <v>1515</v>
          </cell>
          <cell r="D43" t="str">
            <v>设定受益计划净资产</v>
          </cell>
          <cell r="G43">
            <v>0</v>
          </cell>
          <cell r="H43">
            <v>2502.11</v>
          </cell>
          <cell r="I43" t="str">
            <v>其中：优先股</v>
          </cell>
          <cell r="L43">
            <v>0</v>
          </cell>
        </row>
        <row r="44">
          <cell r="D44" t="str">
            <v/>
          </cell>
          <cell r="G44" t="str">
            <v/>
          </cell>
          <cell r="H44">
            <v>2502.31</v>
          </cell>
          <cell r="I44" t="str">
            <v xml:space="preserve">      永续债</v>
          </cell>
          <cell r="L44">
            <v>0</v>
          </cell>
        </row>
        <row r="45">
          <cell r="C45">
            <v>1511</v>
          </cell>
          <cell r="D45" t="str">
            <v>长期股权投资</v>
          </cell>
          <cell r="E45" t="str">
            <v>刘</v>
          </cell>
          <cell r="F45">
            <v>58850000</v>
          </cell>
          <cell r="G45">
            <v>31000000</v>
          </cell>
          <cell r="H45">
            <v>2706</v>
          </cell>
          <cell r="I45" t="str">
            <v>长期应付款（报表项目）</v>
          </cell>
          <cell r="K45">
            <v>0</v>
          </cell>
          <cell r="L45">
            <v>0</v>
          </cell>
        </row>
        <row r="46">
          <cell r="C46">
            <v>1521</v>
          </cell>
          <cell r="D46" t="str">
            <v>投资性房地产</v>
          </cell>
          <cell r="G46">
            <v>0</v>
          </cell>
          <cell r="H46">
            <v>2701</v>
          </cell>
          <cell r="I46" t="str">
            <v>其中：长期应付款</v>
          </cell>
          <cell r="L46">
            <v>0</v>
          </cell>
        </row>
        <row r="47">
          <cell r="C47">
            <v>1611</v>
          </cell>
          <cell r="D47" t="str">
            <v>固定资产（报表项目）</v>
          </cell>
          <cell r="F47">
            <v>6707654.7800000003</v>
          </cell>
          <cell r="G47">
            <v>7352333.0700000003</v>
          </cell>
          <cell r="H47">
            <v>2711</v>
          </cell>
          <cell r="I47" t="str">
            <v>其中：专项应付款</v>
          </cell>
          <cell r="L47">
            <v>0</v>
          </cell>
        </row>
        <row r="48">
          <cell r="C48">
            <v>1601</v>
          </cell>
          <cell r="D48" t="str">
            <v>其中：固定资产</v>
          </cell>
          <cell r="E48" t="str">
            <v>孙</v>
          </cell>
          <cell r="F48">
            <v>6707654.7800000003</v>
          </cell>
          <cell r="G48">
            <v>7352333.0700000003</v>
          </cell>
          <cell r="H48">
            <v>2715</v>
          </cell>
          <cell r="I48" t="str">
            <v>长期应付职工薪酬</v>
          </cell>
          <cell r="L48">
            <v>0</v>
          </cell>
        </row>
        <row r="49">
          <cell r="C49">
            <v>1606</v>
          </cell>
          <cell r="D49" t="str">
            <v>其中：固定资产清理</v>
          </cell>
          <cell r="G49">
            <v>0</v>
          </cell>
          <cell r="H49">
            <v>2801</v>
          </cell>
          <cell r="I49" t="str">
            <v>预计负债</v>
          </cell>
          <cell r="J49" t="str">
            <v>刘</v>
          </cell>
          <cell r="K49">
            <v>600000</v>
          </cell>
          <cell r="L49">
            <v>4348108.49</v>
          </cell>
        </row>
        <row r="50">
          <cell r="C50">
            <v>1616</v>
          </cell>
          <cell r="D50" t="str">
            <v>在建工程（报表项目）</v>
          </cell>
          <cell r="F50">
            <v>1618337.05</v>
          </cell>
          <cell r="G50">
            <v>0</v>
          </cell>
          <cell r="H50">
            <v>2401</v>
          </cell>
          <cell r="I50" t="str">
            <v>递延收益</v>
          </cell>
          <cell r="L50">
            <v>492500</v>
          </cell>
        </row>
        <row r="51">
          <cell r="C51">
            <v>1604</v>
          </cell>
          <cell r="D51" t="str">
            <v>其中：在建工程</v>
          </cell>
          <cell r="E51" t="str">
            <v>孙</v>
          </cell>
          <cell r="F51">
            <v>1618337.05</v>
          </cell>
          <cell r="G51">
            <v>0</v>
          </cell>
          <cell r="H51">
            <v>2901</v>
          </cell>
          <cell r="I51" t="str">
            <v>递延所得税负债</v>
          </cell>
          <cell r="L51">
            <v>0</v>
          </cell>
        </row>
        <row r="52">
          <cell r="C52">
            <v>1605</v>
          </cell>
          <cell r="D52" t="str">
            <v>其中：工程物资</v>
          </cell>
          <cell r="G52">
            <v>0</v>
          </cell>
          <cell r="H52">
            <v>2996</v>
          </cell>
          <cell r="I52" t="str">
            <v>其他非流动负债</v>
          </cell>
          <cell r="J52" t="str">
            <v>陈</v>
          </cell>
          <cell r="K52">
            <v>195000</v>
          </cell>
          <cell r="L52">
            <v>0</v>
          </cell>
        </row>
        <row r="53">
          <cell r="C53">
            <v>1621</v>
          </cell>
          <cell r="D53" t="str">
            <v>生产性生物资产</v>
          </cell>
          <cell r="G53">
            <v>0</v>
          </cell>
          <cell r="H53">
            <v>2998</v>
          </cell>
          <cell r="I53" t="str">
            <v>非流动负债合计</v>
          </cell>
          <cell r="K53">
            <v>60295000</v>
          </cell>
          <cell r="L53">
            <v>19840608.489999998</v>
          </cell>
        </row>
        <row r="54">
          <cell r="C54">
            <v>1631</v>
          </cell>
          <cell r="D54" t="str">
            <v>油气资产</v>
          </cell>
          <cell r="G54">
            <v>0</v>
          </cell>
          <cell r="H54">
            <v>2999</v>
          </cell>
          <cell r="I54" t="str">
            <v>负债合计</v>
          </cell>
          <cell r="K54">
            <v>379081103.13999999</v>
          </cell>
          <cell r="L54">
            <v>281173098.63999999</v>
          </cell>
        </row>
        <row r="55">
          <cell r="C55">
            <v>1701</v>
          </cell>
          <cell r="D55" t="str">
            <v>无形资产</v>
          </cell>
          <cell r="E55" t="str">
            <v>孙</v>
          </cell>
          <cell r="F55">
            <v>27303240.41</v>
          </cell>
          <cell r="G55">
            <v>1908839.95</v>
          </cell>
          <cell r="H55">
            <v>4000</v>
          </cell>
          <cell r="I55" t="str">
            <v>所有者权益(或股东权益)：</v>
          </cell>
          <cell r="L55">
            <v>0</v>
          </cell>
        </row>
        <row r="56">
          <cell r="C56">
            <v>1700</v>
          </cell>
          <cell r="D56" t="str">
            <v>开发支出</v>
          </cell>
          <cell r="E56" t="str">
            <v>孙</v>
          </cell>
          <cell r="F56">
            <v>6173358.6299999999</v>
          </cell>
          <cell r="G56">
            <v>0</v>
          </cell>
          <cell r="H56">
            <v>4001</v>
          </cell>
          <cell r="I56" t="str">
            <v>实收资本（或股本）</v>
          </cell>
          <cell r="J56" t="str">
            <v>朱</v>
          </cell>
          <cell r="K56">
            <v>360000000</v>
          </cell>
          <cell r="L56">
            <v>360000000</v>
          </cell>
        </row>
        <row r="57">
          <cell r="C57">
            <v>1711</v>
          </cell>
          <cell r="D57" t="str">
            <v>商誉</v>
          </cell>
          <cell r="G57">
            <v>0</v>
          </cell>
          <cell r="H57">
            <v>4015</v>
          </cell>
          <cell r="I57" t="str">
            <v>其他权益工具</v>
          </cell>
          <cell r="L57">
            <v>0</v>
          </cell>
        </row>
        <row r="58">
          <cell r="D58" t="str">
            <v/>
          </cell>
          <cell r="G58" t="str">
            <v/>
          </cell>
          <cell r="H58">
            <v>4015.11</v>
          </cell>
          <cell r="I58" t="str">
            <v>其中：优先股</v>
          </cell>
          <cell r="L58">
            <v>0</v>
          </cell>
        </row>
        <row r="59">
          <cell r="D59" t="str">
            <v/>
          </cell>
          <cell r="G59" t="str">
            <v/>
          </cell>
          <cell r="H59">
            <v>4015.31</v>
          </cell>
          <cell r="I59" t="str">
            <v xml:space="preserve">      永续债</v>
          </cell>
          <cell r="L59">
            <v>0</v>
          </cell>
        </row>
        <row r="60">
          <cell r="D60" t="str">
            <v/>
          </cell>
          <cell r="G60" t="str">
            <v/>
          </cell>
          <cell r="H60">
            <v>4002</v>
          </cell>
          <cell r="I60" t="str">
            <v>资本公积</v>
          </cell>
          <cell r="J60" t="str">
            <v>朱</v>
          </cell>
          <cell r="K60">
            <v>14277074.01</v>
          </cell>
          <cell r="L60">
            <v>14277074.01</v>
          </cell>
        </row>
        <row r="61">
          <cell r="C61">
            <v>1801</v>
          </cell>
          <cell r="D61" t="str">
            <v>长期待摊费用</v>
          </cell>
          <cell r="E61" t="str">
            <v>孙</v>
          </cell>
          <cell r="G61">
            <v>401070.96</v>
          </cell>
          <cell r="H61">
            <v>4201</v>
          </cell>
          <cell r="I61" t="str">
            <v>减：库存股</v>
          </cell>
          <cell r="L61">
            <v>0</v>
          </cell>
        </row>
        <row r="62">
          <cell r="C62">
            <v>1811</v>
          </cell>
          <cell r="D62" t="str">
            <v>递延所得税资产</v>
          </cell>
          <cell r="E62" t="str">
            <v>刘</v>
          </cell>
          <cell r="F62">
            <v>5128578.54</v>
          </cell>
          <cell r="G62">
            <v>5983853.6699999999</v>
          </cell>
          <cell r="H62">
            <v>4215</v>
          </cell>
          <cell r="I62" t="str">
            <v>其他综合收益</v>
          </cell>
          <cell r="L62">
            <v>0</v>
          </cell>
        </row>
        <row r="63">
          <cell r="C63">
            <v>1996</v>
          </cell>
          <cell r="D63" t="str">
            <v>其他非流动资产</v>
          </cell>
          <cell r="G63">
            <v>0</v>
          </cell>
          <cell r="H63">
            <v>4301</v>
          </cell>
          <cell r="I63" t="str">
            <v>专项储备</v>
          </cell>
          <cell r="J63" t="str">
            <v>朱</v>
          </cell>
          <cell r="K63">
            <v>5777491.6900000004</v>
          </cell>
          <cell r="L63">
            <v>4254603.3600000003</v>
          </cell>
        </row>
        <row r="64">
          <cell r="D64" t="str">
            <v/>
          </cell>
          <cell r="G64" t="str">
            <v/>
          </cell>
          <cell r="H64">
            <v>4101</v>
          </cell>
          <cell r="I64" t="str">
            <v>盈余公积</v>
          </cell>
          <cell r="J64" t="str">
            <v>朱</v>
          </cell>
          <cell r="K64">
            <v>10883586.24</v>
          </cell>
          <cell r="L64">
            <v>9112371.2799999993</v>
          </cell>
        </row>
        <row r="65">
          <cell r="D65" t="str">
            <v/>
          </cell>
          <cell r="G65" t="str">
            <v/>
          </cell>
          <cell r="H65">
            <v>4102</v>
          </cell>
          <cell r="I65" t="str">
            <v>一般风险准备</v>
          </cell>
          <cell r="L65">
            <v>0</v>
          </cell>
        </row>
        <row r="66">
          <cell r="H66">
            <v>4200</v>
          </cell>
          <cell r="I66" t="str">
            <v>未分配利润</v>
          </cell>
          <cell r="J66" t="str">
            <v>朱</v>
          </cell>
          <cell r="K66">
            <v>141165341.99000001</v>
          </cell>
          <cell r="L66">
            <v>-2072855.39</v>
          </cell>
        </row>
        <row r="67">
          <cell r="H67">
            <v>4298</v>
          </cell>
          <cell r="I67" t="str">
            <v>归属于母公司所有者权益合计</v>
          </cell>
          <cell r="K67">
            <v>532103493.93000001</v>
          </cell>
          <cell r="L67">
            <v>385571193.25999999</v>
          </cell>
        </row>
        <row r="68">
          <cell r="H68">
            <v>4398</v>
          </cell>
          <cell r="I68" t="str">
            <v>少数股东权益</v>
          </cell>
          <cell r="L68">
            <v>0</v>
          </cell>
        </row>
        <row r="69">
          <cell r="C69">
            <v>1998</v>
          </cell>
          <cell r="D69" t="str">
            <v>非流动资产合计</v>
          </cell>
          <cell r="F69">
            <v>105781169.41</v>
          </cell>
          <cell r="G69">
            <v>46646097.649999999</v>
          </cell>
          <cell r="H69">
            <v>4999</v>
          </cell>
          <cell r="I69" t="str">
            <v>所有者权益（或股东权益）合计</v>
          </cell>
          <cell r="K69">
            <v>532103493.93000001</v>
          </cell>
          <cell r="L69">
            <v>385571193.25999999</v>
          </cell>
        </row>
        <row r="70">
          <cell r="C70">
            <v>1999</v>
          </cell>
          <cell r="D70" t="str">
            <v>资产总计</v>
          </cell>
          <cell r="F70">
            <v>911184597.07000005</v>
          </cell>
          <cell r="G70">
            <v>664172900.37</v>
          </cell>
          <cell r="H70">
            <v>5000</v>
          </cell>
          <cell r="I70" t="str">
            <v>负债和所有者权益（或股东权益）总计</v>
          </cell>
          <cell r="K70">
            <v>911184597.07000005</v>
          </cell>
          <cell r="L70">
            <v>666744291.89999998</v>
          </cell>
        </row>
        <row r="73">
          <cell r="C73" t="str">
            <v>ItemId3</v>
          </cell>
          <cell r="D73" t="str">
            <v>补充资料：资产减值准备</v>
          </cell>
          <cell r="F73" t="str">
            <v>期末余额</v>
          </cell>
          <cell r="G73" t="str">
            <v>年初余额</v>
          </cell>
        </row>
        <row r="74">
          <cell r="C74">
            <v>1122.1231</v>
          </cell>
          <cell r="D74" t="str">
            <v>应收账款坏账准备</v>
          </cell>
        </row>
        <row r="75">
          <cell r="C75">
            <v>1125.1231</v>
          </cell>
          <cell r="D75" t="str">
            <v>预付款项坏账准备</v>
          </cell>
        </row>
        <row r="76">
          <cell r="C76">
            <v>1221.1231</v>
          </cell>
          <cell r="D76" t="str">
            <v>其他应收款坏账准备</v>
          </cell>
        </row>
        <row r="77">
          <cell r="C77">
            <v>1400.1470999999999</v>
          </cell>
          <cell r="D77" t="str">
            <v>存货跌价准备</v>
          </cell>
        </row>
        <row r="78">
          <cell r="C78">
            <v>1503.1504</v>
          </cell>
          <cell r="D78" t="str">
            <v>可供出售金融资产减值准备</v>
          </cell>
        </row>
        <row r="79">
          <cell r="C79">
            <v>1501.1502</v>
          </cell>
          <cell r="D79" t="str">
            <v>持有至到期投资减值准备</v>
          </cell>
        </row>
        <row r="80">
          <cell r="C80">
            <v>1511.1512</v>
          </cell>
          <cell r="D80" t="str">
            <v>长期股权投资减值准备</v>
          </cell>
        </row>
        <row r="81">
          <cell r="C81">
            <v>1521.1522</v>
          </cell>
          <cell r="D81" t="str">
            <v>投资性房地产减值准备</v>
          </cell>
        </row>
        <row r="82">
          <cell r="C82">
            <v>1601.1603</v>
          </cell>
          <cell r="D82" t="str">
            <v>固定资产减值准备</v>
          </cell>
        </row>
        <row r="83">
          <cell r="C83">
            <v>1605.1608000000001</v>
          </cell>
          <cell r="D83" t="str">
            <v>工程物资减值准备</v>
          </cell>
        </row>
        <row r="84">
          <cell r="C84">
            <v>1604.1606999999999</v>
          </cell>
          <cell r="D84" t="str">
            <v>在建工程减值准备</v>
          </cell>
        </row>
        <row r="85">
          <cell r="C85">
            <v>1621.1623999999999</v>
          </cell>
          <cell r="D85" t="str">
            <v>生产性生物资产减值准备</v>
          </cell>
        </row>
        <row r="86">
          <cell r="C86">
            <v>1631.1632999999999</v>
          </cell>
          <cell r="D86" t="str">
            <v>油气资产减值准备</v>
          </cell>
        </row>
        <row r="87">
          <cell r="C87">
            <v>1701.1703</v>
          </cell>
          <cell r="D87" t="str">
            <v>无形资产减值准备</v>
          </cell>
        </row>
        <row r="88">
          <cell r="C88">
            <v>1711.1712</v>
          </cell>
          <cell r="D88" t="str">
            <v>商誉减值准备</v>
          </cell>
        </row>
        <row r="89">
          <cell r="C89">
            <v>1991.1992</v>
          </cell>
          <cell r="D89" t="str">
            <v>其他</v>
          </cell>
        </row>
        <row r="90">
          <cell r="C90">
            <v>1991</v>
          </cell>
          <cell r="D90" t="str">
            <v>资产减值准备小计</v>
          </cell>
          <cell r="F90">
            <v>0</v>
          </cell>
          <cell r="G90">
            <v>0</v>
          </cell>
        </row>
      </sheetData>
      <sheetData sheetId="4">
        <row r="8">
          <cell r="B8" t="str">
            <v>项目编号</v>
          </cell>
          <cell r="C8" t="str">
            <v>项       目</v>
          </cell>
          <cell r="D8" t="str">
            <v>附注</v>
          </cell>
          <cell r="E8" t="str">
            <v>本期金额</v>
          </cell>
          <cell r="F8" t="str">
            <v>上期金额</v>
          </cell>
        </row>
        <row r="9">
          <cell r="B9">
            <v>6098</v>
          </cell>
          <cell r="C9" t="str">
            <v>一、营业总收入</v>
          </cell>
          <cell r="E9">
            <v>312106758.56999999</v>
          </cell>
          <cell r="F9">
            <v>309236046.61000001</v>
          </cell>
        </row>
        <row r="10">
          <cell r="B10">
            <v>6001</v>
          </cell>
          <cell r="C10" t="str">
            <v>一、营业收入</v>
          </cell>
          <cell r="D10" t="str">
            <v>周</v>
          </cell>
          <cell r="E10">
            <v>312106758.56999999</v>
          </cell>
          <cell r="F10">
            <v>309236046.61000001</v>
          </cell>
        </row>
        <row r="11">
          <cell r="B11">
            <v>6011</v>
          </cell>
          <cell r="C11" t="str">
            <v>利息收入</v>
          </cell>
          <cell r="F11">
            <v>0</v>
          </cell>
        </row>
        <row r="12">
          <cell r="B12">
            <v>6030</v>
          </cell>
          <cell r="C12" t="str">
            <v>已赚保费</v>
          </cell>
          <cell r="F12">
            <v>0</v>
          </cell>
        </row>
        <row r="13">
          <cell r="B13">
            <v>6021</v>
          </cell>
          <cell r="C13" t="str">
            <v>手续费及佣金收入</v>
          </cell>
          <cell r="F13">
            <v>0</v>
          </cell>
        </row>
        <row r="14">
          <cell r="B14">
            <v>6598</v>
          </cell>
          <cell r="C14" t="str">
            <v>二、营业总成本</v>
          </cell>
          <cell r="E14">
            <v>269420360.43000001</v>
          </cell>
          <cell r="F14">
            <v>301517552.48000002</v>
          </cell>
        </row>
        <row r="15">
          <cell r="B15">
            <v>6401</v>
          </cell>
          <cell r="C15" t="str">
            <v>减：营业成本</v>
          </cell>
          <cell r="D15" t="str">
            <v>刘</v>
          </cell>
          <cell r="E15">
            <v>172436058.16</v>
          </cell>
          <cell r="F15">
            <v>167401010.49000001</v>
          </cell>
        </row>
        <row r="16">
          <cell r="B16">
            <v>6411</v>
          </cell>
          <cell r="C16" t="str">
            <v>利息支出</v>
          </cell>
          <cell r="F16">
            <v>0</v>
          </cell>
        </row>
        <row r="17">
          <cell r="B17">
            <v>6421</v>
          </cell>
          <cell r="C17" t="str">
            <v>手续费及佣金支出</v>
          </cell>
          <cell r="F17">
            <v>0</v>
          </cell>
        </row>
        <row r="18">
          <cell r="B18">
            <v>6531</v>
          </cell>
          <cell r="C18" t="str">
            <v>退保金</v>
          </cell>
          <cell r="F18">
            <v>0</v>
          </cell>
        </row>
        <row r="19">
          <cell r="B19">
            <v>6510</v>
          </cell>
          <cell r="C19" t="str">
            <v>赔付支出净额</v>
          </cell>
          <cell r="F19">
            <v>0</v>
          </cell>
        </row>
        <row r="20">
          <cell r="B20">
            <v>6505</v>
          </cell>
          <cell r="C20" t="str">
            <v>提取保险合同准备金净额</v>
          </cell>
          <cell r="F20">
            <v>0</v>
          </cell>
        </row>
        <row r="21">
          <cell r="B21">
            <v>6521</v>
          </cell>
          <cell r="C21" t="str">
            <v>保单红利支出</v>
          </cell>
          <cell r="F21">
            <v>0</v>
          </cell>
        </row>
        <row r="22">
          <cell r="B22">
            <v>6542</v>
          </cell>
          <cell r="C22" t="str">
            <v>分保费用</v>
          </cell>
          <cell r="F22">
            <v>0</v>
          </cell>
        </row>
        <row r="23">
          <cell r="B23">
            <v>6600</v>
          </cell>
          <cell r="C23" t="str">
            <v>税金及附加</v>
          </cell>
          <cell r="D23" t="str">
            <v>朱</v>
          </cell>
          <cell r="E23">
            <v>3615089.31</v>
          </cell>
          <cell r="F23">
            <v>3541167.84</v>
          </cell>
        </row>
        <row r="24">
          <cell r="B24">
            <v>6601</v>
          </cell>
          <cell r="C24" t="str">
            <v>销售费用</v>
          </cell>
          <cell r="D24" t="str">
            <v>刘</v>
          </cell>
          <cell r="E24">
            <v>43079048.310000002</v>
          </cell>
          <cell r="F24">
            <v>69722030.870000005</v>
          </cell>
        </row>
        <row r="25">
          <cell r="B25">
            <v>6602</v>
          </cell>
          <cell r="C25" t="str">
            <v>管理费用</v>
          </cell>
          <cell r="D25" t="str">
            <v>朱</v>
          </cell>
          <cell r="E25">
            <v>32256899.16</v>
          </cell>
          <cell r="F25">
            <v>43217242.670000002</v>
          </cell>
        </row>
        <row r="26">
          <cell r="B26">
            <v>6606</v>
          </cell>
          <cell r="C26" t="str">
            <v>研发费用</v>
          </cell>
        </row>
        <row r="27">
          <cell r="B27">
            <v>6603</v>
          </cell>
          <cell r="C27" t="str">
            <v>财务费用</v>
          </cell>
          <cell r="D27" t="str">
            <v>陈</v>
          </cell>
          <cell r="E27">
            <v>2125943.7599999998</v>
          </cell>
          <cell r="F27">
            <v>5514158.1100000003</v>
          </cell>
        </row>
        <row r="28">
          <cell r="B28" t="str">
            <v>6603_01</v>
          </cell>
          <cell r="C28" t="str">
            <v>其中：利息费用</v>
          </cell>
        </row>
        <row r="29">
          <cell r="B29" t="str">
            <v>6603_06</v>
          </cell>
          <cell r="C29" t="str">
            <v xml:space="preserve">      利息收入</v>
          </cell>
        </row>
        <row r="30">
          <cell r="B30">
            <v>6671</v>
          </cell>
          <cell r="C30" t="str">
            <v>资产减值损失</v>
          </cell>
          <cell r="D30" t="str">
            <v>陈</v>
          </cell>
          <cell r="E30">
            <v>15907321.73</v>
          </cell>
          <cell r="F30">
            <v>12121942.5</v>
          </cell>
        </row>
        <row r="31">
          <cell r="B31">
            <v>6181</v>
          </cell>
          <cell r="C31" t="str">
            <v>加：其他收益</v>
          </cell>
          <cell r="F31">
            <v>0</v>
          </cell>
        </row>
        <row r="32">
          <cell r="B32">
            <v>6111</v>
          </cell>
          <cell r="C32" t="str">
            <v>投资收益（损失以“-”号填列）</v>
          </cell>
          <cell r="D32" t="str">
            <v>刘</v>
          </cell>
          <cell r="E32">
            <v>1834919.97</v>
          </cell>
          <cell r="F32">
            <v>470415.54</v>
          </cell>
        </row>
        <row r="33">
          <cell r="B33">
            <v>6111.01</v>
          </cell>
          <cell r="C33" t="str">
            <v>其中：对联营企业和合营企业的投资收益</v>
          </cell>
          <cell r="F33">
            <v>0</v>
          </cell>
        </row>
        <row r="34">
          <cell r="B34">
            <v>6161</v>
          </cell>
          <cell r="C34" t="str">
            <v>汇兑收益（损失以“-”号填列）</v>
          </cell>
          <cell r="F34">
            <v>0</v>
          </cell>
        </row>
        <row r="35">
          <cell r="B35">
            <v>6101</v>
          </cell>
          <cell r="C35" t="str">
            <v>公允价值变动收益（损失以“-”号填列）</v>
          </cell>
          <cell r="F35">
            <v>0</v>
          </cell>
        </row>
        <row r="36">
          <cell r="B36">
            <v>6171</v>
          </cell>
          <cell r="C36" t="str">
            <v>资产处置收益(损失以“-”号填列）</v>
          </cell>
          <cell r="F36">
            <v>0</v>
          </cell>
        </row>
        <row r="37">
          <cell r="B37">
            <v>6689</v>
          </cell>
          <cell r="C37" t="str">
            <v>二、营业利润（亏损以“-”号填列）</v>
          </cell>
          <cell r="E37">
            <v>44521318.109999999</v>
          </cell>
          <cell r="F37">
            <v>8188909.6699999999</v>
          </cell>
        </row>
        <row r="38">
          <cell r="B38">
            <v>6710</v>
          </cell>
          <cell r="C38" t="str">
            <v>加：营业外收入</v>
          </cell>
          <cell r="D38" t="str">
            <v>孙</v>
          </cell>
          <cell r="E38">
            <v>4089789.74</v>
          </cell>
          <cell r="F38">
            <v>2974500.93</v>
          </cell>
        </row>
        <row r="39">
          <cell r="B39">
            <v>6711</v>
          </cell>
          <cell r="C39" t="str">
            <v>减：营业外支出</v>
          </cell>
          <cell r="D39" t="str">
            <v>孙</v>
          </cell>
          <cell r="E39">
            <v>761322.63</v>
          </cell>
          <cell r="F39">
            <v>528656.36</v>
          </cell>
        </row>
        <row r="40">
          <cell r="B40">
            <v>6788</v>
          </cell>
          <cell r="C40" t="str">
            <v>三、利润总额（亏损总额以“-”号填列）</v>
          </cell>
          <cell r="E40">
            <v>47849785.219999999</v>
          </cell>
          <cell r="F40">
            <v>10634754.24</v>
          </cell>
        </row>
        <row r="41">
          <cell r="B41">
            <v>6791</v>
          </cell>
          <cell r="C41" t="str">
            <v>减：所得税费用</v>
          </cell>
          <cell r="D41" t="str">
            <v>刘</v>
          </cell>
          <cell r="E41">
            <v>6349006.1100000003</v>
          </cell>
          <cell r="F41">
            <v>1541509.71</v>
          </cell>
        </row>
        <row r="42">
          <cell r="B42">
            <v>6799</v>
          </cell>
          <cell r="C42" t="str">
            <v>四、净利润（净亏损以“-”号填列）</v>
          </cell>
          <cell r="E42">
            <v>41500779.109999999</v>
          </cell>
          <cell r="F42">
            <v>9093244.5299999993</v>
          </cell>
        </row>
        <row r="43">
          <cell r="B43">
            <v>6835</v>
          </cell>
          <cell r="C43" t="str">
            <v>（一）按经营持续性分类：</v>
          </cell>
          <cell r="D43" t="str">
            <v/>
          </cell>
          <cell r="E43" t="str">
            <v/>
          </cell>
          <cell r="F43">
            <v>0</v>
          </cell>
        </row>
        <row r="44">
          <cell r="B44">
            <v>6816</v>
          </cell>
          <cell r="C44" t="str">
            <v>其中：持续经营净利润（净亏损以“-”号填列）</v>
          </cell>
          <cell r="F44">
            <v>0</v>
          </cell>
        </row>
        <row r="45">
          <cell r="B45">
            <v>6817</v>
          </cell>
          <cell r="C45" t="str">
            <v>终止经营净利润（净亏损以“-”号填列）</v>
          </cell>
          <cell r="F45">
            <v>0</v>
          </cell>
        </row>
        <row r="46">
          <cell r="B46">
            <v>6830</v>
          </cell>
          <cell r="C46" t="str">
            <v>（二）按所有权归属分类：</v>
          </cell>
          <cell r="D46" t="str">
            <v/>
          </cell>
          <cell r="E46" t="str">
            <v/>
          </cell>
          <cell r="F46">
            <v>0</v>
          </cell>
        </row>
        <row r="47">
          <cell r="B47">
            <v>6812</v>
          </cell>
          <cell r="C47" t="str">
            <v>其中：少数股东损益（净亏损以“-”号填列）</v>
          </cell>
          <cell r="F47">
            <v>0</v>
          </cell>
        </row>
        <row r="48">
          <cell r="B48">
            <v>6811</v>
          </cell>
          <cell r="C48" t="str">
            <v>归属于母公司股东的净利润（净亏损以“-”号填列）</v>
          </cell>
          <cell r="E48">
            <v>41500779.109999999</v>
          </cell>
          <cell r="F48">
            <v>9093244.5299999993</v>
          </cell>
        </row>
        <row r="49">
          <cell r="B49">
            <v>6829</v>
          </cell>
          <cell r="C49" t="str">
            <v>五、其他综合收益的税后净额</v>
          </cell>
          <cell r="E49">
            <v>0</v>
          </cell>
          <cell r="F49">
            <v>0</v>
          </cell>
        </row>
        <row r="50">
          <cell r="B50">
            <v>6829.2</v>
          </cell>
          <cell r="C50" t="str">
            <v>归属于母公司股东的其他综合收益的税后净额</v>
          </cell>
          <cell r="E50">
            <v>0</v>
          </cell>
          <cell r="F50">
            <v>0</v>
          </cell>
        </row>
        <row r="51">
          <cell r="B51">
            <v>6829.21</v>
          </cell>
          <cell r="C51" t="str">
            <v>（一）不能重分类进损益的其他综合收益</v>
          </cell>
          <cell r="E51">
            <v>0</v>
          </cell>
          <cell r="F51">
            <v>0</v>
          </cell>
        </row>
        <row r="52">
          <cell r="B52">
            <v>6829.2110000000002</v>
          </cell>
          <cell r="C52" t="str">
            <v>1、重新计量设定受益计划变动额</v>
          </cell>
          <cell r="F52">
            <v>0</v>
          </cell>
        </row>
        <row r="53">
          <cell r="B53">
            <v>6829.2120000000004</v>
          </cell>
          <cell r="C53" t="str">
            <v>2、权益法下不能转损益的其他综合收益</v>
          </cell>
          <cell r="F53">
            <v>0</v>
          </cell>
        </row>
        <row r="54">
          <cell r="B54">
            <v>6829.2190000000001</v>
          </cell>
          <cell r="C54" t="str">
            <v>3、其他</v>
          </cell>
          <cell r="F54">
            <v>0</v>
          </cell>
        </row>
        <row r="55">
          <cell r="B55">
            <v>6829.23</v>
          </cell>
          <cell r="C55" t="str">
            <v>（二）将重分类进损益的其他综合收益</v>
          </cell>
          <cell r="E55">
            <v>0</v>
          </cell>
          <cell r="F55">
            <v>0</v>
          </cell>
        </row>
        <row r="56">
          <cell r="B56">
            <v>6829.2309999999998</v>
          </cell>
          <cell r="C56" t="str">
            <v>1、权益法下可转损益的其他综合收益</v>
          </cell>
          <cell r="F56">
            <v>0</v>
          </cell>
        </row>
        <row r="57">
          <cell r="B57">
            <v>6829.232</v>
          </cell>
          <cell r="C57" t="str">
            <v>2、可供出售金融资产公允价值变动损益</v>
          </cell>
          <cell r="F57">
            <v>0</v>
          </cell>
        </row>
        <row r="58">
          <cell r="B58">
            <v>6829.2330000000002</v>
          </cell>
          <cell r="C58" t="str">
            <v>3、持有至到期投资重分类为可供出售金融资产损益</v>
          </cell>
          <cell r="F58">
            <v>0</v>
          </cell>
        </row>
        <row r="59">
          <cell r="B59">
            <v>6829.2340000000004</v>
          </cell>
          <cell r="C59" t="str">
            <v>4、现金流量套期损益的有效部分</v>
          </cell>
          <cell r="F59">
            <v>0</v>
          </cell>
        </row>
        <row r="60">
          <cell r="B60">
            <v>6829.2349999999997</v>
          </cell>
          <cell r="C60" t="str">
            <v>5、外币财务报表折算差额</v>
          </cell>
          <cell r="F60">
            <v>0</v>
          </cell>
        </row>
        <row r="61">
          <cell r="B61">
            <v>6829.2359999999999</v>
          </cell>
          <cell r="C61" t="str">
            <v>6、自用房地产或作为存货的房地产转换为以公允价值计量的投资性房地产在转换日公允价值大于账面价值部分</v>
          </cell>
          <cell r="F61">
            <v>0</v>
          </cell>
        </row>
        <row r="62">
          <cell r="B62">
            <v>6829.2370000000001</v>
          </cell>
          <cell r="C62" t="str">
            <v>7、多次交易分步处置子公司股权构成一揽子交易的，丧失控制权之前各次交易处置价款与对应净资产账面价值份额的差额</v>
          </cell>
          <cell r="F62">
            <v>0</v>
          </cell>
        </row>
        <row r="63">
          <cell r="B63">
            <v>6829.2389999999996</v>
          </cell>
          <cell r="C63" t="str">
            <v>8、其他</v>
          </cell>
          <cell r="F63">
            <v>0</v>
          </cell>
        </row>
        <row r="64">
          <cell r="B64">
            <v>6829.5</v>
          </cell>
          <cell r="C64" t="str">
            <v>归属于少数股东的其他综合收益的税后净额</v>
          </cell>
          <cell r="F64">
            <v>0</v>
          </cell>
        </row>
        <row r="65">
          <cell r="B65">
            <v>6839</v>
          </cell>
          <cell r="C65" t="str">
            <v>六、综合收益总额</v>
          </cell>
          <cell r="E65">
            <v>41500779.109999999</v>
          </cell>
          <cell r="F65">
            <v>9093244.5299999993</v>
          </cell>
        </row>
        <row r="66">
          <cell r="B66">
            <v>6841</v>
          </cell>
          <cell r="C66" t="str">
            <v>归属于母公司股东的综合收益总额</v>
          </cell>
          <cell r="E66">
            <v>41500779.109999999</v>
          </cell>
          <cell r="F66">
            <v>9093244.5299999993</v>
          </cell>
        </row>
        <row r="67">
          <cell r="B67">
            <v>6842</v>
          </cell>
          <cell r="C67" t="str">
            <v>归属于少数股东的综合收益总额</v>
          </cell>
          <cell r="E67">
            <v>0</v>
          </cell>
          <cell r="F67">
            <v>0</v>
          </cell>
        </row>
        <row r="68">
          <cell r="B68">
            <v>6820</v>
          </cell>
          <cell r="C68" t="str">
            <v>七、每股收益：</v>
          </cell>
          <cell r="F68">
            <v>0</v>
          </cell>
        </row>
        <row r="69">
          <cell r="B69">
            <v>6821</v>
          </cell>
          <cell r="C69" t="str">
            <v>（一）基本每股收益</v>
          </cell>
          <cell r="F69">
            <v>0</v>
          </cell>
        </row>
        <row r="70">
          <cell r="B70">
            <v>6822</v>
          </cell>
          <cell r="C70" t="str">
            <v>（二）稀释每股收益</v>
          </cell>
          <cell r="F70">
            <v>0</v>
          </cell>
        </row>
      </sheetData>
      <sheetData sheetId="5">
        <row r="8">
          <cell r="B8" t="str">
            <v>项目编号</v>
          </cell>
          <cell r="C8" t="str">
            <v>项       目</v>
          </cell>
          <cell r="D8" t="str">
            <v>附注</v>
          </cell>
          <cell r="E8" t="str">
            <v>本期金额</v>
          </cell>
          <cell r="F8" t="str">
            <v>上期金额</v>
          </cell>
        </row>
        <row r="9">
          <cell r="B9">
            <v>7000</v>
          </cell>
          <cell r="C9" t="str">
            <v>一、经营活动产生的现金流量：</v>
          </cell>
          <cell r="F9">
            <v>0</v>
          </cell>
        </row>
        <row r="10">
          <cell r="B10">
            <v>7001</v>
          </cell>
          <cell r="C10" t="str">
            <v>销售商品、提供劳务收到的现金</v>
          </cell>
          <cell r="E10">
            <v>222307975.19999999</v>
          </cell>
          <cell r="F10">
            <v>347512586.63999999</v>
          </cell>
        </row>
        <row r="11">
          <cell r="B11">
            <v>7011</v>
          </cell>
          <cell r="C11" t="str">
            <v>客户存款和同业存放款项净增加额</v>
          </cell>
          <cell r="F11">
            <v>0</v>
          </cell>
        </row>
        <row r="12">
          <cell r="B12">
            <v>7012</v>
          </cell>
          <cell r="C12" t="str">
            <v>向中央银行借款净增加额</v>
          </cell>
          <cell r="F12">
            <v>0</v>
          </cell>
        </row>
        <row r="13">
          <cell r="B13">
            <v>7013</v>
          </cell>
          <cell r="C13" t="str">
            <v>向其他金融机构拆入资金净增加额</v>
          </cell>
          <cell r="F13">
            <v>0</v>
          </cell>
        </row>
        <row r="14">
          <cell r="B14">
            <v>7014</v>
          </cell>
          <cell r="C14" t="str">
            <v>收到原保险合同保费取得的现金</v>
          </cell>
          <cell r="F14">
            <v>0</v>
          </cell>
        </row>
        <row r="15">
          <cell r="B15">
            <v>7015</v>
          </cell>
          <cell r="C15" t="str">
            <v>收到再保险业务现金净额</v>
          </cell>
          <cell r="F15">
            <v>0</v>
          </cell>
        </row>
        <row r="16">
          <cell r="B16">
            <v>7016</v>
          </cell>
          <cell r="C16" t="str">
            <v>保户储金及投资款净增加额</v>
          </cell>
          <cell r="F16">
            <v>0</v>
          </cell>
        </row>
        <row r="17">
          <cell r="B17">
            <v>7021</v>
          </cell>
          <cell r="C17" t="str">
            <v>处置以公允价值计量且其变动计入当期损益的金融资产净增加额</v>
          </cell>
          <cell r="F17">
            <v>0</v>
          </cell>
        </row>
        <row r="18">
          <cell r="B18">
            <v>7023</v>
          </cell>
          <cell r="C18" t="str">
            <v>收取利息、手续费及佣金的现金</v>
          </cell>
          <cell r="F18">
            <v>0</v>
          </cell>
        </row>
        <row r="19">
          <cell r="B19">
            <v>7025</v>
          </cell>
          <cell r="C19" t="str">
            <v>拆入资金净增加额</v>
          </cell>
          <cell r="F19">
            <v>0</v>
          </cell>
        </row>
        <row r="20">
          <cell r="B20">
            <v>7026</v>
          </cell>
          <cell r="C20" t="str">
            <v>回购业务资金净增加额</v>
          </cell>
          <cell r="F20">
            <v>0</v>
          </cell>
        </row>
        <row r="21">
          <cell r="B21">
            <v>7031</v>
          </cell>
          <cell r="C21" t="str">
            <v>收到的税费返还</v>
          </cell>
          <cell r="E21">
            <v>0</v>
          </cell>
          <cell r="F21">
            <v>0</v>
          </cell>
        </row>
        <row r="22">
          <cell r="B22">
            <v>7046</v>
          </cell>
          <cell r="C22" t="str">
            <v>收到其他与经营活动有关的现金</v>
          </cell>
          <cell r="E22">
            <v>10775019.449999999</v>
          </cell>
          <cell r="F22">
            <v>1904506.11</v>
          </cell>
        </row>
        <row r="23">
          <cell r="B23">
            <v>7048</v>
          </cell>
          <cell r="C23" t="str">
            <v>经营活动现金流入小计</v>
          </cell>
          <cell r="E23">
            <v>233082994.65000001</v>
          </cell>
          <cell r="F23">
            <v>349417092.75</v>
          </cell>
        </row>
        <row r="24">
          <cell r="B24">
            <v>7051</v>
          </cell>
          <cell r="C24" t="str">
            <v>购买商品、接受劳务支付的现金</v>
          </cell>
          <cell r="E24">
            <v>127554413.06999999</v>
          </cell>
          <cell r="F24">
            <v>194503585.34</v>
          </cell>
        </row>
        <row r="25">
          <cell r="B25">
            <v>7053</v>
          </cell>
          <cell r="C25" t="str">
            <v>客户贷款及垫款净增加额</v>
          </cell>
          <cell r="F25">
            <v>0</v>
          </cell>
        </row>
        <row r="26">
          <cell r="B26">
            <v>7054</v>
          </cell>
          <cell r="C26" t="str">
            <v>存放中央银行和同业款项净增加额</v>
          </cell>
          <cell r="F26">
            <v>0</v>
          </cell>
        </row>
        <row r="27">
          <cell r="B27">
            <v>7055</v>
          </cell>
          <cell r="C27" t="str">
            <v>支付原保险合同赔付款项的现金</v>
          </cell>
          <cell r="F27">
            <v>0</v>
          </cell>
        </row>
        <row r="28">
          <cell r="B28">
            <v>7056</v>
          </cell>
          <cell r="C28" t="str">
            <v>支付利息、手续费及佣金的现金</v>
          </cell>
          <cell r="F28">
            <v>0</v>
          </cell>
        </row>
        <row r="29">
          <cell r="B29">
            <v>7057</v>
          </cell>
          <cell r="C29" t="str">
            <v>支付保单红利的现金</v>
          </cell>
          <cell r="F29">
            <v>0</v>
          </cell>
        </row>
        <row r="30">
          <cell r="B30">
            <v>7061</v>
          </cell>
          <cell r="C30" t="str">
            <v>支付给职工以及为职工支付的现金</v>
          </cell>
          <cell r="E30">
            <v>47258084.799999997</v>
          </cell>
          <cell r="F30">
            <v>42955440.460000001</v>
          </cell>
        </row>
        <row r="31">
          <cell r="B31">
            <v>7071</v>
          </cell>
          <cell r="C31" t="str">
            <v>支付的各项税费</v>
          </cell>
          <cell r="E31">
            <v>44375175.539999999</v>
          </cell>
          <cell r="F31">
            <v>30618329.710000001</v>
          </cell>
        </row>
        <row r="32">
          <cell r="B32">
            <v>7096</v>
          </cell>
          <cell r="C32" t="str">
            <v>支付其他与经营活动有关的现金</v>
          </cell>
          <cell r="E32">
            <v>74585798.819999993</v>
          </cell>
          <cell r="F32">
            <v>73267495.150000006</v>
          </cell>
        </row>
        <row r="33">
          <cell r="B33">
            <v>7098</v>
          </cell>
          <cell r="C33" t="str">
            <v>经营活动现金流出小计</v>
          </cell>
          <cell r="E33">
            <v>293773472.23000002</v>
          </cell>
          <cell r="F33">
            <v>341344850.66000003</v>
          </cell>
        </row>
        <row r="34">
          <cell r="B34">
            <v>7099</v>
          </cell>
          <cell r="C34" t="str">
            <v>经营活动产生的现金流量净额</v>
          </cell>
          <cell r="E34">
            <v>-60690477.579999998</v>
          </cell>
          <cell r="F34">
            <v>8072242.0899999999</v>
          </cell>
        </row>
        <row r="35">
          <cell r="B35">
            <v>7100</v>
          </cell>
          <cell r="C35" t="str">
            <v>二、投资活动产生的现金流量：</v>
          </cell>
          <cell r="F35">
            <v>0</v>
          </cell>
        </row>
        <row r="36">
          <cell r="B36">
            <v>7101</v>
          </cell>
          <cell r="C36" t="str">
            <v>收回投资收到的现金</v>
          </cell>
          <cell r="E36">
            <v>118000000</v>
          </cell>
          <cell r="F36">
            <v>0</v>
          </cell>
        </row>
        <row r="37">
          <cell r="B37">
            <v>7105</v>
          </cell>
          <cell r="C37" t="str">
            <v>取得投资收益收到的现金</v>
          </cell>
          <cell r="E37">
            <v>2979673.64</v>
          </cell>
          <cell r="F37">
            <v>470415.54</v>
          </cell>
        </row>
        <row r="38">
          <cell r="B38">
            <v>7111</v>
          </cell>
          <cell r="C38" t="str">
            <v>处置固定资产、无形资产和其他长期资产收回的现金净额</v>
          </cell>
          <cell r="E38">
            <v>0</v>
          </cell>
          <cell r="F38">
            <v>0</v>
          </cell>
        </row>
        <row r="39">
          <cell r="B39">
            <v>7121</v>
          </cell>
          <cell r="C39" t="str">
            <v>处置子公司及其他营业单位收到的现金净额</v>
          </cell>
          <cell r="E39">
            <v>0</v>
          </cell>
          <cell r="F39">
            <v>0</v>
          </cell>
        </row>
        <row r="40">
          <cell r="B40">
            <v>7146</v>
          </cell>
          <cell r="C40" t="str">
            <v>收到其他与投资活动有关的现金</v>
          </cell>
          <cell r="E40">
            <v>0</v>
          </cell>
          <cell r="F40">
            <v>0</v>
          </cell>
        </row>
        <row r="41">
          <cell r="B41">
            <v>7148</v>
          </cell>
          <cell r="C41" t="str">
            <v>投资活动现金流入小计</v>
          </cell>
          <cell r="E41">
            <v>120979673.64</v>
          </cell>
          <cell r="F41">
            <v>470415.54</v>
          </cell>
        </row>
        <row r="42">
          <cell r="B42">
            <v>7151</v>
          </cell>
          <cell r="C42" t="str">
            <v>购置固定资产、无形资产和其他长期资产支付的现金</v>
          </cell>
          <cell r="E42">
            <v>13781046.33</v>
          </cell>
          <cell r="F42">
            <v>2066328.27</v>
          </cell>
        </row>
        <row r="43">
          <cell r="B43">
            <v>7161</v>
          </cell>
          <cell r="C43" t="str">
            <v>投资支付的现金</v>
          </cell>
          <cell r="E43">
            <v>27850000</v>
          </cell>
          <cell r="F43">
            <v>196068021.66999999</v>
          </cell>
        </row>
        <row r="44">
          <cell r="B44">
            <v>7165</v>
          </cell>
          <cell r="C44" t="str">
            <v>质押贷款净增加额</v>
          </cell>
          <cell r="F44">
            <v>0</v>
          </cell>
        </row>
        <row r="45">
          <cell r="B45">
            <v>7171</v>
          </cell>
          <cell r="C45" t="str">
            <v>取得子公司及其他营业单位支付的现金净额</v>
          </cell>
          <cell r="E45">
            <v>0</v>
          </cell>
          <cell r="F45">
            <v>0</v>
          </cell>
        </row>
        <row r="46">
          <cell r="B46">
            <v>7196</v>
          </cell>
          <cell r="C46" t="str">
            <v>支付其他与投资活动有关的现金</v>
          </cell>
          <cell r="E46">
            <v>0</v>
          </cell>
          <cell r="F46">
            <v>0</v>
          </cell>
        </row>
        <row r="47">
          <cell r="B47">
            <v>7198</v>
          </cell>
          <cell r="C47" t="str">
            <v>投资活动现金流出小计</v>
          </cell>
          <cell r="E47">
            <v>41631046.329999998</v>
          </cell>
          <cell r="F47">
            <v>198134349.94</v>
          </cell>
        </row>
        <row r="48">
          <cell r="B48">
            <v>7199</v>
          </cell>
          <cell r="C48" t="str">
            <v>投资活动产生的现金流量净额</v>
          </cell>
          <cell r="E48">
            <v>79348627.310000002</v>
          </cell>
          <cell r="F48">
            <v>-197663934.40000001</v>
          </cell>
        </row>
        <row r="49">
          <cell r="B49">
            <v>7200</v>
          </cell>
          <cell r="C49" t="str">
            <v>三、筹资活动产生的现金流量：</v>
          </cell>
          <cell r="F49">
            <v>0</v>
          </cell>
        </row>
        <row r="50">
          <cell r="B50">
            <v>7201</v>
          </cell>
          <cell r="C50" t="str">
            <v>吸收投资收到的现金</v>
          </cell>
          <cell r="E50">
            <v>0</v>
          </cell>
          <cell r="F50">
            <v>185000000</v>
          </cell>
        </row>
        <row r="51">
          <cell r="B51">
            <v>7201.01</v>
          </cell>
          <cell r="C51" t="str">
            <v>其中：子公司吸收少数股东权益性投资收到的现金</v>
          </cell>
          <cell r="F51">
            <v>0</v>
          </cell>
        </row>
        <row r="52">
          <cell r="B52">
            <v>7211</v>
          </cell>
          <cell r="C52" t="str">
            <v>取得借款收到的现金</v>
          </cell>
          <cell r="E52">
            <v>20577607.440000001</v>
          </cell>
          <cell r="F52">
            <v>93410939.870000005</v>
          </cell>
        </row>
        <row r="53">
          <cell r="B53">
            <v>7221</v>
          </cell>
          <cell r="C53" t="str">
            <v>发行债券收到的现金</v>
          </cell>
          <cell r="E53">
            <v>49500000</v>
          </cell>
          <cell r="F53">
            <v>0</v>
          </cell>
        </row>
        <row r="54">
          <cell r="B54">
            <v>7246</v>
          </cell>
          <cell r="C54" t="str">
            <v>收到其他与筹资活动有关的现金</v>
          </cell>
          <cell r="E54">
            <v>14794880.91</v>
          </cell>
          <cell r="F54">
            <v>0</v>
          </cell>
        </row>
        <row r="55">
          <cell r="B55">
            <v>7248</v>
          </cell>
          <cell r="C55" t="str">
            <v>筹资活动现金流入小计</v>
          </cell>
          <cell r="E55">
            <v>84872488.349999994</v>
          </cell>
          <cell r="F55">
            <v>278410939.87</v>
          </cell>
        </row>
        <row r="56">
          <cell r="B56">
            <v>7251</v>
          </cell>
          <cell r="C56" t="str">
            <v>偿还债务支付的现金</v>
          </cell>
          <cell r="E56">
            <v>66534355.109999999</v>
          </cell>
          <cell r="F56">
            <v>79455525.420000002</v>
          </cell>
        </row>
        <row r="57">
          <cell r="B57">
            <v>7261</v>
          </cell>
          <cell r="C57" t="str">
            <v>分配股利、利润或偿付利息支付的现金</v>
          </cell>
          <cell r="E57">
            <v>4126540.79</v>
          </cell>
          <cell r="F57">
            <v>4764936.9400000004</v>
          </cell>
        </row>
        <row r="58">
          <cell r="B58">
            <v>7261.01</v>
          </cell>
          <cell r="C58" t="str">
            <v>其中：子公司支付少数股东的现金股利</v>
          </cell>
          <cell r="F58">
            <v>0</v>
          </cell>
        </row>
        <row r="59">
          <cell r="B59">
            <v>7296</v>
          </cell>
          <cell r="C59" t="str">
            <v>支付其他与筹资活动有关的现金</v>
          </cell>
          <cell r="E59">
            <v>1500570</v>
          </cell>
          <cell r="F59">
            <v>8786093.9000000004</v>
          </cell>
        </row>
        <row r="60">
          <cell r="B60">
            <v>7296.11</v>
          </cell>
          <cell r="C60" t="str">
            <v>其中：子公司减资支付给少数股东的现金</v>
          </cell>
          <cell r="F60">
            <v>0</v>
          </cell>
        </row>
        <row r="61">
          <cell r="B61">
            <v>7298</v>
          </cell>
          <cell r="C61" t="str">
            <v>筹资活动现金流出小计</v>
          </cell>
          <cell r="E61">
            <v>72161465.900000006</v>
          </cell>
          <cell r="F61">
            <v>93006556.260000005</v>
          </cell>
        </row>
        <row r="62">
          <cell r="B62">
            <v>7299</v>
          </cell>
          <cell r="C62" t="str">
            <v>筹资活动产生的现金流量净额</v>
          </cell>
          <cell r="E62">
            <v>12711022.449999999</v>
          </cell>
          <cell r="F62">
            <v>185404383.61000001</v>
          </cell>
        </row>
        <row r="63">
          <cell r="B63">
            <v>7309</v>
          </cell>
          <cell r="C63" t="str">
            <v>四、汇率变动对现金及现金等价物的影响</v>
          </cell>
          <cell r="F63">
            <v>0</v>
          </cell>
        </row>
        <row r="64">
          <cell r="B64">
            <v>7348</v>
          </cell>
          <cell r="C64" t="str">
            <v>五、现金及现金等价物净增加额</v>
          </cell>
          <cell r="E64">
            <v>31369172.18</v>
          </cell>
          <cell r="F64">
            <v>-4187308.7</v>
          </cell>
        </row>
        <row r="65">
          <cell r="B65">
            <v>7349</v>
          </cell>
          <cell r="C65" t="str">
            <v>加：期初现金及现金等价物余额</v>
          </cell>
          <cell r="E65">
            <v>29594774.440000001</v>
          </cell>
          <cell r="F65">
            <v>33782083.140000001</v>
          </cell>
        </row>
        <row r="66">
          <cell r="B66">
            <v>7399</v>
          </cell>
          <cell r="C66" t="str">
            <v>六、期末现金及现金等价物余额</v>
          </cell>
          <cell r="E66">
            <v>60963946.619999997</v>
          </cell>
          <cell r="F66">
            <v>29594774.440000001</v>
          </cell>
        </row>
        <row r="70">
          <cell r="C70" t="str">
            <v>补充资料</v>
          </cell>
          <cell r="E70" t="str">
            <v>本年金额</v>
          </cell>
          <cell r="F70" t="str">
            <v>上年金额</v>
          </cell>
        </row>
        <row r="71">
          <cell r="B71">
            <v>7501</v>
          </cell>
          <cell r="C71" t="str">
            <v>1.将净利润调节为经营活动现金流量：</v>
          </cell>
          <cell r="F71">
            <v>0</v>
          </cell>
        </row>
        <row r="72">
          <cell r="B72">
            <v>7502</v>
          </cell>
          <cell r="C72" t="str">
            <v>净利润</v>
          </cell>
          <cell r="E72">
            <v>41500779.109999999</v>
          </cell>
          <cell r="F72">
            <v>9093244.5299999993</v>
          </cell>
        </row>
        <row r="73">
          <cell r="B73">
            <v>7503</v>
          </cell>
          <cell r="C73" t="str">
            <v>加：资产减值准备</v>
          </cell>
          <cell r="E73">
            <v>15187956.779999999</v>
          </cell>
          <cell r="F73">
            <v>12121942.5</v>
          </cell>
        </row>
        <row r="74">
          <cell r="B74">
            <v>7505</v>
          </cell>
          <cell r="C74" t="str">
            <v>固定资产折旧、油气资产折耗、生产性生物资产折旧</v>
          </cell>
          <cell r="E74">
            <v>1568483.84</v>
          </cell>
          <cell r="F74">
            <v>1698226.02</v>
          </cell>
        </row>
        <row r="75">
          <cell r="B75">
            <v>7506</v>
          </cell>
          <cell r="C75" t="str">
            <v>无形资产摊销</v>
          </cell>
          <cell r="E75">
            <v>592222.91</v>
          </cell>
          <cell r="F75">
            <v>515647.04</v>
          </cell>
        </row>
        <row r="76">
          <cell r="B76">
            <v>7507</v>
          </cell>
          <cell r="C76" t="str">
            <v>长期待摊费用摊销</v>
          </cell>
          <cell r="F76">
            <v>325923.24</v>
          </cell>
        </row>
        <row r="77">
          <cell r="B77">
            <v>7508</v>
          </cell>
          <cell r="C77" t="str">
            <v>处置固定资产、无形资产和其他长期资产的损失（收益以“－”号填列）</v>
          </cell>
          <cell r="F77">
            <v>0</v>
          </cell>
        </row>
        <row r="78">
          <cell r="B78">
            <v>7509</v>
          </cell>
          <cell r="C78" t="str">
            <v>固定资产报废损失（收益以“－”号填列）</v>
          </cell>
          <cell r="E78">
            <v>1227.5</v>
          </cell>
          <cell r="F78">
            <v>36031.22</v>
          </cell>
        </row>
        <row r="79">
          <cell r="B79">
            <v>7510</v>
          </cell>
          <cell r="C79" t="str">
            <v>公允价值变动损失（收益以“－”号填列）</v>
          </cell>
          <cell r="F79">
            <v>0</v>
          </cell>
        </row>
        <row r="80">
          <cell r="B80">
            <v>7511</v>
          </cell>
          <cell r="C80" t="str">
            <v>财务费用（收益以“－”号填列）</v>
          </cell>
          <cell r="E80">
            <v>5224403.83</v>
          </cell>
          <cell r="F80">
            <v>5691522.3899999997</v>
          </cell>
        </row>
        <row r="81">
          <cell r="B81">
            <v>7512</v>
          </cell>
          <cell r="C81" t="str">
            <v>投资损失（收益以“－”号填列）</v>
          </cell>
          <cell r="E81">
            <v>-34979673.640000001</v>
          </cell>
          <cell r="F81">
            <v>-470415.54</v>
          </cell>
        </row>
        <row r="82">
          <cell r="B82">
            <v>7515</v>
          </cell>
          <cell r="C82" t="str">
            <v>递延所得税资产减少（增加以“－”号填列）</v>
          </cell>
          <cell r="E82">
            <v>-3575551.7</v>
          </cell>
          <cell r="F82">
            <v>-4287182.84</v>
          </cell>
        </row>
        <row r="83">
          <cell r="B83">
            <v>7516</v>
          </cell>
          <cell r="C83" t="str">
            <v>递延所得税负债增加（减少以“－”号填列）</v>
          </cell>
          <cell r="E83">
            <v>0</v>
          </cell>
          <cell r="F83">
            <v>0</v>
          </cell>
        </row>
        <row r="84">
          <cell r="B84">
            <v>7517</v>
          </cell>
          <cell r="C84" t="str">
            <v>存货的减少（增加以“－”号填列）</v>
          </cell>
          <cell r="E84">
            <v>25577837.530000001</v>
          </cell>
          <cell r="F84">
            <v>12766411.48</v>
          </cell>
        </row>
        <row r="85">
          <cell r="B85">
            <v>7518</v>
          </cell>
          <cell r="C85" t="str">
            <v>经营性应收项目的减少（增加以“－”号填列）</v>
          </cell>
          <cell r="E85">
            <v>-156456435.69</v>
          </cell>
          <cell r="F85">
            <v>-20097506.809999999</v>
          </cell>
        </row>
        <row r="86">
          <cell r="B86">
            <v>7519</v>
          </cell>
          <cell r="C86" t="str">
            <v>经营性应付项目的增加（减少以“－”号填列）</v>
          </cell>
          <cell r="E86">
            <v>38251703.140000001</v>
          </cell>
          <cell r="F86">
            <v>-16036674.41</v>
          </cell>
        </row>
        <row r="87">
          <cell r="B87">
            <v>7523</v>
          </cell>
          <cell r="C87" t="str">
            <v>其他</v>
          </cell>
          <cell r="E87">
            <v>1296472.0900000001</v>
          </cell>
          <cell r="F87">
            <v>6715073.2699999996</v>
          </cell>
        </row>
        <row r="88">
          <cell r="B88">
            <v>7525</v>
          </cell>
          <cell r="C88" t="str">
            <v>经营活动产生的现金流量净额</v>
          </cell>
          <cell r="E88">
            <v>-65810574.299999997</v>
          </cell>
          <cell r="F88">
            <v>8072242.0899999999</v>
          </cell>
        </row>
        <row r="89">
          <cell r="B89">
            <v>7526</v>
          </cell>
          <cell r="C89" t="str">
            <v>2.不涉及现金收支的重大投资和筹资活动：</v>
          </cell>
          <cell r="F89">
            <v>0</v>
          </cell>
        </row>
        <row r="90">
          <cell r="B90">
            <v>7527</v>
          </cell>
          <cell r="C90" t="str">
            <v>债务转为资本</v>
          </cell>
          <cell r="F90">
            <v>0</v>
          </cell>
        </row>
        <row r="91">
          <cell r="B91">
            <v>7528</v>
          </cell>
          <cell r="C91" t="str">
            <v>一年内到期的可转换公司债券</v>
          </cell>
          <cell r="F91">
            <v>0</v>
          </cell>
        </row>
        <row r="92">
          <cell r="B92">
            <v>7529</v>
          </cell>
          <cell r="C92" t="str">
            <v>融资租入固定资产</v>
          </cell>
          <cell r="F92">
            <v>0</v>
          </cell>
        </row>
        <row r="93">
          <cell r="B93">
            <v>7533</v>
          </cell>
          <cell r="C93" t="str">
            <v>3.现金及现金等价物净变动情况：</v>
          </cell>
          <cell r="F93">
            <v>0</v>
          </cell>
        </row>
        <row r="94">
          <cell r="B94">
            <v>7535</v>
          </cell>
          <cell r="C94" t="str">
            <v>现金的期末余额</v>
          </cell>
          <cell r="E94">
            <v>60963946.619999997</v>
          </cell>
          <cell r="F94">
            <v>29594774.440000001</v>
          </cell>
        </row>
        <row r="95">
          <cell r="B95">
            <v>7536</v>
          </cell>
          <cell r="C95" t="str">
            <v>减：现金的年初余额</v>
          </cell>
          <cell r="E95">
            <v>29594774.440000001</v>
          </cell>
          <cell r="F95">
            <v>33782083.140000001</v>
          </cell>
        </row>
        <row r="96">
          <cell r="B96">
            <v>7537</v>
          </cell>
          <cell r="C96" t="str">
            <v>加：现金等价物的期末余额</v>
          </cell>
          <cell r="F96">
            <v>0</v>
          </cell>
        </row>
        <row r="97">
          <cell r="B97">
            <v>7538</v>
          </cell>
          <cell r="C97" t="str">
            <v>减：现金等价物的年初余额</v>
          </cell>
          <cell r="F97">
            <v>0</v>
          </cell>
        </row>
        <row r="98">
          <cell r="B98">
            <v>7539</v>
          </cell>
          <cell r="C98" t="str">
            <v>现金及现金等价物净增加额</v>
          </cell>
          <cell r="E98">
            <v>31369172.18</v>
          </cell>
          <cell r="F98">
            <v>-4187308.7</v>
          </cell>
        </row>
      </sheetData>
      <sheetData sheetId="6">
        <row r="2">
          <cell r="D2" t="str">
            <v>81</v>
          </cell>
          <cell r="E2" t="str">
            <v>8b</v>
          </cell>
          <cell r="F2" t="str">
            <v>8c</v>
          </cell>
          <cell r="G2" t="str">
            <v>8d</v>
          </cell>
          <cell r="H2" t="str">
            <v>82</v>
          </cell>
          <cell r="I2" t="str">
            <v>83</v>
          </cell>
          <cell r="J2" t="str">
            <v>8g</v>
          </cell>
          <cell r="K2" t="str">
            <v>84</v>
          </cell>
          <cell r="L2" t="str">
            <v>85</v>
          </cell>
          <cell r="M2" t="str">
            <v>86</v>
          </cell>
          <cell r="N2" t="str">
            <v>87</v>
          </cell>
          <cell r="O2" t="str">
            <v>88</v>
          </cell>
          <cell r="P2" t="str">
            <v>89</v>
          </cell>
          <cell r="Q2" t="str">
            <v>80</v>
          </cell>
          <cell r="R2">
            <v>81</v>
          </cell>
          <cell r="S2" t="str">
            <v>8b</v>
          </cell>
          <cell r="T2" t="str">
            <v>8c</v>
          </cell>
          <cell r="U2" t="str">
            <v>8d</v>
          </cell>
          <cell r="V2">
            <v>82</v>
          </cell>
          <cell r="W2">
            <v>83</v>
          </cell>
          <cell r="X2" t="str">
            <v>8g</v>
          </cell>
          <cell r="Y2">
            <v>84</v>
          </cell>
          <cell r="Z2">
            <v>85</v>
          </cell>
          <cell r="AA2">
            <v>86</v>
          </cell>
          <cell r="AB2">
            <v>87</v>
          </cell>
          <cell r="AC2">
            <v>88</v>
          </cell>
          <cell r="AD2">
            <v>89</v>
          </cell>
          <cell r="AE2">
            <v>80</v>
          </cell>
        </row>
        <row r="3">
          <cell r="B3" t="str">
            <v>00</v>
          </cell>
          <cell r="C3" t="str">
            <v>所有者权益变动表</v>
          </cell>
        </row>
        <row r="4">
          <cell r="C4" t="str">
            <v>2016年度</v>
          </cell>
          <cell r="AE4" t="str">
            <v>会企04表</v>
          </cell>
        </row>
        <row r="5">
          <cell r="C5" t="str">
            <v>编制单位：海湾环境科技（北京）股份有限公司</v>
          </cell>
          <cell r="AA5" t="str">
            <v>单位：元   币种：人民币</v>
          </cell>
        </row>
        <row r="6">
          <cell r="D6" t="str">
            <v>本期金额</v>
          </cell>
          <cell r="R6" t="str">
            <v>上年同期金额</v>
          </cell>
        </row>
        <row r="7">
          <cell r="D7" t="str">
            <v>归属于母公司所有者权益</v>
          </cell>
          <cell r="R7" t="str">
            <v>归属于母公司所有者权益</v>
          </cell>
        </row>
        <row r="8">
          <cell r="B8" t="str">
            <v>ItemId1</v>
          </cell>
          <cell r="C8" t="str">
            <v>项       目</v>
          </cell>
          <cell r="D8" t="str">
            <v>实收资本</v>
          </cell>
          <cell r="E8" t="str">
            <v>其他权益工具（优先股）</v>
          </cell>
          <cell r="F8" t="str">
            <v>其他权益工具（永续债）</v>
          </cell>
          <cell r="G8" t="str">
            <v>其他权益工具（其他）</v>
          </cell>
          <cell r="H8" t="str">
            <v>资本公积</v>
          </cell>
          <cell r="I8" t="str">
            <v>减：库存股</v>
          </cell>
          <cell r="J8" t="str">
            <v>其他综合收益</v>
          </cell>
          <cell r="K8" t="str">
            <v>专项储备</v>
          </cell>
          <cell r="L8" t="str">
            <v>盈余公积</v>
          </cell>
          <cell r="M8" t="str">
            <v xml:space="preserve">一般风险准备 </v>
          </cell>
          <cell r="N8" t="str">
            <v>未分配利润</v>
          </cell>
          <cell r="O8" t="str">
            <v>其他</v>
          </cell>
          <cell r="P8" t="str">
            <v>少数股东权益</v>
          </cell>
          <cell r="Q8" t="str">
            <v>所有者权益合计</v>
          </cell>
          <cell r="R8" t="str">
            <v>实收资本</v>
          </cell>
          <cell r="S8" t="str">
            <v>其他权益工具（优先股）</v>
          </cell>
          <cell r="T8" t="str">
            <v>其他权益工具（永续债）</v>
          </cell>
          <cell r="U8" t="str">
            <v>其他权益工具（其他）</v>
          </cell>
          <cell r="V8" t="str">
            <v>资本公积</v>
          </cell>
          <cell r="W8" t="str">
            <v>减：库存股</v>
          </cell>
          <cell r="X8" t="str">
            <v>其他综合收益</v>
          </cell>
          <cell r="Y8" t="str">
            <v>专项储备</v>
          </cell>
          <cell r="Z8" t="str">
            <v>盈余公积</v>
          </cell>
          <cell r="AA8" t="str">
            <v xml:space="preserve">一般风险准备 </v>
          </cell>
          <cell r="AB8" t="str">
            <v>未分配利润</v>
          </cell>
          <cell r="AC8" t="str">
            <v>其他</v>
          </cell>
          <cell r="AD8" t="str">
            <v>少数股东权益</v>
          </cell>
          <cell r="AE8" t="str">
            <v>所有者权益合计</v>
          </cell>
        </row>
        <row r="9">
          <cell r="B9" t="str">
            <v>01</v>
          </cell>
          <cell r="C9" t="str">
            <v>一、上年年末余额</v>
          </cell>
          <cell r="D9">
            <v>360000000</v>
          </cell>
          <cell r="H9">
            <v>14277074.01</v>
          </cell>
          <cell r="K9">
            <v>4386355.09</v>
          </cell>
          <cell r="L9">
            <v>9409317.25</v>
          </cell>
          <cell r="N9">
            <v>106903960.44</v>
          </cell>
          <cell r="Q9">
            <v>494976706.79000002</v>
          </cell>
          <cell r="R9">
            <v>120000000</v>
          </cell>
          <cell r="S9">
            <v>0</v>
          </cell>
          <cell r="T9">
            <v>0</v>
          </cell>
          <cell r="U9">
            <v>0</v>
          </cell>
          <cell r="V9">
            <v>63816521.649999999</v>
          </cell>
          <cell r="W9">
            <v>0</v>
          </cell>
          <cell r="X9">
            <v>0</v>
          </cell>
          <cell r="Y9">
            <v>3000082.45</v>
          </cell>
          <cell r="Z9">
            <v>8203046.8300000001</v>
          </cell>
          <cell r="AA9">
            <v>0</v>
          </cell>
          <cell r="AB9">
            <v>-10256775.470000001</v>
          </cell>
          <cell r="AC9">
            <v>0</v>
          </cell>
          <cell r="AD9">
            <v>0</v>
          </cell>
          <cell r="AE9">
            <v>184762875.46000001</v>
          </cell>
        </row>
        <row r="10">
          <cell r="B10" t="str">
            <v>02</v>
          </cell>
          <cell r="C10" t="str">
            <v>加：会计政策变更</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row>
        <row r="11">
          <cell r="B11" t="str">
            <v>03</v>
          </cell>
          <cell r="C11" t="str">
            <v>前期差错更正</v>
          </cell>
          <cell r="L11">
            <v>1474268.99</v>
          </cell>
          <cell r="N11">
            <v>-7239397.5599999996</v>
          </cell>
          <cell r="Q11">
            <v>-5765128.5700000003</v>
          </cell>
          <cell r="R11">
            <v>0</v>
          </cell>
          <cell r="S11">
            <v>0</v>
          </cell>
          <cell r="T11">
            <v>0</v>
          </cell>
          <cell r="U11">
            <v>0</v>
          </cell>
          <cell r="V11">
            <v>0</v>
          </cell>
          <cell r="W11">
            <v>0</v>
          </cell>
          <cell r="X11">
            <v>0</v>
          </cell>
          <cell r="Y11">
            <v>0</v>
          </cell>
          <cell r="Z11">
            <v>0</v>
          </cell>
          <cell r="AA11">
            <v>0</v>
          </cell>
          <cell r="AB11">
            <v>0</v>
          </cell>
          <cell r="AC11">
            <v>0</v>
          </cell>
          <cell r="AD11">
            <v>0</v>
          </cell>
          <cell r="AE11">
            <v>0</v>
          </cell>
        </row>
        <row r="12">
          <cell r="B12" t="str">
            <v>04</v>
          </cell>
          <cell r="C12" t="str">
            <v>同一控制下企业合并</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row>
        <row r="13">
          <cell r="B13" t="str">
            <v>09</v>
          </cell>
          <cell r="C13" t="str">
            <v>其他</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row>
        <row r="14">
          <cell r="B14" t="str">
            <v>10</v>
          </cell>
          <cell r="C14" t="str">
            <v>二、本年年初余额</v>
          </cell>
          <cell r="D14">
            <v>360000000</v>
          </cell>
          <cell r="E14">
            <v>0</v>
          </cell>
          <cell r="F14">
            <v>0</v>
          </cell>
          <cell r="G14">
            <v>0</v>
          </cell>
          <cell r="H14">
            <v>14277074.01</v>
          </cell>
          <cell r="I14">
            <v>0</v>
          </cell>
          <cell r="J14">
            <v>0</v>
          </cell>
          <cell r="K14">
            <v>4386355.09</v>
          </cell>
          <cell r="L14">
            <v>10883586.24</v>
          </cell>
          <cell r="M14">
            <v>0</v>
          </cell>
          <cell r="N14">
            <v>99664562.879999995</v>
          </cell>
          <cell r="O14">
            <v>0</v>
          </cell>
          <cell r="P14">
            <v>0</v>
          </cell>
          <cell r="Q14">
            <v>489211578.22000003</v>
          </cell>
          <cell r="R14">
            <v>120000000</v>
          </cell>
          <cell r="S14">
            <v>0</v>
          </cell>
          <cell r="T14">
            <v>0</v>
          </cell>
          <cell r="U14">
            <v>0</v>
          </cell>
          <cell r="V14">
            <v>63816521.649999999</v>
          </cell>
          <cell r="W14">
            <v>0</v>
          </cell>
          <cell r="X14">
            <v>0</v>
          </cell>
          <cell r="Y14">
            <v>3000082.45</v>
          </cell>
          <cell r="Z14">
            <v>8203046.8300000001</v>
          </cell>
          <cell r="AA14">
            <v>0</v>
          </cell>
          <cell r="AB14">
            <v>-10256775.470000001</v>
          </cell>
          <cell r="AC14">
            <v>0</v>
          </cell>
          <cell r="AD14">
            <v>0</v>
          </cell>
          <cell r="AE14">
            <v>184762875.46000001</v>
          </cell>
        </row>
        <row r="15">
          <cell r="B15" t="str">
            <v>90</v>
          </cell>
          <cell r="C15" t="str">
            <v>三、本年增减变动金额（减少以“－”号填列）</v>
          </cell>
          <cell r="D15">
            <v>0</v>
          </cell>
          <cell r="E15">
            <v>0</v>
          </cell>
          <cell r="F15">
            <v>0</v>
          </cell>
          <cell r="G15">
            <v>0</v>
          </cell>
          <cell r="H15">
            <v>0</v>
          </cell>
          <cell r="I15">
            <v>0</v>
          </cell>
          <cell r="J15">
            <v>0</v>
          </cell>
          <cell r="K15">
            <v>1391136.6</v>
          </cell>
          <cell r="L15">
            <v>0</v>
          </cell>
          <cell r="M15">
            <v>0</v>
          </cell>
          <cell r="N15">
            <v>41500779.109999999</v>
          </cell>
          <cell r="O15">
            <v>0</v>
          </cell>
          <cell r="P15">
            <v>0</v>
          </cell>
          <cell r="Q15">
            <v>42891915.710000001</v>
          </cell>
          <cell r="R15">
            <v>240000000</v>
          </cell>
          <cell r="S15">
            <v>0</v>
          </cell>
          <cell r="T15">
            <v>0</v>
          </cell>
          <cell r="U15">
            <v>0</v>
          </cell>
          <cell r="V15">
            <v>-49539447.640000001</v>
          </cell>
          <cell r="W15">
            <v>0</v>
          </cell>
          <cell r="X15">
            <v>0</v>
          </cell>
          <cell r="Y15">
            <v>1254520.9099999999</v>
          </cell>
          <cell r="Z15">
            <v>909324.45</v>
          </cell>
          <cell r="AA15">
            <v>0</v>
          </cell>
          <cell r="AB15">
            <v>8183920.0800000001</v>
          </cell>
          <cell r="AC15">
            <v>0</v>
          </cell>
          <cell r="AD15">
            <v>0</v>
          </cell>
          <cell r="AE15">
            <v>200808317.80000001</v>
          </cell>
        </row>
        <row r="16">
          <cell r="B16" t="str">
            <v>21</v>
          </cell>
          <cell r="C16" t="str">
            <v>（一）净利润</v>
          </cell>
          <cell r="N16">
            <v>41500779.109999999</v>
          </cell>
          <cell r="Q16">
            <v>41500779.109999999</v>
          </cell>
          <cell r="R16">
            <v>0</v>
          </cell>
          <cell r="S16">
            <v>0</v>
          </cell>
          <cell r="T16">
            <v>0</v>
          </cell>
          <cell r="U16">
            <v>0</v>
          </cell>
          <cell r="V16">
            <v>0</v>
          </cell>
          <cell r="W16">
            <v>0</v>
          </cell>
          <cell r="X16">
            <v>0</v>
          </cell>
          <cell r="Y16">
            <v>0</v>
          </cell>
          <cell r="Z16">
            <v>0</v>
          </cell>
          <cell r="AA16">
            <v>0</v>
          </cell>
          <cell r="AB16">
            <v>9093244.5299999993</v>
          </cell>
          <cell r="AC16">
            <v>0</v>
          </cell>
          <cell r="AD16">
            <v>0</v>
          </cell>
          <cell r="AE16">
            <v>9093244.5299999993</v>
          </cell>
        </row>
        <row r="17">
          <cell r="B17" t="str">
            <v>30</v>
          </cell>
          <cell r="C17" t="str">
            <v>（二）其他综合收益</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B18" t="str">
            <v>40</v>
          </cell>
          <cell r="C18" t="str">
            <v>（一）综合收益总额</v>
          </cell>
          <cell r="J18">
            <v>0</v>
          </cell>
          <cell r="N18">
            <v>41500779.109999999</v>
          </cell>
          <cell r="Q18">
            <v>41500779.109999999</v>
          </cell>
          <cell r="R18">
            <v>0</v>
          </cell>
          <cell r="S18">
            <v>0</v>
          </cell>
          <cell r="T18">
            <v>0</v>
          </cell>
          <cell r="U18">
            <v>0</v>
          </cell>
          <cell r="V18">
            <v>0</v>
          </cell>
          <cell r="W18">
            <v>0</v>
          </cell>
          <cell r="X18">
            <v>0</v>
          </cell>
          <cell r="Y18">
            <v>0</v>
          </cell>
          <cell r="Z18">
            <v>0</v>
          </cell>
          <cell r="AA18">
            <v>0</v>
          </cell>
          <cell r="AB18">
            <v>9093244.5299999993</v>
          </cell>
          <cell r="AC18">
            <v>0</v>
          </cell>
          <cell r="AD18">
            <v>0</v>
          </cell>
          <cell r="AE18">
            <v>9093244.5299999993</v>
          </cell>
        </row>
        <row r="19">
          <cell r="B19" t="str">
            <v>50</v>
          </cell>
          <cell r="C19" t="str">
            <v>（二）股东（或所有者）投入和减少资本</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29600000</v>
          </cell>
          <cell r="S19">
            <v>0</v>
          </cell>
          <cell r="T19">
            <v>0</v>
          </cell>
          <cell r="U19">
            <v>0</v>
          </cell>
          <cell r="V19">
            <v>160860552.36000001</v>
          </cell>
          <cell r="W19">
            <v>0</v>
          </cell>
          <cell r="X19">
            <v>0</v>
          </cell>
          <cell r="Y19">
            <v>0</v>
          </cell>
          <cell r="Z19">
            <v>0</v>
          </cell>
          <cell r="AA19">
            <v>0</v>
          </cell>
          <cell r="AB19">
            <v>0</v>
          </cell>
          <cell r="AC19">
            <v>0</v>
          </cell>
          <cell r="AD19">
            <v>0</v>
          </cell>
          <cell r="AE19">
            <v>190460552.36000001</v>
          </cell>
        </row>
        <row r="20">
          <cell r="B20" t="str">
            <v>51</v>
          </cell>
          <cell r="C20" t="str">
            <v>1．股东投入的普通股</v>
          </cell>
          <cell r="Q20">
            <v>0</v>
          </cell>
          <cell r="R20">
            <v>29600000</v>
          </cell>
          <cell r="S20">
            <v>0</v>
          </cell>
          <cell r="T20">
            <v>0</v>
          </cell>
          <cell r="U20">
            <v>0</v>
          </cell>
          <cell r="V20">
            <v>155400000</v>
          </cell>
          <cell r="W20">
            <v>0</v>
          </cell>
          <cell r="X20">
            <v>0</v>
          </cell>
          <cell r="Y20">
            <v>0</v>
          </cell>
          <cell r="Z20">
            <v>0</v>
          </cell>
          <cell r="AA20">
            <v>0</v>
          </cell>
          <cell r="AB20">
            <v>0</v>
          </cell>
          <cell r="AC20">
            <v>0</v>
          </cell>
          <cell r="AD20">
            <v>0</v>
          </cell>
          <cell r="AE20">
            <v>185000000</v>
          </cell>
        </row>
        <row r="21">
          <cell r="B21" t="str">
            <v>53</v>
          </cell>
          <cell r="C21" t="str">
            <v>2．其他权益工具持有者投入资本</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row>
        <row r="22">
          <cell r="B22" t="str">
            <v>52</v>
          </cell>
          <cell r="C22" t="str">
            <v>3．股份支付计入股东权益的金额</v>
          </cell>
          <cell r="Q22">
            <v>0</v>
          </cell>
          <cell r="R22">
            <v>0</v>
          </cell>
          <cell r="S22">
            <v>0</v>
          </cell>
          <cell r="T22">
            <v>0</v>
          </cell>
          <cell r="U22">
            <v>0</v>
          </cell>
          <cell r="V22">
            <v>5460552.3600000003</v>
          </cell>
          <cell r="W22">
            <v>0</v>
          </cell>
          <cell r="X22">
            <v>0</v>
          </cell>
          <cell r="Y22">
            <v>0</v>
          </cell>
          <cell r="Z22">
            <v>0</v>
          </cell>
          <cell r="AA22">
            <v>0</v>
          </cell>
          <cell r="AB22">
            <v>0</v>
          </cell>
          <cell r="AC22">
            <v>0</v>
          </cell>
          <cell r="AD22">
            <v>0</v>
          </cell>
          <cell r="AE22">
            <v>5460552.3600000003</v>
          </cell>
        </row>
        <row r="23">
          <cell r="B23" t="str">
            <v>56</v>
          </cell>
          <cell r="C23" t="str">
            <v>4．其他</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row>
        <row r="24">
          <cell r="B24" t="str">
            <v>60</v>
          </cell>
          <cell r="C24" t="str">
            <v>（三）利润分配</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909324.45</v>
          </cell>
          <cell r="AA24">
            <v>0</v>
          </cell>
          <cell r="AB24">
            <v>-909324.45</v>
          </cell>
          <cell r="AC24">
            <v>0</v>
          </cell>
          <cell r="AD24">
            <v>0</v>
          </cell>
          <cell r="AE24">
            <v>0</v>
          </cell>
        </row>
        <row r="25">
          <cell r="B25" t="str">
            <v>61</v>
          </cell>
          <cell r="C25" t="str">
            <v>1．提取盈余公积</v>
          </cell>
          <cell r="Q25">
            <v>0</v>
          </cell>
          <cell r="R25">
            <v>0</v>
          </cell>
          <cell r="S25">
            <v>0</v>
          </cell>
          <cell r="T25">
            <v>0</v>
          </cell>
          <cell r="U25">
            <v>0</v>
          </cell>
          <cell r="V25">
            <v>0</v>
          </cell>
          <cell r="W25">
            <v>0</v>
          </cell>
          <cell r="X25">
            <v>0</v>
          </cell>
          <cell r="Y25">
            <v>0</v>
          </cell>
          <cell r="Z25">
            <v>909324.45</v>
          </cell>
          <cell r="AA25">
            <v>0</v>
          </cell>
          <cell r="AB25">
            <v>-909324.45</v>
          </cell>
          <cell r="AC25">
            <v>0</v>
          </cell>
          <cell r="AD25">
            <v>0</v>
          </cell>
          <cell r="AE25">
            <v>0</v>
          </cell>
        </row>
        <row r="26">
          <cell r="B26" t="str">
            <v>62</v>
          </cell>
          <cell r="C26" t="str">
            <v>2．提取一般风险准备</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row>
        <row r="27">
          <cell r="B27" t="str">
            <v>63</v>
          </cell>
          <cell r="C27" t="str">
            <v>3．对股东（或所有者）的分配</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row>
        <row r="28">
          <cell r="B28" t="str">
            <v>66</v>
          </cell>
          <cell r="C28" t="str">
            <v>4．其他</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row>
        <row r="29">
          <cell r="B29" t="str">
            <v>70</v>
          </cell>
          <cell r="C29" t="str">
            <v>（四）股东权益内部结转</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210400000</v>
          </cell>
          <cell r="S29">
            <v>0</v>
          </cell>
          <cell r="T29">
            <v>0</v>
          </cell>
          <cell r="U29">
            <v>0</v>
          </cell>
          <cell r="V29">
            <v>-210400000</v>
          </cell>
          <cell r="W29">
            <v>0</v>
          </cell>
          <cell r="X29">
            <v>0</v>
          </cell>
          <cell r="Y29">
            <v>0</v>
          </cell>
          <cell r="Z29">
            <v>0</v>
          </cell>
          <cell r="AA29">
            <v>0</v>
          </cell>
          <cell r="AB29">
            <v>0</v>
          </cell>
          <cell r="AC29">
            <v>0</v>
          </cell>
          <cell r="AD29">
            <v>0</v>
          </cell>
          <cell r="AE29">
            <v>0</v>
          </cell>
        </row>
        <row r="30">
          <cell r="B30" t="str">
            <v>71</v>
          </cell>
          <cell r="C30" t="str">
            <v>1．资本公积转增股本（或资本）</v>
          </cell>
          <cell r="Q30">
            <v>0</v>
          </cell>
          <cell r="R30">
            <v>210400000</v>
          </cell>
          <cell r="S30">
            <v>0</v>
          </cell>
          <cell r="T30">
            <v>0</v>
          </cell>
          <cell r="U30">
            <v>0</v>
          </cell>
          <cell r="V30">
            <v>-210400000</v>
          </cell>
          <cell r="W30">
            <v>0</v>
          </cell>
          <cell r="X30">
            <v>0</v>
          </cell>
          <cell r="Y30">
            <v>0</v>
          </cell>
          <cell r="Z30">
            <v>0</v>
          </cell>
          <cell r="AA30">
            <v>0</v>
          </cell>
          <cell r="AB30">
            <v>0</v>
          </cell>
          <cell r="AC30">
            <v>0</v>
          </cell>
          <cell r="AD30">
            <v>0</v>
          </cell>
          <cell r="AE30">
            <v>0</v>
          </cell>
        </row>
        <row r="31">
          <cell r="B31" t="str">
            <v>72</v>
          </cell>
          <cell r="C31" t="str">
            <v>2．盈余公积转增股本（或资本）</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B32" t="str">
            <v>73</v>
          </cell>
          <cell r="C32" t="str">
            <v>3．盈余公积弥补亏损</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row>
        <row r="33">
          <cell r="B33" t="str">
            <v>75</v>
          </cell>
          <cell r="C33" t="str">
            <v>4．设定受益计划变动额结转留存收益</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B34" t="str">
            <v>76</v>
          </cell>
          <cell r="C34" t="str">
            <v>5．其他</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B35" t="str">
            <v>80</v>
          </cell>
          <cell r="C35" t="str">
            <v>（五）专项储备</v>
          </cell>
          <cell r="D35">
            <v>0</v>
          </cell>
          <cell r="E35">
            <v>0</v>
          </cell>
          <cell r="F35">
            <v>0</v>
          </cell>
          <cell r="G35">
            <v>0</v>
          </cell>
          <cell r="H35">
            <v>0</v>
          </cell>
          <cell r="I35">
            <v>0</v>
          </cell>
          <cell r="J35">
            <v>0</v>
          </cell>
          <cell r="K35">
            <v>1391136.6</v>
          </cell>
          <cell r="L35">
            <v>0</v>
          </cell>
          <cell r="M35">
            <v>0</v>
          </cell>
          <cell r="N35">
            <v>0</v>
          </cell>
          <cell r="O35">
            <v>0</v>
          </cell>
          <cell r="P35">
            <v>0</v>
          </cell>
          <cell r="Q35">
            <v>1391136.6</v>
          </cell>
          <cell r="R35">
            <v>0</v>
          </cell>
          <cell r="S35">
            <v>0</v>
          </cell>
          <cell r="T35">
            <v>0</v>
          </cell>
          <cell r="U35">
            <v>0</v>
          </cell>
          <cell r="V35">
            <v>0</v>
          </cell>
          <cell r="W35">
            <v>0</v>
          </cell>
          <cell r="X35">
            <v>0</v>
          </cell>
          <cell r="Y35">
            <v>1254520.9099999999</v>
          </cell>
          <cell r="Z35">
            <v>0</v>
          </cell>
          <cell r="AA35">
            <v>0</v>
          </cell>
          <cell r="AB35">
            <v>0</v>
          </cell>
          <cell r="AC35">
            <v>0</v>
          </cell>
          <cell r="AD35">
            <v>0</v>
          </cell>
          <cell r="AE35">
            <v>1254520.9099999999</v>
          </cell>
        </row>
        <row r="36">
          <cell r="B36" t="str">
            <v>81</v>
          </cell>
          <cell r="C36" t="str">
            <v>1．本期提取</v>
          </cell>
          <cell r="K36">
            <v>1613136.6</v>
          </cell>
          <cell r="Q36">
            <v>1613136.6</v>
          </cell>
          <cell r="R36">
            <v>0</v>
          </cell>
          <cell r="S36">
            <v>0</v>
          </cell>
          <cell r="T36">
            <v>0</v>
          </cell>
          <cell r="U36">
            <v>0</v>
          </cell>
          <cell r="V36">
            <v>0</v>
          </cell>
          <cell r="W36">
            <v>0</v>
          </cell>
          <cell r="X36">
            <v>0</v>
          </cell>
          <cell r="Y36">
            <v>1254520.9099999999</v>
          </cell>
          <cell r="Z36">
            <v>0</v>
          </cell>
          <cell r="AA36">
            <v>0</v>
          </cell>
          <cell r="AB36">
            <v>0</v>
          </cell>
          <cell r="AC36">
            <v>0</v>
          </cell>
          <cell r="AD36">
            <v>0</v>
          </cell>
          <cell r="AE36">
            <v>1254520.9099999999</v>
          </cell>
        </row>
        <row r="37">
          <cell r="B37" t="str">
            <v>82</v>
          </cell>
          <cell r="C37" t="str">
            <v>2．本期使用（以负号填列）</v>
          </cell>
          <cell r="K37">
            <v>-222000</v>
          </cell>
          <cell r="Q37">
            <v>-222000</v>
          </cell>
          <cell r="R37">
            <v>0</v>
          </cell>
          <cell r="S37">
            <v>0</v>
          </cell>
          <cell r="T37">
            <v>0</v>
          </cell>
          <cell r="U37">
            <v>0</v>
          </cell>
          <cell r="V37">
            <v>0</v>
          </cell>
          <cell r="W37">
            <v>0</v>
          </cell>
          <cell r="X37">
            <v>0</v>
          </cell>
          <cell r="Y37">
            <v>0</v>
          </cell>
          <cell r="Z37">
            <v>0</v>
          </cell>
          <cell r="AA37">
            <v>0</v>
          </cell>
          <cell r="AB37">
            <v>0</v>
          </cell>
          <cell r="AC37">
            <v>0</v>
          </cell>
          <cell r="AD37">
            <v>0</v>
          </cell>
          <cell r="AE37">
            <v>0</v>
          </cell>
        </row>
        <row r="38">
          <cell r="B38" t="str">
            <v>96</v>
          </cell>
          <cell r="C38" t="str">
            <v>（六）其他</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39">
          <cell r="B39" t="str">
            <v>99</v>
          </cell>
          <cell r="C39" t="str">
            <v>四、本年年末余额</v>
          </cell>
          <cell r="D39">
            <v>360000000</v>
          </cell>
          <cell r="E39">
            <v>0</v>
          </cell>
          <cell r="F39">
            <v>0</v>
          </cell>
          <cell r="G39">
            <v>0</v>
          </cell>
          <cell r="H39">
            <v>14277074.01</v>
          </cell>
          <cell r="I39">
            <v>0</v>
          </cell>
          <cell r="J39">
            <v>0</v>
          </cell>
          <cell r="K39">
            <v>5777491.6900000004</v>
          </cell>
          <cell r="L39">
            <v>10883586.24</v>
          </cell>
          <cell r="M39">
            <v>0</v>
          </cell>
          <cell r="N39">
            <v>141165341.99000001</v>
          </cell>
          <cell r="O39">
            <v>0</v>
          </cell>
          <cell r="P39">
            <v>0</v>
          </cell>
          <cell r="Q39">
            <v>532103493.93000001</v>
          </cell>
          <cell r="R39">
            <v>360000000</v>
          </cell>
          <cell r="S39">
            <v>0</v>
          </cell>
          <cell r="T39">
            <v>0</v>
          </cell>
          <cell r="U39">
            <v>0</v>
          </cell>
          <cell r="V39">
            <v>14277074.01</v>
          </cell>
          <cell r="W39">
            <v>0</v>
          </cell>
          <cell r="X39">
            <v>0</v>
          </cell>
          <cell r="Y39">
            <v>4254603.3600000003</v>
          </cell>
          <cell r="Z39">
            <v>9112371.2799999993</v>
          </cell>
          <cell r="AA39">
            <v>0</v>
          </cell>
          <cell r="AB39">
            <v>-2072855.39</v>
          </cell>
          <cell r="AC39">
            <v>0</v>
          </cell>
          <cell r="AD39">
            <v>0</v>
          </cell>
          <cell r="AE39">
            <v>385571193.25999999</v>
          </cell>
        </row>
      </sheetData>
      <sheetData sheetId="7">
        <row r="6">
          <cell r="F6" t="str">
            <v>本期</v>
          </cell>
          <cell r="G6" t="str">
            <v>本期</v>
          </cell>
          <cell r="H6" t="str">
            <v>本期</v>
          </cell>
          <cell r="I6" t="str">
            <v>本期</v>
          </cell>
          <cell r="J6" t="str">
            <v>上期</v>
          </cell>
          <cell r="K6" t="str">
            <v>上期</v>
          </cell>
          <cell r="L6" t="str">
            <v>上期</v>
          </cell>
          <cell r="M6" t="str">
            <v>上期</v>
          </cell>
          <cell r="U6" t="str">
            <v>前1期</v>
          </cell>
        </row>
        <row r="7">
          <cell r="F7" t="str">
            <v>本期</v>
          </cell>
          <cell r="J7" t="str">
            <v>上期</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cell r="T8" t="str">
            <v>itemID</v>
          </cell>
          <cell r="U8" t="str">
            <v>调整后金额</v>
          </cell>
        </row>
        <row r="9">
          <cell r="D9">
            <v>1</v>
          </cell>
          <cell r="E9" t="str">
            <v>资产负债表</v>
          </cell>
          <cell r="T9">
            <v>1</v>
          </cell>
        </row>
        <row r="10">
          <cell r="D10">
            <v>1000</v>
          </cell>
          <cell r="E10" t="str">
            <v>流动资产项目</v>
          </cell>
          <cell r="T10">
            <v>1000</v>
          </cell>
        </row>
        <row r="11">
          <cell r="D11">
            <v>1015</v>
          </cell>
          <cell r="E11" t="str">
            <v>货币资金</v>
          </cell>
          <cell r="F11">
            <v>154212308.21000001</v>
          </cell>
          <cell r="G11">
            <v>3186.95</v>
          </cell>
          <cell r="H11">
            <v>86024840</v>
          </cell>
          <cell r="I11">
            <v>68190655.159999996</v>
          </cell>
          <cell r="J11">
            <v>51616363.890000001</v>
          </cell>
          <cell r="K11">
            <v>0</v>
          </cell>
          <cell r="L11">
            <v>0</v>
          </cell>
          <cell r="M11">
            <v>51616363.890000001</v>
          </cell>
          <cell r="T11">
            <v>1015</v>
          </cell>
          <cell r="U11">
            <v>51616363.890000001</v>
          </cell>
        </row>
        <row r="12">
          <cell r="D12">
            <v>1021</v>
          </cell>
          <cell r="E12" t="str">
            <v>结算备付金</v>
          </cell>
          <cell r="F12">
            <v>0</v>
          </cell>
          <cell r="G12">
            <v>0</v>
          </cell>
          <cell r="H12">
            <v>0</v>
          </cell>
          <cell r="I12">
            <v>0</v>
          </cell>
          <cell r="J12">
            <v>0</v>
          </cell>
          <cell r="K12">
            <v>0</v>
          </cell>
          <cell r="L12">
            <v>0</v>
          </cell>
          <cell r="M12">
            <v>0</v>
          </cell>
          <cell r="T12">
            <v>1021</v>
          </cell>
          <cell r="U12">
            <v>0</v>
          </cell>
        </row>
        <row r="13">
          <cell r="D13">
            <v>1302</v>
          </cell>
          <cell r="E13" t="str">
            <v>拆出资金</v>
          </cell>
          <cell r="F13">
            <v>0</v>
          </cell>
          <cell r="G13">
            <v>0</v>
          </cell>
          <cell r="H13">
            <v>0</v>
          </cell>
          <cell r="I13">
            <v>0</v>
          </cell>
          <cell r="J13">
            <v>0</v>
          </cell>
          <cell r="K13">
            <v>0</v>
          </cell>
          <cell r="L13">
            <v>0</v>
          </cell>
          <cell r="M13">
            <v>0</v>
          </cell>
          <cell r="T13">
            <v>1302</v>
          </cell>
          <cell r="U13">
            <v>0</v>
          </cell>
        </row>
        <row r="14">
          <cell r="D14">
            <v>1101</v>
          </cell>
          <cell r="E14" t="str">
            <v>以公允价值计量且其变动计入当期损益的金融资产</v>
          </cell>
          <cell r="F14">
            <v>0</v>
          </cell>
          <cell r="G14">
            <v>0</v>
          </cell>
          <cell r="H14">
            <v>0</v>
          </cell>
          <cell r="I14">
            <v>0</v>
          </cell>
          <cell r="J14">
            <v>0</v>
          </cell>
          <cell r="K14">
            <v>0</v>
          </cell>
          <cell r="L14">
            <v>0</v>
          </cell>
          <cell r="M14">
            <v>0</v>
          </cell>
          <cell r="T14">
            <v>1101</v>
          </cell>
          <cell r="U14">
            <v>0</v>
          </cell>
        </row>
        <row r="15">
          <cell r="D15">
            <v>1115</v>
          </cell>
          <cell r="E15" t="str">
            <v>衍生金融资产</v>
          </cell>
          <cell r="F15">
            <v>0</v>
          </cell>
          <cell r="G15">
            <v>0</v>
          </cell>
          <cell r="H15">
            <v>0</v>
          </cell>
          <cell r="I15">
            <v>0</v>
          </cell>
          <cell r="J15">
            <v>0</v>
          </cell>
          <cell r="K15">
            <v>0</v>
          </cell>
          <cell r="L15">
            <v>0</v>
          </cell>
          <cell r="M15">
            <v>0</v>
          </cell>
          <cell r="T15">
            <v>1115</v>
          </cell>
          <cell r="U15">
            <v>0</v>
          </cell>
        </row>
        <row r="16">
          <cell r="D16">
            <v>1123</v>
          </cell>
          <cell r="E16" t="str">
            <v>应收票据及应收账款</v>
          </cell>
          <cell r="F16">
            <v>399623729.88999999</v>
          </cell>
          <cell r="G16">
            <v>-133143102.48</v>
          </cell>
          <cell r="H16">
            <v>-3067417.35</v>
          </cell>
          <cell r="I16">
            <v>269548044.75999999</v>
          </cell>
          <cell r="J16">
            <v>154282122.88</v>
          </cell>
          <cell r="K16">
            <v>0</v>
          </cell>
          <cell r="L16">
            <v>0</v>
          </cell>
          <cell r="M16">
            <v>154282122.88</v>
          </cell>
          <cell r="T16">
            <v>1121</v>
          </cell>
          <cell r="U16">
            <v>4700800</v>
          </cell>
        </row>
        <row r="17">
          <cell r="D17">
            <v>1121</v>
          </cell>
          <cell r="E17" t="str">
            <v>应收票据</v>
          </cell>
          <cell r="F17">
            <v>7746391</v>
          </cell>
          <cell r="G17">
            <v>0</v>
          </cell>
          <cell r="H17">
            <v>2781391</v>
          </cell>
          <cell r="I17">
            <v>4965000</v>
          </cell>
          <cell r="J17">
            <v>4700800</v>
          </cell>
          <cell r="K17">
            <v>0</v>
          </cell>
          <cell r="L17">
            <v>0</v>
          </cell>
          <cell r="M17">
            <v>4700800</v>
          </cell>
          <cell r="T17">
            <v>1122</v>
          </cell>
          <cell r="U17">
            <v>149581322.88</v>
          </cell>
        </row>
        <row r="18">
          <cell r="D18">
            <v>1122</v>
          </cell>
          <cell r="E18" t="str">
            <v>应收账款</v>
          </cell>
          <cell r="F18">
            <v>391877338.88999999</v>
          </cell>
          <cell r="G18">
            <v>-133143102.48</v>
          </cell>
          <cell r="H18">
            <v>-5848808.3499999996</v>
          </cell>
          <cell r="I18">
            <v>264583044.75999999</v>
          </cell>
          <cell r="J18">
            <v>149581322.88</v>
          </cell>
          <cell r="K18">
            <v>0</v>
          </cell>
          <cell r="L18">
            <v>0</v>
          </cell>
          <cell r="M18">
            <v>149581322.88</v>
          </cell>
          <cell r="T18">
            <v>1125</v>
          </cell>
          <cell r="U18">
            <v>25019814.32</v>
          </cell>
        </row>
        <row r="19">
          <cell r="D19">
            <v>1125</v>
          </cell>
          <cell r="E19" t="str">
            <v>预付款项</v>
          </cell>
          <cell r="F19">
            <v>145749191.74000001</v>
          </cell>
          <cell r="G19">
            <v>-90661565.439999998</v>
          </cell>
          <cell r="H19">
            <v>24044160.899999999</v>
          </cell>
          <cell r="I19">
            <v>31043465.399999999</v>
          </cell>
          <cell r="J19">
            <v>25019814.32</v>
          </cell>
          <cell r="K19">
            <v>0</v>
          </cell>
          <cell r="L19">
            <v>0</v>
          </cell>
          <cell r="M19">
            <v>25019814.32</v>
          </cell>
          <cell r="T19">
            <v>1127</v>
          </cell>
          <cell r="U19">
            <v>0</v>
          </cell>
        </row>
        <row r="20">
          <cell r="D20">
            <v>1127</v>
          </cell>
          <cell r="E20" t="str">
            <v>应收保费</v>
          </cell>
          <cell r="F20">
            <v>0</v>
          </cell>
          <cell r="G20">
            <v>0</v>
          </cell>
          <cell r="H20">
            <v>0</v>
          </cell>
          <cell r="I20">
            <v>0</v>
          </cell>
          <cell r="J20">
            <v>0</v>
          </cell>
          <cell r="K20">
            <v>0</v>
          </cell>
          <cell r="L20">
            <v>0</v>
          </cell>
          <cell r="M20">
            <v>0</v>
          </cell>
          <cell r="T20">
            <v>1211</v>
          </cell>
          <cell r="U20">
            <v>0</v>
          </cell>
        </row>
        <row r="21">
          <cell r="D21">
            <v>1211</v>
          </cell>
          <cell r="E21" t="str">
            <v>应收分保账款</v>
          </cell>
          <cell r="F21">
            <v>0</v>
          </cell>
          <cell r="G21">
            <v>0</v>
          </cell>
          <cell r="H21">
            <v>0</v>
          </cell>
          <cell r="I21">
            <v>0</v>
          </cell>
          <cell r="J21">
            <v>0</v>
          </cell>
          <cell r="K21">
            <v>0</v>
          </cell>
          <cell r="L21">
            <v>0</v>
          </cell>
          <cell r="M21">
            <v>0</v>
          </cell>
          <cell r="T21">
            <v>1212</v>
          </cell>
          <cell r="U21">
            <v>0</v>
          </cell>
        </row>
        <row r="22">
          <cell r="D22">
            <v>1212</v>
          </cell>
          <cell r="E22" t="str">
            <v>应收分保合同准备金</v>
          </cell>
          <cell r="F22">
            <v>0</v>
          </cell>
          <cell r="G22">
            <v>0</v>
          </cell>
          <cell r="H22">
            <v>0</v>
          </cell>
          <cell r="I22">
            <v>0</v>
          </cell>
          <cell r="J22">
            <v>0</v>
          </cell>
          <cell r="K22">
            <v>0</v>
          </cell>
          <cell r="L22">
            <v>0</v>
          </cell>
          <cell r="M22">
            <v>0</v>
          </cell>
          <cell r="T22">
            <v>1132</v>
          </cell>
          <cell r="U22">
            <v>0</v>
          </cell>
        </row>
        <row r="23">
          <cell r="D23">
            <v>1220</v>
          </cell>
          <cell r="E23" t="str">
            <v>其他应收款（报表项目）</v>
          </cell>
          <cell r="F23">
            <v>38404930.939999998</v>
          </cell>
          <cell r="G23">
            <v>3807142.06</v>
          </cell>
          <cell r="H23">
            <v>2074424.38</v>
          </cell>
          <cell r="I23">
            <v>40137648.619999997</v>
          </cell>
          <cell r="J23">
            <v>14248842.76</v>
          </cell>
          <cell r="K23">
            <v>0</v>
          </cell>
          <cell r="L23">
            <v>0</v>
          </cell>
          <cell r="M23">
            <v>14248842.76</v>
          </cell>
          <cell r="T23">
            <v>1131</v>
          </cell>
          <cell r="U23">
            <v>0</v>
          </cell>
        </row>
        <row r="24">
          <cell r="D24">
            <v>1132</v>
          </cell>
          <cell r="E24" t="str">
            <v>应收利息</v>
          </cell>
          <cell r="F24">
            <v>0</v>
          </cell>
          <cell r="G24">
            <v>0</v>
          </cell>
          <cell r="H24">
            <v>0</v>
          </cell>
          <cell r="I24">
            <v>0</v>
          </cell>
          <cell r="J24">
            <v>0</v>
          </cell>
          <cell r="K24">
            <v>0</v>
          </cell>
          <cell r="L24">
            <v>0</v>
          </cell>
          <cell r="M24">
            <v>0</v>
          </cell>
          <cell r="T24">
            <v>1221</v>
          </cell>
          <cell r="U24">
            <v>14248842.76</v>
          </cell>
        </row>
        <row r="25">
          <cell r="D25">
            <v>1131</v>
          </cell>
          <cell r="E25" t="str">
            <v>应收股利</v>
          </cell>
          <cell r="F25">
            <v>0</v>
          </cell>
          <cell r="G25">
            <v>0</v>
          </cell>
          <cell r="H25">
            <v>0</v>
          </cell>
          <cell r="I25">
            <v>0</v>
          </cell>
          <cell r="J25">
            <v>0</v>
          </cell>
          <cell r="K25">
            <v>0</v>
          </cell>
          <cell r="L25">
            <v>0</v>
          </cell>
          <cell r="M25">
            <v>0</v>
          </cell>
          <cell r="T25">
            <v>1111</v>
          </cell>
          <cell r="U25">
            <v>0</v>
          </cell>
        </row>
        <row r="26">
          <cell r="D26">
            <v>1221</v>
          </cell>
          <cell r="E26" t="str">
            <v>其他应收款</v>
          </cell>
          <cell r="F26">
            <v>38404930.939999998</v>
          </cell>
          <cell r="G26">
            <v>3807142.06</v>
          </cell>
          <cell r="H26">
            <v>2074424.38</v>
          </cell>
          <cell r="I26">
            <v>40137648.619999997</v>
          </cell>
          <cell r="J26">
            <v>14248842.76</v>
          </cell>
          <cell r="K26">
            <v>0</v>
          </cell>
          <cell r="L26">
            <v>0</v>
          </cell>
          <cell r="M26">
            <v>14248842.76</v>
          </cell>
          <cell r="T26">
            <v>1400</v>
          </cell>
          <cell r="U26">
            <v>163973521.94999999</v>
          </cell>
        </row>
        <row r="27">
          <cell r="D27">
            <v>1111</v>
          </cell>
          <cell r="E27" t="str">
            <v>买入返售金融资产</v>
          </cell>
          <cell r="F27">
            <v>0</v>
          </cell>
          <cell r="G27">
            <v>0</v>
          </cell>
          <cell r="H27">
            <v>0</v>
          </cell>
          <cell r="I27">
            <v>0</v>
          </cell>
          <cell r="J27">
            <v>0</v>
          </cell>
          <cell r="K27">
            <v>0</v>
          </cell>
          <cell r="L27">
            <v>0</v>
          </cell>
          <cell r="M27">
            <v>0</v>
          </cell>
          <cell r="T27">
            <v>1315</v>
          </cell>
          <cell r="U27">
            <v>0</v>
          </cell>
        </row>
        <row r="28">
          <cell r="D28">
            <v>1400</v>
          </cell>
          <cell r="E28" t="str">
            <v>存货</v>
          </cell>
          <cell r="F28">
            <v>67413266.879999995</v>
          </cell>
          <cell r="G28">
            <v>78508844.090000004</v>
          </cell>
          <cell r="H28">
            <v>11065346.35</v>
          </cell>
          <cell r="I28">
            <v>134856764.62</v>
          </cell>
          <cell r="J28">
            <v>163973521.94999999</v>
          </cell>
          <cell r="K28">
            <v>0</v>
          </cell>
          <cell r="L28">
            <v>0</v>
          </cell>
          <cell r="M28">
            <v>163973521.94999999</v>
          </cell>
          <cell r="T28">
            <v>1495</v>
          </cell>
          <cell r="U28">
            <v>0</v>
          </cell>
        </row>
        <row r="29">
          <cell r="D29">
            <v>1315</v>
          </cell>
          <cell r="E29" t="str">
            <v>持有待售资产</v>
          </cell>
          <cell r="F29">
            <v>0</v>
          </cell>
          <cell r="G29">
            <v>0</v>
          </cell>
          <cell r="H29">
            <v>0</v>
          </cell>
          <cell r="I29">
            <v>0</v>
          </cell>
          <cell r="J29">
            <v>0</v>
          </cell>
          <cell r="K29">
            <v>0</v>
          </cell>
          <cell r="L29">
            <v>0</v>
          </cell>
          <cell r="M29">
            <v>0</v>
          </cell>
          <cell r="T29">
            <v>1496</v>
          </cell>
          <cell r="U29">
            <v>208386136.91999999</v>
          </cell>
        </row>
        <row r="30">
          <cell r="D30">
            <v>1495</v>
          </cell>
          <cell r="E30" t="str">
            <v>一年内到期的非流动资产</v>
          </cell>
          <cell r="F30">
            <v>0</v>
          </cell>
          <cell r="G30">
            <v>0</v>
          </cell>
          <cell r="H30">
            <v>0</v>
          </cell>
          <cell r="I30">
            <v>0</v>
          </cell>
          <cell r="J30">
            <v>0</v>
          </cell>
          <cell r="K30">
            <v>0</v>
          </cell>
          <cell r="L30">
            <v>0</v>
          </cell>
          <cell r="M30">
            <v>0</v>
          </cell>
          <cell r="T30">
            <v>1498</v>
          </cell>
          <cell r="U30">
            <v>617526802.72000003</v>
          </cell>
        </row>
        <row r="31">
          <cell r="D31">
            <v>1496</v>
          </cell>
          <cell r="E31" t="str">
            <v>其他流动资产</v>
          </cell>
          <cell r="F31">
            <v>0</v>
          </cell>
          <cell r="G31">
            <v>101903387.40000001</v>
          </cell>
          <cell r="H31">
            <v>13888230.59</v>
          </cell>
          <cell r="I31">
            <v>88015156.810000002</v>
          </cell>
          <cell r="J31">
            <v>208386136.91999999</v>
          </cell>
          <cell r="K31">
            <v>0</v>
          </cell>
          <cell r="L31">
            <v>0</v>
          </cell>
          <cell r="M31">
            <v>208386136.91999999</v>
          </cell>
          <cell r="T31">
            <v>1500</v>
          </cell>
        </row>
        <row r="32">
          <cell r="D32">
            <v>1498</v>
          </cell>
          <cell r="E32" t="str">
            <v>流动资产</v>
          </cell>
          <cell r="F32">
            <v>805403427.65999997</v>
          </cell>
          <cell r="G32">
            <v>-39582107.420000002</v>
          </cell>
          <cell r="H32">
            <v>134029584.87</v>
          </cell>
          <cell r="I32">
            <v>631791735.37</v>
          </cell>
          <cell r="J32">
            <v>617526802.72000003</v>
          </cell>
          <cell r="K32">
            <v>0</v>
          </cell>
          <cell r="L32">
            <v>0</v>
          </cell>
          <cell r="M32">
            <v>617526802.72000003</v>
          </cell>
          <cell r="T32">
            <v>1600</v>
          </cell>
          <cell r="U32">
            <v>0</v>
          </cell>
        </row>
        <row r="33">
          <cell r="D33">
            <v>1500</v>
          </cell>
          <cell r="E33" t="str">
            <v>非流动资产项目</v>
          </cell>
          <cell r="F33">
            <v>0</v>
          </cell>
          <cell r="G33">
            <v>0</v>
          </cell>
          <cell r="H33">
            <v>0</v>
          </cell>
          <cell r="J33">
            <v>0</v>
          </cell>
          <cell r="K33">
            <v>0</v>
          </cell>
          <cell r="L33">
            <v>0</v>
          </cell>
          <cell r="M33">
            <v>0</v>
          </cell>
          <cell r="T33">
            <v>1503</v>
          </cell>
          <cell r="U33">
            <v>0</v>
          </cell>
        </row>
        <row r="34">
          <cell r="D34">
            <v>1600</v>
          </cell>
          <cell r="E34" t="str">
            <v>发放委托贷款及垫款</v>
          </cell>
          <cell r="F34">
            <v>0</v>
          </cell>
          <cell r="G34">
            <v>0</v>
          </cell>
          <cell r="H34">
            <v>0</v>
          </cell>
          <cell r="I34">
            <v>0</v>
          </cell>
          <cell r="J34">
            <v>0</v>
          </cell>
          <cell r="K34">
            <v>0</v>
          </cell>
          <cell r="L34">
            <v>0</v>
          </cell>
          <cell r="M34">
            <v>0</v>
          </cell>
          <cell r="T34">
            <v>1501</v>
          </cell>
          <cell r="U34">
            <v>0</v>
          </cell>
        </row>
        <row r="35">
          <cell r="D35">
            <v>1503</v>
          </cell>
          <cell r="E35" t="str">
            <v>可供出售金融资产</v>
          </cell>
          <cell r="F35">
            <v>0</v>
          </cell>
          <cell r="G35">
            <v>0</v>
          </cell>
          <cell r="H35">
            <v>0</v>
          </cell>
          <cell r="I35">
            <v>0</v>
          </cell>
          <cell r="J35">
            <v>0</v>
          </cell>
          <cell r="K35">
            <v>0</v>
          </cell>
          <cell r="L35">
            <v>0</v>
          </cell>
          <cell r="M35">
            <v>0</v>
          </cell>
          <cell r="T35">
            <v>1531</v>
          </cell>
          <cell r="U35">
            <v>0</v>
          </cell>
        </row>
        <row r="36">
          <cell r="D36">
            <v>1501</v>
          </cell>
          <cell r="E36" t="str">
            <v>持有至到期投资</v>
          </cell>
          <cell r="F36">
            <v>0</v>
          </cell>
          <cell r="G36">
            <v>0</v>
          </cell>
          <cell r="H36">
            <v>0</v>
          </cell>
          <cell r="I36">
            <v>0</v>
          </cell>
          <cell r="J36">
            <v>0</v>
          </cell>
          <cell r="K36">
            <v>0</v>
          </cell>
          <cell r="L36">
            <v>0</v>
          </cell>
          <cell r="M36">
            <v>0</v>
          </cell>
          <cell r="T36">
            <v>1515</v>
          </cell>
          <cell r="U36">
            <v>0</v>
          </cell>
        </row>
        <row r="37">
          <cell r="D37">
            <v>1531</v>
          </cell>
          <cell r="E37" t="str">
            <v>长期应收款</v>
          </cell>
          <cell r="F37">
            <v>0</v>
          </cell>
          <cell r="G37">
            <v>0</v>
          </cell>
          <cell r="H37">
            <v>0</v>
          </cell>
          <cell r="I37">
            <v>0</v>
          </cell>
          <cell r="J37">
            <v>0</v>
          </cell>
          <cell r="K37">
            <v>0</v>
          </cell>
          <cell r="L37">
            <v>0</v>
          </cell>
          <cell r="M37">
            <v>0</v>
          </cell>
          <cell r="T37">
            <v>1511</v>
          </cell>
          <cell r="U37">
            <v>31000000</v>
          </cell>
        </row>
        <row r="38">
          <cell r="D38">
            <v>1515</v>
          </cell>
          <cell r="E38" t="str">
            <v>设定受益计划净资产</v>
          </cell>
          <cell r="F38">
            <v>0</v>
          </cell>
          <cell r="G38">
            <v>0</v>
          </cell>
          <cell r="H38">
            <v>0</v>
          </cell>
          <cell r="I38">
            <v>0</v>
          </cell>
          <cell r="J38">
            <v>0</v>
          </cell>
          <cell r="K38">
            <v>0</v>
          </cell>
          <cell r="L38">
            <v>0</v>
          </cell>
          <cell r="M38">
            <v>0</v>
          </cell>
          <cell r="T38">
            <v>1521</v>
          </cell>
          <cell r="U38">
            <v>0</v>
          </cell>
        </row>
        <row r="39">
          <cell r="D39">
            <v>1511</v>
          </cell>
          <cell r="E39" t="str">
            <v>长期股权投资</v>
          </cell>
          <cell r="F39">
            <v>58850000</v>
          </cell>
          <cell r="G39">
            <v>21420000</v>
          </cell>
          <cell r="H39">
            <v>0</v>
          </cell>
          <cell r="I39">
            <v>80270000</v>
          </cell>
          <cell r="J39">
            <v>31000000</v>
          </cell>
          <cell r="K39">
            <v>0</v>
          </cell>
          <cell r="L39">
            <v>0</v>
          </cell>
          <cell r="M39">
            <v>31000000</v>
          </cell>
          <cell r="T39">
            <v>1601</v>
          </cell>
          <cell r="U39">
            <v>7352333.0700000003</v>
          </cell>
        </row>
        <row r="40">
          <cell r="D40">
            <v>1521</v>
          </cell>
          <cell r="E40" t="str">
            <v>投资性房地产</v>
          </cell>
          <cell r="F40">
            <v>0</v>
          </cell>
          <cell r="G40">
            <v>0</v>
          </cell>
          <cell r="H40">
            <v>0</v>
          </cell>
          <cell r="I40">
            <v>0</v>
          </cell>
          <cell r="J40">
            <v>0</v>
          </cell>
          <cell r="K40">
            <v>0</v>
          </cell>
          <cell r="L40">
            <v>0</v>
          </cell>
          <cell r="M40">
            <v>0</v>
          </cell>
          <cell r="T40">
            <v>1604</v>
          </cell>
          <cell r="U40">
            <v>0</v>
          </cell>
        </row>
        <row r="41">
          <cell r="D41">
            <v>1611</v>
          </cell>
          <cell r="E41" t="str">
            <v>固定资产（报表项目）</v>
          </cell>
          <cell r="F41">
            <v>6707654.7800000003</v>
          </cell>
          <cell r="G41">
            <v>56294.79</v>
          </cell>
          <cell r="H41">
            <v>-101552.48</v>
          </cell>
          <cell r="I41">
            <v>6865502.0499999998</v>
          </cell>
          <cell r="J41">
            <v>7352333.0700000003</v>
          </cell>
          <cell r="K41">
            <v>0</v>
          </cell>
          <cell r="L41">
            <v>0</v>
          </cell>
          <cell r="M41">
            <v>7352333.0700000003</v>
          </cell>
          <cell r="T41">
            <v>1605</v>
          </cell>
          <cell r="U41">
            <v>0</v>
          </cell>
        </row>
        <row r="42">
          <cell r="D42">
            <v>1601</v>
          </cell>
          <cell r="E42" t="str">
            <v>固定资产</v>
          </cell>
          <cell r="F42">
            <v>6707654.7800000003</v>
          </cell>
          <cell r="G42">
            <v>56294.79</v>
          </cell>
          <cell r="H42">
            <v>-101552.48</v>
          </cell>
          <cell r="I42">
            <v>6865502.0499999998</v>
          </cell>
          <cell r="J42">
            <v>7352333.0700000003</v>
          </cell>
          <cell r="K42">
            <v>0</v>
          </cell>
          <cell r="L42">
            <v>0</v>
          </cell>
          <cell r="M42">
            <v>7352333.0700000003</v>
          </cell>
          <cell r="T42">
            <v>1606</v>
          </cell>
          <cell r="U42">
            <v>0</v>
          </cell>
        </row>
        <row r="43">
          <cell r="D43">
            <v>1606</v>
          </cell>
          <cell r="E43" t="str">
            <v>固定资产清理</v>
          </cell>
          <cell r="F43">
            <v>0</v>
          </cell>
          <cell r="G43">
            <v>0</v>
          </cell>
          <cell r="H43">
            <v>0</v>
          </cell>
          <cell r="I43">
            <v>0</v>
          </cell>
          <cell r="J43">
            <v>0</v>
          </cell>
          <cell r="K43">
            <v>0</v>
          </cell>
          <cell r="L43">
            <v>0</v>
          </cell>
          <cell r="M43">
            <v>0</v>
          </cell>
          <cell r="T43">
            <v>1621</v>
          </cell>
          <cell r="U43">
            <v>0</v>
          </cell>
        </row>
        <row r="44">
          <cell r="D44">
            <v>1616</v>
          </cell>
          <cell r="E44" t="str">
            <v>在建工程（报表项目）</v>
          </cell>
          <cell r="F44">
            <v>1618337.05</v>
          </cell>
          <cell r="G44">
            <v>-1618337.05</v>
          </cell>
          <cell r="H44">
            <v>0</v>
          </cell>
          <cell r="I44">
            <v>0</v>
          </cell>
          <cell r="J44">
            <v>0</v>
          </cell>
          <cell r="K44">
            <v>0</v>
          </cell>
          <cell r="L44">
            <v>0</v>
          </cell>
          <cell r="M44">
            <v>0</v>
          </cell>
          <cell r="T44">
            <v>1631</v>
          </cell>
          <cell r="U44">
            <v>0</v>
          </cell>
        </row>
        <row r="45">
          <cell r="D45">
            <v>1604</v>
          </cell>
          <cell r="E45" t="str">
            <v>在建工程</v>
          </cell>
          <cell r="F45">
            <v>1618337.05</v>
          </cell>
          <cell r="G45">
            <v>-1618337.05</v>
          </cell>
          <cell r="H45">
            <v>0</v>
          </cell>
          <cell r="I45">
            <v>0</v>
          </cell>
          <cell r="J45">
            <v>0</v>
          </cell>
          <cell r="K45">
            <v>0</v>
          </cell>
          <cell r="L45">
            <v>0</v>
          </cell>
          <cell r="M45">
            <v>0</v>
          </cell>
          <cell r="T45">
            <v>1701</v>
          </cell>
          <cell r="U45">
            <v>1908839.95</v>
          </cell>
        </row>
        <row r="46">
          <cell r="D46">
            <v>1605</v>
          </cell>
          <cell r="E46" t="str">
            <v>工程物资</v>
          </cell>
          <cell r="F46">
            <v>0</v>
          </cell>
          <cell r="G46">
            <v>0</v>
          </cell>
          <cell r="H46">
            <v>0</v>
          </cell>
          <cell r="I46">
            <v>0</v>
          </cell>
          <cell r="J46">
            <v>0</v>
          </cell>
          <cell r="K46">
            <v>0</v>
          </cell>
          <cell r="L46">
            <v>0</v>
          </cell>
          <cell r="M46">
            <v>0</v>
          </cell>
          <cell r="T46">
            <v>1700</v>
          </cell>
          <cell r="U46">
            <v>0</v>
          </cell>
        </row>
        <row r="47">
          <cell r="D47">
            <v>1621</v>
          </cell>
          <cell r="E47" t="str">
            <v>生产性生物资产</v>
          </cell>
          <cell r="F47">
            <v>0</v>
          </cell>
          <cell r="G47">
            <v>0</v>
          </cell>
          <cell r="H47">
            <v>0</v>
          </cell>
          <cell r="I47">
            <v>0</v>
          </cell>
          <cell r="J47">
            <v>0</v>
          </cell>
          <cell r="K47">
            <v>0</v>
          </cell>
          <cell r="L47">
            <v>0</v>
          </cell>
          <cell r="M47">
            <v>0</v>
          </cell>
          <cell r="T47">
            <v>1711</v>
          </cell>
          <cell r="U47">
            <v>0</v>
          </cell>
        </row>
        <row r="48">
          <cell r="D48">
            <v>1631</v>
          </cell>
          <cell r="E48" t="str">
            <v>油气资产</v>
          </cell>
          <cell r="F48">
            <v>0</v>
          </cell>
          <cell r="G48">
            <v>0</v>
          </cell>
          <cell r="H48">
            <v>0</v>
          </cell>
          <cell r="I48">
            <v>0</v>
          </cell>
          <cell r="J48">
            <v>0</v>
          </cell>
          <cell r="K48">
            <v>0</v>
          </cell>
          <cell r="L48">
            <v>0</v>
          </cell>
          <cell r="M48">
            <v>0</v>
          </cell>
          <cell r="T48">
            <v>1801</v>
          </cell>
          <cell r="U48">
            <v>401070.96</v>
          </cell>
        </row>
        <row r="49">
          <cell r="D49">
            <v>1701</v>
          </cell>
          <cell r="E49" t="str">
            <v>无形资产</v>
          </cell>
          <cell r="F49">
            <v>27303240.41</v>
          </cell>
          <cell r="G49">
            <v>10161.25</v>
          </cell>
          <cell r="H49">
            <v>25954049.579999998</v>
          </cell>
          <cell r="I49">
            <v>1359352.08</v>
          </cell>
          <cell r="J49">
            <v>1908839.95</v>
          </cell>
          <cell r="K49">
            <v>0</v>
          </cell>
          <cell r="L49">
            <v>0</v>
          </cell>
          <cell r="M49">
            <v>1908839.95</v>
          </cell>
          <cell r="T49">
            <v>1811</v>
          </cell>
          <cell r="U49">
            <v>8555245.1999999993</v>
          </cell>
        </row>
        <row r="50">
          <cell r="D50">
            <v>1700</v>
          </cell>
          <cell r="E50" t="str">
            <v>开发支出</v>
          </cell>
          <cell r="F50">
            <v>6173358.6299999999</v>
          </cell>
          <cell r="G50">
            <v>8575491.1199999992</v>
          </cell>
          <cell r="H50">
            <v>14748849.75</v>
          </cell>
          <cell r="I50">
            <v>0</v>
          </cell>
          <cell r="J50">
            <v>0</v>
          </cell>
          <cell r="K50">
            <v>0</v>
          </cell>
          <cell r="L50">
            <v>0</v>
          </cell>
          <cell r="M50">
            <v>0</v>
          </cell>
          <cell r="T50">
            <v>1996</v>
          </cell>
          <cell r="U50">
            <v>0</v>
          </cell>
        </row>
        <row r="51">
          <cell r="D51">
            <v>1711</v>
          </cell>
          <cell r="E51" t="str">
            <v>商誉</v>
          </cell>
          <cell r="F51">
            <v>0</v>
          </cell>
          <cell r="G51">
            <v>0</v>
          </cell>
          <cell r="H51">
            <v>0</v>
          </cell>
          <cell r="I51">
            <v>0</v>
          </cell>
          <cell r="J51">
            <v>0</v>
          </cell>
          <cell r="K51">
            <v>0</v>
          </cell>
          <cell r="L51">
            <v>0</v>
          </cell>
          <cell r="M51">
            <v>0</v>
          </cell>
          <cell r="T51">
            <v>1998</v>
          </cell>
          <cell r="U51">
            <v>49217489.18</v>
          </cell>
        </row>
        <row r="52">
          <cell r="D52">
            <v>1801</v>
          </cell>
          <cell r="E52" t="str">
            <v>长期待摊费用</v>
          </cell>
          <cell r="F52">
            <v>0</v>
          </cell>
          <cell r="G52">
            <v>353249.51</v>
          </cell>
          <cell r="H52">
            <v>211346.07</v>
          </cell>
          <cell r="I52">
            <v>141903.44</v>
          </cell>
          <cell r="J52">
            <v>401070.96</v>
          </cell>
          <cell r="K52">
            <v>0</v>
          </cell>
          <cell r="L52">
            <v>0</v>
          </cell>
          <cell r="M52">
            <v>401070.96</v>
          </cell>
          <cell r="T52">
            <v>1999</v>
          </cell>
          <cell r="U52">
            <v>666744291.89999998</v>
          </cell>
        </row>
        <row r="53">
          <cell r="D53">
            <v>1811</v>
          </cell>
          <cell r="E53" t="str">
            <v>递延所得税资产</v>
          </cell>
          <cell r="F53">
            <v>5128578.54</v>
          </cell>
          <cell r="G53">
            <v>7002218.3600000003</v>
          </cell>
          <cell r="H53">
            <v>0</v>
          </cell>
          <cell r="I53">
            <v>12130796.9</v>
          </cell>
          <cell r="J53">
            <v>5983853.6699999999</v>
          </cell>
          <cell r="K53">
            <v>0</v>
          </cell>
          <cell r="L53">
            <v>0</v>
          </cell>
          <cell r="M53">
            <v>5983853.6699999999</v>
          </cell>
          <cell r="T53">
            <v>2000</v>
          </cell>
          <cell r="U53">
            <v>0</v>
          </cell>
        </row>
        <row r="54">
          <cell r="D54">
            <v>1996</v>
          </cell>
          <cell r="E54" t="str">
            <v>其他非流动资产</v>
          </cell>
          <cell r="F54">
            <v>0</v>
          </cell>
          <cell r="G54">
            <v>12893098.49</v>
          </cell>
          <cell r="H54">
            <v>0</v>
          </cell>
          <cell r="I54">
            <v>12893098.49</v>
          </cell>
          <cell r="J54">
            <v>0</v>
          </cell>
          <cell r="K54">
            <v>0</v>
          </cell>
          <cell r="L54">
            <v>0</v>
          </cell>
          <cell r="M54">
            <v>0</v>
          </cell>
          <cell r="T54">
            <v>2001</v>
          </cell>
          <cell r="U54">
            <v>60318652.869999997</v>
          </cell>
        </row>
        <row r="55">
          <cell r="D55">
            <v>1998</v>
          </cell>
          <cell r="E55" t="str">
            <v>非流动资产</v>
          </cell>
          <cell r="F55">
            <v>105781169.41</v>
          </cell>
          <cell r="G55">
            <v>48692176.469999999</v>
          </cell>
          <cell r="H55">
            <v>40812692.920000002</v>
          </cell>
          <cell r="I55">
            <v>113660652.95999999</v>
          </cell>
          <cell r="J55">
            <v>46646097.649999999</v>
          </cell>
          <cell r="K55">
            <v>0</v>
          </cell>
          <cell r="L55">
            <v>0</v>
          </cell>
          <cell r="M55">
            <v>46646097.649999999</v>
          </cell>
          <cell r="T55">
            <v>2004</v>
          </cell>
          <cell r="U55">
            <v>0</v>
          </cell>
        </row>
        <row r="56">
          <cell r="D56">
            <v>1999</v>
          </cell>
          <cell r="E56" t="str">
            <v>资产</v>
          </cell>
          <cell r="F56">
            <v>911184597.07000005</v>
          </cell>
          <cell r="G56">
            <v>9110069.0500000007</v>
          </cell>
          <cell r="H56">
            <v>174842277.78999999</v>
          </cell>
          <cell r="I56">
            <v>745452388.33000004</v>
          </cell>
          <cell r="J56">
            <v>664172900.37</v>
          </cell>
          <cell r="K56">
            <v>0</v>
          </cell>
          <cell r="L56">
            <v>0</v>
          </cell>
          <cell r="M56">
            <v>664172900.37</v>
          </cell>
          <cell r="T56">
            <v>2010</v>
          </cell>
          <cell r="U56">
            <v>0</v>
          </cell>
        </row>
        <row r="57">
          <cell r="D57">
            <v>2000</v>
          </cell>
          <cell r="E57" t="str">
            <v>流动负债项目</v>
          </cell>
          <cell r="G57">
            <v>0</v>
          </cell>
          <cell r="H57">
            <v>0</v>
          </cell>
          <cell r="I57">
            <v>0</v>
          </cell>
          <cell r="K57">
            <v>0</v>
          </cell>
          <cell r="L57">
            <v>0</v>
          </cell>
          <cell r="T57">
            <v>2003</v>
          </cell>
          <cell r="U57">
            <v>0</v>
          </cell>
        </row>
        <row r="58">
          <cell r="D58">
            <v>2001</v>
          </cell>
          <cell r="E58" t="str">
            <v>短期借款</v>
          </cell>
          <cell r="F58">
            <v>25361905.199999999</v>
          </cell>
          <cell r="G58">
            <v>6000000</v>
          </cell>
          <cell r="H58">
            <v>0</v>
          </cell>
          <cell r="I58">
            <v>19361905.199999999</v>
          </cell>
          <cell r="J58">
            <v>60318652.869999997</v>
          </cell>
          <cell r="K58">
            <v>0</v>
          </cell>
          <cell r="L58">
            <v>0</v>
          </cell>
          <cell r="M58">
            <v>60318652.869999997</v>
          </cell>
          <cell r="T58">
            <v>2101</v>
          </cell>
          <cell r="U58">
            <v>0</v>
          </cell>
        </row>
        <row r="59">
          <cell r="D59">
            <v>2004</v>
          </cell>
          <cell r="E59" t="str">
            <v>向中央银行借款</v>
          </cell>
          <cell r="F59">
            <v>0</v>
          </cell>
          <cell r="G59">
            <v>0</v>
          </cell>
          <cell r="H59">
            <v>0</v>
          </cell>
          <cell r="I59">
            <v>0</v>
          </cell>
          <cell r="J59">
            <v>0</v>
          </cell>
          <cell r="K59">
            <v>0</v>
          </cell>
          <cell r="L59">
            <v>0</v>
          </cell>
          <cell r="M59">
            <v>0</v>
          </cell>
          <cell r="T59">
            <v>2115</v>
          </cell>
          <cell r="U59">
            <v>0</v>
          </cell>
        </row>
        <row r="60">
          <cell r="D60">
            <v>2010</v>
          </cell>
          <cell r="E60" t="str">
            <v>吸收存款及同业存放</v>
          </cell>
          <cell r="F60">
            <v>0</v>
          </cell>
          <cell r="G60">
            <v>0</v>
          </cell>
          <cell r="H60">
            <v>0</v>
          </cell>
          <cell r="I60">
            <v>0</v>
          </cell>
          <cell r="J60">
            <v>0</v>
          </cell>
          <cell r="K60">
            <v>0</v>
          </cell>
          <cell r="L60">
            <v>0</v>
          </cell>
          <cell r="M60">
            <v>0</v>
          </cell>
          <cell r="T60">
            <v>2201</v>
          </cell>
          <cell r="U60">
            <v>0</v>
          </cell>
        </row>
        <row r="61">
          <cell r="D61">
            <v>2003</v>
          </cell>
          <cell r="E61" t="str">
            <v>拆入资金</v>
          </cell>
          <cell r="F61">
            <v>0</v>
          </cell>
          <cell r="G61">
            <v>0</v>
          </cell>
          <cell r="H61">
            <v>0</v>
          </cell>
          <cell r="I61">
            <v>0</v>
          </cell>
          <cell r="J61">
            <v>0</v>
          </cell>
          <cell r="K61">
            <v>0</v>
          </cell>
          <cell r="L61">
            <v>0</v>
          </cell>
          <cell r="M61">
            <v>0</v>
          </cell>
          <cell r="T61">
            <v>2202</v>
          </cell>
          <cell r="U61">
            <v>51278748.18</v>
          </cell>
        </row>
        <row r="62">
          <cell r="D62">
            <v>2101</v>
          </cell>
          <cell r="E62" t="str">
            <v>以公允价值计量且其变动计入当期损益的金融负债</v>
          </cell>
          <cell r="F62">
            <v>0</v>
          </cell>
          <cell r="G62">
            <v>0</v>
          </cell>
          <cell r="H62">
            <v>0</v>
          </cell>
          <cell r="I62">
            <v>0</v>
          </cell>
          <cell r="J62">
            <v>0</v>
          </cell>
          <cell r="K62">
            <v>0</v>
          </cell>
          <cell r="L62">
            <v>0</v>
          </cell>
          <cell r="M62">
            <v>0</v>
          </cell>
          <cell r="T62">
            <v>2205</v>
          </cell>
          <cell r="U62">
            <v>129571605.23</v>
          </cell>
        </row>
        <row r="63">
          <cell r="D63">
            <v>2115</v>
          </cell>
          <cell r="E63" t="str">
            <v>衍生金融负债</v>
          </cell>
          <cell r="F63">
            <v>0</v>
          </cell>
          <cell r="G63">
            <v>0</v>
          </cell>
          <cell r="H63">
            <v>0</v>
          </cell>
          <cell r="I63">
            <v>0</v>
          </cell>
          <cell r="J63">
            <v>0</v>
          </cell>
          <cell r="K63">
            <v>0</v>
          </cell>
          <cell r="L63">
            <v>0</v>
          </cell>
          <cell r="M63">
            <v>0</v>
          </cell>
          <cell r="T63">
            <v>2111</v>
          </cell>
          <cell r="U63">
            <v>0</v>
          </cell>
        </row>
        <row r="64">
          <cell r="D64">
            <v>2203</v>
          </cell>
          <cell r="E64" t="str">
            <v>应付票据及应付账款</v>
          </cell>
          <cell r="F64">
            <v>218924741.46000001</v>
          </cell>
          <cell r="G64">
            <v>35816852.759999998</v>
          </cell>
          <cell r="H64">
            <v>-102108408.03</v>
          </cell>
          <cell r="I64">
            <v>80999480.670000002</v>
          </cell>
          <cell r="J64">
            <v>51278748.18</v>
          </cell>
          <cell r="K64">
            <v>0</v>
          </cell>
          <cell r="L64">
            <v>0</v>
          </cell>
          <cell r="M64">
            <v>51278748.18</v>
          </cell>
          <cell r="T64">
            <v>2240</v>
          </cell>
          <cell r="U64">
            <v>0</v>
          </cell>
        </row>
        <row r="65">
          <cell r="D65">
            <v>2201</v>
          </cell>
          <cell r="E65" t="str">
            <v>应付票据</v>
          </cell>
          <cell r="F65">
            <v>25277242.879999999</v>
          </cell>
          <cell r="G65">
            <v>2781391</v>
          </cell>
          <cell r="H65">
            <v>0</v>
          </cell>
          <cell r="I65">
            <v>22495851.879999999</v>
          </cell>
          <cell r="J65">
            <v>0</v>
          </cell>
          <cell r="K65">
            <v>0</v>
          </cell>
          <cell r="L65">
            <v>0</v>
          </cell>
          <cell r="M65">
            <v>0</v>
          </cell>
          <cell r="T65">
            <v>2211</v>
          </cell>
          <cell r="U65">
            <v>5681263.0800000001</v>
          </cell>
        </row>
        <row r="66">
          <cell r="D66">
            <v>2202</v>
          </cell>
          <cell r="E66" t="str">
            <v>应付账款</v>
          </cell>
          <cell r="F66">
            <v>193647498.58000001</v>
          </cell>
          <cell r="G66">
            <v>33035461.760000002</v>
          </cell>
          <cell r="H66">
            <v>-102108408.03</v>
          </cell>
          <cell r="I66">
            <v>58503628.789999999</v>
          </cell>
          <cell r="J66">
            <v>51278748.18</v>
          </cell>
          <cell r="K66">
            <v>0</v>
          </cell>
          <cell r="L66">
            <v>0</v>
          </cell>
          <cell r="M66">
            <v>51278748.18</v>
          </cell>
          <cell r="T66">
            <v>2221</v>
          </cell>
          <cell r="U66">
            <v>11668543.33</v>
          </cell>
        </row>
        <row r="67">
          <cell r="D67">
            <v>2205</v>
          </cell>
          <cell r="E67" t="str">
            <v>预收款项</v>
          </cell>
          <cell r="F67">
            <v>44236187.990000002</v>
          </cell>
          <cell r="G67">
            <v>3200000</v>
          </cell>
          <cell r="H67">
            <v>61612744.57</v>
          </cell>
          <cell r="I67">
            <v>102648932.56</v>
          </cell>
          <cell r="J67">
            <v>129571605.23</v>
          </cell>
          <cell r="K67">
            <v>0</v>
          </cell>
          <cell r="L67">
            <v>0</v>
          </cell>
          <cell r="M67">
            <v>129571605.23</v>
          </cell>
          <cell r="T67">
            <v>2231</v>
          </cell>
          <cell r="U67">
            <v>185804.42</v>
          </cell>
        </row>
        <row r="68">
          <cell r="D68">
            <v>2111</v>
          </cell>
          <cell r="E68" t="str">
            <v>卖出回购金融资产款</v>
          </cell>
          <cell r="F68">
            <v>0</v>
          </cell>
          <cell r="G68">
            <v>0</v>
          </cell>
          <cell r="H68">
            <v>0</v>
          </cell>
          <cell r="I68">
            <v>0</v>
          </cell>
          <cell r="J68">
            <v>0</v>
          </cell>
          <cell r="K68">
            <v>0</v>
          </cell>
          <cell r="L68">
            <v>0</v>
          </cell>
          <cell r="M68">
            <v>0</v>
          </cell>
          <cell r="T68">
            <v>2232</v>
          </cell>
          <cell r="U68">
            <v>0</v>
          </cell>
        </row>
        <row r="69">
          <cell r="D69">
            <v>2240</v>
          </cell>
          <cell r="E69" t="str">
            <v>应付手续费及佣金</v>
          </cell>
          <cell r="F69">
            <v>0</v>
          </cell>
          <cell r="G69">
            <v>0</v>
          </cell>
          <cell r="H69">
            <v>0</v>
          </cell>
          <cell r="I69">
            <v>0</v>
          </cell>
          <cell r="J69">
            <v>0</v>
          </cell>
          <cell r="K69">
            <v>0</v>
          </cell>
          <cell r="L69">
            <v>0</v>
          </cell>
          <cell r="M69">
            <v>0</v>
          </cell>
          <cell r="T69">
            <v>2241</v>
          </cell>
          <cell r="U69">
            <v>2627873.04</v>
          </cell>
        </row>
        <row r="70">
          <cell r="D70">
            <v>2211</v>
          </cell>
          <cell r="E70" t="str">
            <v>应付职工薪酬</v>
          </cell>
          <cell r="F70">
            <v>3172045.68</v>
          </cell>
          <cell r="G70">
            <v>338054.05</v>
          </cell>
          <cell r="H70">
            <v>324845.17</v>
          </cell>
          <cell r="I70">
            <v>3158836.8</v>
          </cell>
          <cell r="J70">
            <v>5681263.0800000001</v>
          </cell>
          <cell r="K70">
            <v>0</v>
          </cell>
          <cell r="L70">
            <v>0</v>
          </cell>
          <cell r="M70">
            <v>5681263.0800000001</v>
          </cell>
          <cell r="T70">
            <v>2261</v>
          </cell>
          <cell r="U70">
            <v>0</v>
          </cell>
        </row>
        <row r="71">
          <cell r="D71">
            <v>2221</v>
          </cell>
          <cell r="E71" t="str">
            <v>应交税费</v>
          </cell>
          <cell r="F71">
            <v>24657028.59</v>
          </cell>
          <cell r="G71">
            <v>0</v>
          </cell>
          <cell r="H71">
            <v>-13034677.18</v>
          </cell>
          <cell r="I71">
            <v>11622351.41</v>
          </cell>
          <cell r="J71">
            <v>11668543.33</v>
          </cell>
          <cell r="K71">
            <v>0</v>
          </cell>
          <cell r="L71">
            <v>0</v>
          </cell>
          <cell r="M71">
            <v>11668543.33</v>
          </cell>
          <cell r="T71">
            <v>2310</v>
          </cell>
          <cell r="U71">
            <v>0</v>
          </cell>
        </row>
        <row r="72">
          <cell r="D72">
            <v>2246</v>
          </cell>
          <cell r="E72" t="str">
            <v>其他应付款（报表项目）</v>
          </cell>
          <cell r="F72">
            <v>2434194.2200000002</v>
          </cell>
          <cell r="G72">
            <v>0</v>
          </cell>
          <cell r="H72">
            <v>27412176.399999999</v>
          </cell>
          <cell r="I72">
            <v>29846370.620000001</v>
          </cell>
          <cell r="J72">
            <v>2813677.46</v>
          </cell>
          <cell r="K72">
            <v>0</v>
          </cell>
          <cell r="L72">
            <v>0</v>
          </cell>
          <cell r="M72">
            <v>2813677.46</v>
          </cell>
          <cell r="T72">
            <v>2311</v>
          </cell>
          <cell r="U72">
            <v>0</v>
          </cell>
        </row>
        <row r="73">
          <cell r="D73">
            <v>2231</v>
          </cell>
          <cell r="E73" t="str">
            <v>应付利息</v>
          </cell>
          <cell r="F73">
            <v>0</v>
          </cell>
          <cell r="G73">
            <v>0</v>
          </cell>
          <cell r="H73">
            <v>506259.69</v>
          </cell>
          <cell r="I73">
            <v>506259.69</v>
          </cell>
          <cell r="J73">
            <v>185804.42</v>
          </cell>
          <cell r="K73">
            <v>0</v>
          </cell>
          <cell r="L73">
            <v>0</v>
          </cell>
          <cell r="M73">
            <v>185804.42</v>
          </cell>
          <cell r="T73">
            <v>2312</v>
          </cell>
          <cell r="U73">
            <v>0</v>
          </cell>
        </row>
        <row r="74">
          <cell r="D74">
            <v>2232</v>
          </cell>
          <cell r="E74" t="str">
            <v>应付股利</v>
          </cell>
          <cell r="F74">
            <v>0</v>
          </cell>
          <cell r="G74">
            <v>0</v>
          </cell>
          <cell r="H74">
            <v>0</v>
          </cell>
          <cell r="I74">
            <v>0</v>
          </cell>
          <cell r="J74">
            <v>0</v>
          </cell>
          <cell r="K74">
            <v>0</v>
          </cell>
          <cell r="L74">
            <v>0</v>
          </cell>
          <cell r="M74">
            <v>0</v>
          </cell>
          <cell r="T74">
            <v>2315</v>
          </cell>
          <cell r="U74">
            <v>0</v>
          </cell>
        </row>
        <row r="75">
          <cell r="D75">
            <v>2241</v>
          </cell>
          <cell r="E75" t="str">
            <v>其他应付款</v>
          </cell>
          <cell r="F75">
            <v>2434194.2200000002</v>
          </cell>
          <cell r="G75">
            <v>0</v>
          </cell>
          <cell r="H75">
            <v>26905916.710000001</v>
          </cell>
          <cell r="I75">
            <v>29340110.93</v>
          </cell>
          <cell r="J75">
            <v>2627873.04</v>
          </cell>
          <cell r="K75">
            <v>0</v>
          </cell>
          <cell r="L75">
            <v>0</v>
          </cell>
          <cell r="M75">
            <v>2627873.04</v>
          </cell>
          <cell r="T75">
            <v>2395</v>
          </cell>
          <cell r="U75">
            <v>0</v>
          </cell>
        </row>
        <row r="76">
          <cell r="D76">
            <v>2261</v>
          </cell>
          <cell r="E76" t="str">
            <v>应付分保账款</v>
          </cell>
          <cell r="F76">
            <v>0</v>
          </cell>
          <cell r="G76">
            <v>0</v>
          </cell>
          <cell r="H76">
            <v>0</v>
          </cell>
          <cell r="I76">
            <v>0</v>
          </cell>
          <cell r="J76">
            <v>0</v>
          </cell>
          <cell r="K76">
            <v>0</v>
          </cell>
          <cell r="L76">
            <v>0</v>
          </cell>
          <cell r="M76">
            <v>0</v>
          </cell>
          <cell r="T76">
            <v>2396</v>
          </cell>
          <cell r="U76">
            <v>0</v>
          </cell>
        </row>
        <row r="77">
          <cell r="D77">
            <v>2310</v>
          </cell>
          <cell r="E77" t="str">
            <v>保险合同准备金</v>
          </cell>
          <cell r="F77">
            <v>0</v>
          </cell>
          <cell r="G77">
            <v>0</v>
          </cell>
          <cell r="H77">
            <v>0</v>
          </cell>
          <cell r="I77">
            <v>0</v>
          </cell>
          <cell r="J77">
            <v>0</v>
          </cell>
          <cell r="K77">
            <v>0</v>
          </cell>
          <cell r="L77">
            <v>0</v>
          </cell>
          <cell r="M77">
            <v>0</v>
          </cell>
          <cell r="T77">
            <v>2498</v>
          </cell>
          <cell r="U77">
            <v>261332490.15000001</v>
          </cell>
        </row>
        <row r="78">
          <cell r="D78">
            <v>2311</v>
          </cell>
          <cell r="E78" t="str">
            <v>代理买卖证券款</v>
          </cell>
          <cell r="F78">
            <v>0</v>
          </cell>
          <cell r="G78">
            <v>0</v>
          </cell>
          <cell r="H78">
            <v>0</v>
          </cell>
          <cell r="I78">
            <v>0</v>
          </cell>
          <cell r="J78">
            <v>0</v>
          </cell>
          <cell r="K78">
            <v>0</v>
          </cell>
          <cell r="L78">
            <v>0</v>
          </cell>
          <cell r="M78">
            <v>0</v>
          </cell>
          <cell r="T78">
            <v>2500</v>
          </cell>
        </row>
        <row r="79">
          <cell r="D79">
            <v>2312</v>
          </cell>
          <cell r="E79" t="str">
            <v>代理承销证券款</v>
          </cell>
          <cell r="F79">
            <v>0</v>
          </cell>
          <cell r="G79">
            <v>0</v>
          </cell>
          <cell r="H79">
            <v>0</v>
          </cell>
          <cell r="I79">
            <v>0</v>
          </cell>
          <cell r="J79">
            <v>0</v>
          </cell>
          <cell r="K79">
            <v>0</v>
          </cell>
          <cell r="L79">
            <v>0</v>
          </cell>
          <cell r="M79">
            <v>0</v>
          </cell>
          <cell r="T79">
            <v>2501</v>
          </cell>
          <cell r="U79">
            <v>15000000</v>
          </cell>
        </row>
        <row r="80">
          <cell r="D80">
            <v>2315</v>
          </cell>
          <cell r="E80" t="str">
            <v>持有待售负债</v>
          </cell>
          <cell r="F80">
            <v>0</v>
          </cell>
          <cell r="G80">
            <v>0</v>
          </cell>
          <cell r="H80">
            <v>0</v>
          </cell>
          <cell r="I80">
            <v>0</v>
          </cell>
          <cell r="J80">
            <v>0</v>
          </cell>
          <cell r="K80">
            <v>0</v>
          </cell>
          <cell r="L80">
            <v>0</v>
          </cell>
          <cell r="M80">
            <v>0</v>
          </cell>
          <cell r="T80">
            <v>2502</v>
          </cell>
          <cell r="U80">
            <v>0</v>
          </cell>
        </row>
        <row r="81">
          <cell r="D81">
            <v>2395</v>
          </cell>
          <cell r="E81" t="str">
            <v>一年内到期的非流动负债</v>
          </cell>
          <cell r="F81">
            <v>0</v>
          </cell>
          <cell r="G81">
            <v>0</v>
          </cell>
          <cell r="H81">
            <v>10000000</v>
          </cell>
          <cell r="I81">
            <v>10000000</v>
          </cell>
          <cell r="J81">
            <v>0</v>
          </cell>
          <cell r="K81">
            <v>0</v>
          </cell>
          <cell r="L81">
            <v>0</v>
          </cell>
          <cell r="M81">
            <v>0</v>
          </cell>
          <cell r="T81">
            <v>2502.11</v>
          </cell>
          <cell r="U81">
            <v>0</v>
          </cell>
        </row>
        <row r="82">
          <cell r="D82">
            <v>2396</v>
          </cell>
          <cell r="E82" t="str">
            <v>其他流动负债</v>
          </cell>
          <cell r="F82">
            <v>0</v>
          </cell>
          <cell r="G82">
            <v>0</v>
          </cell>
          <cell r="H82">
            <v>0</v>
          </cell>
          <cell r="I82">
            <v>0</v>
          </cell>
          <cell r="J82">
            <v>0</v>
          </cell>
          <cell r="K82">
            <v>0</v>
          </cell>
          <cell r="L82">
            <v>0</v>
          </cell>
          <cell r="M82">
            <v>0</v>
          </cell>
          <cell r="T82">
            <v>2502.31</v>
          </cell>
          <cell r="U82">
            <v>0</v>
          </cell>
        </row>
        <row r="83">
          <cell r="D83">
            <v>2498</v>
          </cell>
          <cell r="E83" t="str">
            <v>流动负债</v>
          </cell>
          <cell r="F83">
            <v>318786103.13999999</v>
          </cell>
          <cell r="G83">
            <v>45354906.810000002</v>
          </cell>
          <cell r="H83">
            <v>-15793319.07</v>
          </cell>
          <cell r="I83">
            <v>257637877.25999999</v>
          </cell>
          <cell r="J83">
            <v>261332490.15000001</v>
          </cell>
          <cell r="K83">
            <v>0</v>
          </cell>
          <cell r="L83">
            <v>0</v>
          </cell>
          <cell r="M83">
            <v>261332490.15000001</v>
          </cell>
          <cell r="T83">
            <v>2701</v>
          </cell>
          <cell r="U83">
            <v>0</v>
          </cell>
        </row>
        <row r="84">
          <cell r="D84">
            <v>2500</v>
          </cell>
          <cell r="E84" t="str">
            <v>非流动负债项目</v>
          </cell>
          <cell r="F84">
            <v>0</v>
          </cell>
          <cell r="G84">
            <v>0</v>
          </cell>
          <cell r="H84">
            <v>0</v>
          </cell>
          <cell r="J84">
            <v>0</v>
          </cell>
          <cell r="K84">
            <v>0</v>
          </cell>
          <cell r="L84">
            <v>0</v>
          </cell>
          <cell r="M84">
            <v>0</v>
          </cell>
          <cell r="T84">
            <v>2715</v>
          </cell>
          <cell r="U84">
            <v>0</v>
          </cell>
        </row>
        <row r="85">
          <cell r="D85">
            <v>2501</v>
          </cell>
          <cell r="E85" t="str">
            <v>长期借款</v>
          </cell>
          <cell r="F85">
            <v>10000000</v>
          </cell>
          <cell r="G85">
            <v>10000000</v>
          </cell>
          <cell r="H85">
            <v>0</v>
          </cell>
          <cell r="I85">
            <v>0</v>
          </cell>
          <cell r="J85">
            <v>15000000</v>
          </cell>
          <cell r="K85">
            <v>0</v>
          </cell>
          <cell r="L85">
            <v>0</v>
          </cell>
          <cell r="M85">
            <v>15000000</v>
          </cell>
          <cell r="T85">
            <v>2711</v>
          </cell>
          <cell r="U85">
            <v>0</v>
          </cell>
        </row>
        <row r="86">
          <cell r="D86">
            <v>2502</v>
          </cell>
          <cell r="E86" t="str">
            <v>应付债券</v>
          </cell>
          <cell r="F86">
            <v>49500000</v>
          </cell>
          <cell r="G86">
            <v>800000</v>
          </cell>
          <cell r="H86">
            <v>76837.77</v>
          </cell>
          <cell r="I86">
            <v>48776837.770000003</v>
          </cell>
          <cell r="J86">
            <v>0</v>
          </cell>
          <cell r="K86">
            <v>0</v>
          </cell>
          <cell r="L86">
            <v>0</v>
          </cell>
          <cell r="M86">
            <v>0</v>
          </cell>
          <cell r="T86">
            <v>2801</v>
          </cell>
          <cell r="U86">
            <v>4348108.49</v>
          </cell>
        </row>
        <row r="87">
          <cell r="D87">
            <v>2502.11</v>
          </cell>
          <cell r="E87" t="str">
            <v>应付债券_优先股</v>
          </cell>
          <cell r="F87">
            <v>0</v>
          </cell>
          <cell r="G87">
            <v>0</v>
          </cell>
          <cell r="H87">
            <v>0</v>
          </cell>
          <cell r="I87">
            <v>0</v>
          </cell>
          <cell r="J87">
            <v>0</v>
          </cell>
          <cell r="K87">
            <v>0</v>
          </cell>
          <cell r="L87">
            <v>0</v>
          </cell>
          <cell r="M87">
            <v>0</v>
          </cell>
          <cell r="T87">
            <v>2401</v>
          </cell>
          <cell r="U87">
            <v>492500</v>
          </cell>
        </row>
        <row r="88">
          <cell r="D88">
            <v>2502.31</v>
          </cell>
          <cell r="E88" t="str">
            <v>应付债券_永续债</v>
          </cell>
          <cell r="F88">
            <v>0</v>
          </cell>
          <cell r="G88">
            <v>0</v>
          </cell>
          <cell r="H88">
            <v>0</v>
          </cell>
          <cell r="I88">
            <v>0</v>
          </cell>
          <cell r="J88">
            <v>0</v>
          </cell>
          <cell r="K88">
            <v>0</v>
          </cell>
          <cell r="L88">
            <v>0</v>
          </cell>
          <cell r="M88">
            <v>0</v>
          </cell>
          <cell r="T88">
            <v>2901</v>
          </cell>
          <cell r="U88">
            <v>0</v>
          </cell>
        </row>
        <row r="89">
          <cell r="D89">
            <v>2706</v>
          </cell>
          <cell r="E89" t="str">
            <v>长期应付款（报表项目）</v>
          </cell>
          <cell r="F89">
            <v>0</v>
          </cell>
          <cell r="G89">
            <v>0</v>
          </cell>
          <cell r="H89">
            <v>0</v>
          </cell>
          <cell r="I89">
            <v>0</v>
          </cell>
          <cell r="J89">
            <v>0</v>
          </cell>
          <cell r="K89">
            <v>0</v>
          </cell>
          <cell r="L89">
            <v>0</v>
          </cell>
          <cell r="M89">
            <v>0</v>
          </cell>
          <cell r="T89">
            <v>2996</v>
          </cell>
          <cell r="U89">
            <v>0</v>
          </cell>
        </row>
        <row r="90">
          <cell r="D90">
            <v>2701</v>
          </cell>
          <cell r="E90" t="str">
            <v>长期应付款</v>
          </cell>
          <cell r="F90">
            <v>0</v>
          </cell>
          <cell r="G90">
            <v>0</v>
          </cell>
          <cell r="H90">
            <v>0</v>
          </cell>
          <cell r="I90">
            <v>0</v>
          </cell>
          <cell r="J90">
            <v>0</v>
          </cell>
          <cell r="K90">
            <v>0</v>
          </cell>
          <cell r="L90">
            <v>0</v>
          </cell>
          <cell r="M90">
            <v>0</v>
          </cell>
          <cell r="T90">
            <v>2998</v>
          </cell>
          <cell r="U90">
            <v>19840608.489999998</v>
          </cell>
        </row>
        <row r="91">
          <cell r="D91">
            <v>2711</v>
          </cell>
          <cell r="E91" t="str">
            <v>专项应付款</v>
          </cell>
          <cell r="F91">
            <v>0</v>
          </cell>
          <cell r="G91">
            <v>0</v>
          </cell>
          <cell r="H91">
            <v>0</v>
          </cell>
          <cell r="I91">
            <v>0</v>
          </cell>
          <cell r="J91">
            <v>0</v>
          </cell>
          <cell r="K91">
            <v>0</v>
          </cell>
          <cell r="L91">
            <v>0</v>
          </cell>
          <cell r="M91">
            <v>0</v>
          </cell>
          <cell r="T91">
            <v>2999</v>
          </cell>
          <cell r="U91">
            <v>281173098.63999999</v>
          </cell>
        </row>
        <row r="92">
          <cell r="D92">
            <v>2715</v>
          </cell>
          <cell r="E92" t="str">
            <v>长期应付职工薪酬</v>
          </cell>
          <cell r="F92">
            <v>0</v>
          </cell>
          <cell r="G92">
            <v>0</v>
          </cell>
          <cell r="H92">
            <v>0</v>
          </cell>
          <cell r="I92">
            <v>0</v>
          </cell>
          <cell r="J92">
            <v>0</v>
          </cell>
          <cell r="K92">
            <v>0</v>
          </cell>
          <cell r="L92">
            <v>0</v>
          </cell>
          <cell r="M92">
            <v>0</v>
          </cell>
          <cell r="T92">
            <v>4000</v>
          </cell>
        </row>
        <row r="93">
          <cell r="D93">
            <v>2801</v>
          </cell>
          <cell r="E93" t="str">
            <v>预计负债</v>
          </cell>
          <cell r="F93">
            <v>600000</v>
          </cell>
          <cell r="G93">
            <v>0</v>
          </cell>
          <cell r="H93">
            <v>4636632.12</v>
          </cell>
          <cell r="I93">
            <v>5236632.12</v>
          </cell>
          <cell r="J93">
            <v>4348108.49</v>
          </cell>
          <cell r="K93">
            <v>0</v>
          </cell>
          <cell r="L93">
            <v>0</v>
          </cell>
          <cell r="M93">
            <v>4348108.49</v>
          </cell>
          <cell r="T93">
            <v>4001</v>
          </cell>
          <cell r="U93">
            <v>360000000</v>
          </cell>
        </row>
        <row r="94">
          <cell r="D94">
            <v>2401</v>
          </cell>
          <cell r="E94" t="str">
            <v>递延收益</v>
          </cell>
          <cell r="F94">
            <v>0</v>
          </cell>
          <cell r="G94">
            <v>-117500</v>
          </cell>
          <cell r="H94">
            <v>195000</v>
          </cell>
          <cell r="I94">
            <v>312500</v>
          </cell>
          <cell r="J94">
            <v>492500</v>
          </cell>
          <cell r="K94">
            <v>0</v>
          </cell>
          <cell r="L94">
            <v>0</v>
          </cell>
          <cell r="M94">
            <v>492500</v>
          </cell>
          <cell r="T94">
            <v>4015</v>
          </cell>
          <cell r="U94">
            <v>0</v>
          </cell>
        </row>
        <row r="95">
          <cell r="D95">
            <v>2901</v>
          </cell>
          <cell r="E95" t="str">
            <v>递延所得税负债</v>
          </cell>
          <cell r="F95">
            <v>0</v>
          </cell>
          <cell r="G95">
            <v>0</v>
          </cell>
          <cell r="H95">
            <v>0</v>
          </cell>
          <cell r="I95">
            <v>0</v>
          </cell>
          <cell r="J95">
            <v>0</v>
          </cell>
          <cell r="K95">
            <v>0</v>
          </cell>
          <cell r="L95">
            <v>0</v>
          </cell>
          <cell r="M95">
            <v>0</v>
          </cell>
          <cell r="T95">
            <v>4015.11</v>
          </cell>
          <cell r="U95">
            <v>0</v>
          </cell>
        </row>
        <row r="96">
          <cell r="D96">
            <v>2996</v>
          </cell>
          <cell r="E96" t="str">
            <v>其他非流动负债</v>
          </cell>
          <cell r="F96">
            <v>195000</v>
          </cell>
          <cell r="G96">
            <v>195000</v>
          </cell>
          <cell r="H96">
            <v>0</v>
          </cell>
          <cell r="I96">
            <v>0</v>
          </cell>
          <cell r="J96">
            <v>0</v>
          </cell>
          <cell r="K96">
            <v>0</v>
          </cell>
          <cell r="L96">
            <v>0</v>
          </cell>
          <cell r="M96">
            <v>0</v>
          </cell>
          <cell r="T96">
            <v>4015.31</v>
          </cell>
          <cell r="U96">
            <v>0</v>
          </cell>
        </row>
        <row r="97">
          <cell r="D97">
            <v>2998</v>
          </cell>
          <cell r="E97" t="str">
            <v>非流动负债</v>
          </cell>
          <cell r="F97">
            <v>60295000</v>
          </cell>
          <cell r="G97">
            <v>10877500</v>
          </cell>
          <cell r="H97">
            <v>4908469.8899999997</v>
          </cell>
          <cell r="I97">
            <v>54325969.890000001</v>
          </cell>
          <cell r="J97">
            <v>19840608.489999998</v>
          </cell>
          <cell r="K97">
            <v>0</v>
          </cell>
          <cell r="L97">
            <v>0</v>
          </cell>
          <cell r="M97">
            <v>19840608.489999998</v>
          </cell>
          <cell r="T97">
            <v>4002</v>
          </cell>
          <cell r="U97">
            <v>14277074.01</v>
          </cell>
        </row>
        <row r="98">
          <cell r="D98">
            <v>2999</v>
          </cell>
          <cell r="E98" t="str">
            <v>负债</v>
          </cell>
          <cell r="F98">
            <v>379081103.13999999</v>
          </cell>
          <cell r="G98">
            <v>56232406.810000002</v>
          </cell>
          <cell r="H98">
            <v>-10884849.18</v>
          </cell>
          <cell r="I98">
            <v>311963847.14999998</v>
          </cell>
          <cell r="J98">
            <v>281173098.63999999</v>
          </cell>
          <cell r="K98">
            <v>0</v>
          </cell>
          <cell r="L98">
            <v>0</v>
          </cell>
          <cell r="M98">
            <v>281173098.63999999</v>
          </cell>
          <cell r="T98">
            <v>4201</v>
          </cell>
          <cell r="U98">
            <v>0</v>
          </cell>
        </row>
        <row r="99">
          <cell r="D99">
            <v>4000</v>
          </cell>
          <cell r="E99" t="str">
            <v>所有者权益项目</v>
          </cell>
          <cell r="F99">
            <v>0</v>
          </cell>
          <cell r="G99">
            <v>0</v>
          </cell>
          <cell r="H99">
            <v>0</v>
          </cell>
          <cell r="J99">
            <v>0</v>
          </cell>
          <cell r="K99">
            <v>0</v>
          </cell>
          <cell r="L99">
            <v>0</v>
          </cell>
          <cell r="M99">
            <v>0</v>
          </cell>
          <cell r="T99">
            <v>4215</v>
          </cell>
          <cell r="U99">
            <v>0</v>
          </cell>
        </row>
        <row r="100">
          <cell r="D100">
            <v>4001</v>
          </cell>
          <cell r="E100" t="str">
            <v>实收资本</v>
          </cell>
          <cell r="F100">
            <v>360000000</v>
          </cell>
          <cell r="G100">
            <v>0</v>
          </cell>
          <cell r="H100">
            <v>0</v>
          </cell>
          <cell r="I100">
            <v>360000000</v>
          </cell>
          <cell r="J100">
            <v>360000000</v>
          </cell>
          <cell r="K100">
            <v>0</v>
          </cell>
          <cell r="L100">
            <v>0</v>
          </cell>
          <cell r="M100">
            <v>360000000</v>
          </cell>
          <cell r="T100">
            <v>4301</v>
          </cell>
          <cell r="U100">
            <v>4254603.3600000003</v>
          </cell>
        </row>
        <row r="101">
          <cell r="D101">
            <v>4015</v>
          </cell>
          <cell r="E101" t="str">
            <v>其他权益工具</v>
          </cell>
          <cell r="F101">
            <v>0</v>
          </cell>
          <cell r="G101">
            <v>0</v>
          </cell>
          <cell r="H101">
            <v>0</v>
          </cell>
          <cell r="I101">
            <v>0</v>
          </cell>
          <cell r="J101">
            <v>0</v>
          </cell>
          <cell r="K101">
            <v>0</v>
          </cell>
          <cell r="L101">
            <v>0</v>
          </cell>
          <cell r="M101">
            <v>0</v>
          </cell>
          <cell r="T101">
            <v>4101</v>
          </cell>
          <cell r="U101">
            <v>9112371.2799999993</v>
          </cell>
        </row>
        <row r="102">
          <cell r="D102">
            <v>4015.11</v>
          </cell>
          <cell r="E102" t="str">
            <v>其他权益工具_优先股</v>
          </cell>
          <cell r="F102">
            <v>0</v>
          </cell>
          <cell r="G102">
            <v>0</v>
          </cell>
          <cell r="H102">
            <v>0</v>
          </cell>
          <cell r="I102">
            <v>0</v>
          </cell>
          <cell r="J102">
            <v>0</v>
          </cell>
          <cell r="K102">
            <v>0</v>
          </cell>
          <cell r="L102">
            <v>0</v>
          </cell>
          <cell r="M102">
            <v>0</v>
          </cell>
          <cell r="T102">
            <v>4102</v>
          </cell>
          <cell r="U102">
            <v>0</v>
          </cell>
        </row>
        <row r="103">
          <cell r="D103">
            <v>4015.31</v>
          </cell>
          <cell r="E103" t="str">
            <v>其他权益工具_永续债</v>
          </cell>
          <cell r="F103">
            <v>0</v>
          </cell>
          <cell r="G103">
            <v>0</v>
          </cell>
          <cell r="H103">
            <v>0</v>
          </cell>
          <cell r="I103">
            <v>0</v>
          </cell>
          <cell r="J103">
            <v>0</v>
          </cell>
          <cell r="K103">
            <v>0</v>
          </cell>
          <cell r="L103">
            <v>0</v>
          </cell>
          <cell r="M103">
            <v>0</v>
          </cell>
          <cell r="T103">
            <v>4200</v>
          </cell>
          <cell r="U103">
            <v>-2072855.39</v>
          </cell>
        </row>
        <row r="104">
          <cell r="D104">
            <v>4002</v>
          </cell>
          <cell r="E104" t="str">
            <v>资本公积</v>
          </cell>
          <cell r="F104">
            <v>14277074.01</v>
          </cell>
          <cell r="G104">
            <v>0</v>
          </cell>
          <cell r="H104">
            <v>0</v>
          </cell>
          <cell r="I104">
            <v>14277074.01</v>
          </cell>
          <cell r="J104">
            <v>14277074.01</v>
          </cell>
          <cell r="K104">
            <v>0</v>
          </cell>
          <cell r="L104">
            <v>0</v>
          </cell>
          <cell r="M104">
            <v>14277074.01</v>
          </cell>
          <cell r="T104">
            <v>4210</v>
          </cell>
          <cell r="U104">
            <v>0</v>
          </cell>
        </row>
        <row r="105">
          <cell r="D105">
            <v>4201</v>
          </cell>
          <cell r="E105" t="str">
            <v>库存股</v>
          </cell>
          <cell r="F105">
            <v>0</v>
          </cell>
          <cell r="G105">
            <v>0</v>
          </cell>
          <cell r="H105">
            <v>0</v>
          </cell>
          <cell r="I105">
            <v>0</v>
          </cell>
          <cell r="J105">
            <v>0</v>
          </cell>
          <cell r="K105">
            <v>0</v>
          </cell>
          <cell r="L105">
            <v>0</v>
          </cell>
          <cell r="M105">
            <v>0</v>
          </cell>
          <cell r="T105">
            <v>4298</v>
          </cell>
          <cell r="U105">
            <v>385571193.25999999</v>
          </cell>
        </row>
        <row r="106">
          <cell r="D106">
            <v>4215</v>
          </cell>
          <cell r="E106" t="str">
            <v>其他综合收益</v>
          </cell>
          <cell r="F106">
            <v>0</v>
          </cell>
          <cell r="G106">
            <v>0</v>
          </cell>
          <cell r="H106">
            <v>0</v>
          </cell>
          <cell r="I106">
            <v>0</v>
          </cell>
          <cell r="J106">
            <v>0</v>
          </cell>
          <cell r="K106">
            <v>0</v>
          </cell>
          <cell r="L106">
            <v>0</v>
          </cell>
          <cell r="M106">
            <v>0</v>
          </cell>
          <cell r="T106">
            <v>4398</v>
          </cell>
          <cell r="U106">
            <v>0</v>
          </cell>
        </row>
        <row r="107">
          <cell r="D107">
            <v>4301</v>
          </cell>
          <cell r="E107" t="str">
            <v>专项储备</v>
          </cell>
          <cell r="F107">
            <v>5777491.6900000004</v>
          </cell>
          <cell r="G107">
            <v>0</v>
          </cell>
          <cell r="H107">
            <v>-226416.24</v>
          </cell>
          <cell r="I107">
            <v>5551075.4500000002</v>
          </cell>
          <cell r="J107">
            <v>4254603.3600000003</v>
          </cell>
          <cell r="K107">
            <v>0</v>
          </cell>
          <cell r="L107">
            <v>0</v>
          </cell>
          <cell r="M107">
            <v>4254603.3600000003</v>
          </cell>
          <cell r="T107">
            <v>4999</v>
          </cell>
          <cell r="U107">
            <v>385571193.25999999</v>
          </cell>
        </row>
        <row r="108">
          <cell r="D108">
            <v>4101</v>
          </cell>
          <cell r="E108" t="str">
            <v>盈余公积</v>
          </cell>
          <cell r="F108">
            <v>10883586.24</v>
          </cell>
          <cell r="G108">
            <v>0</v>
          </cell>
          <cell r="H108">
            <v>2890872.62</v>
          </cell>
          <cell r="I108">
            <v>13774458.859999999</v>
          </cell>
          <cell r="J108">
            <v>9112371.2799999993</v>
          </cell>
          <cell r="K108">
            <v>0</v>
          </cell>
          <cell r="L108">
            <v>0</v>
          </cell>
          <cell r="M108">
            <v>9112371.2799999993</v>
          </cell>
          <cell r="T108">
            <v>5000</v>
          </cell>
          <cell r="U108">
            <v>666744291.89999998</v>
          </cell>
        </row>
        <row r="109">
          <cell r="D109">
            <v>4102</v>
          </cell>
          <cell r="E109" t="str">
            <v>一般风险准备</v>
          </cell>
          <cell r="F109">
            <v>0</v>
          </cell>
          <cell r="G109">
            <v>0</v>
          </cell>
          <cell r="H109">
            <v>0</v>
          </cell>
          <cell r="I109">
            <v>0</v>
          </cell>
          <cell r="J109">
            <v>0</v>
          </cell>
          <cell r="K109">
            <v>0</v>
          </cell>
          <cell r="L109">
            <v>0</v>
          </cell>
          <cell r="M109">
            <v>0</v>
          </cell>
          <cell r="T109">
            <v>6</v>
          </cell>
        </row>
        <row r="110">
          <cell r="D110">
            <v>4200</v>
          </cell>
          <cell r="E110" t="str">
            <v>未分配利润</v>
          </cell>
          <cell r="F110">
            <v>141165341.99000001</v>
          </cell>
          <cell r="G110">
            <v>77119932.760000005</v>
          </cell>
          <cell r="H110">
            <v>-24159476.370000001</v>
          </cell>
          <cell r="I110">
            <v>39885932.859999999</v>
          </cell>
          <cell r="J110">
            <v>-2072855.39</v>
          </cell>
          <cell r="K110">
            <v>0</v>
          </cell>
          <cell r="L110">
            <v>0</v>
          </cell>
          <cell r="M110">
            <v>-2072855.39</v>
          </cell>
          <cell r="T110">
            <v>6098</v>
          </cell>
          <cell r="U110">
            <v>309236046.61000001</v>
          </cell>
        </row>
        <row r="111">
          <cell r="D111">
            <v>4210</v>
          </cell>
          <cell r="E111" t="str">
            <v>外币报表折算差额</v>
          </cell>
          <cell r="I111">
            <v>0</v>
          </cell>
          <cell r="M111">
            <v>0</v>
          </cell>
          <cell r="T111">
            <v>6001</v>
          </cell>
          <cell r="U111">
            <v>309236046.61000001</v>
          </cell>
        </row>
        <row r="112">
          <cell r="D112">
            <v>4298</v>
          </cell>
          <cell r="E112" t="str">
            <v>归属于母公司所有者权益</v>
          </cell>
          <cell r="F112">
            <v>532103493.93000001</v>
          </cell>
          <cell r="G112">
            <v>77119932.760000005</v>
          </cell>
          <cell r="H112">
            <v>-21495019.989999998</v>
          </cell>
          <cell r="I112">
            <v>433488541.18000001</v>
          </cell>
          <cell r="J112">
            <v>385571193.25999999</v>
          </cell>
          <cell r="K112">
            <v>0</v>
          </cell>
          <cell r="L112">
            <v>0</v>
          </cell>
          <cell r="M112">
            <v>385571193.25999999</v>
          </cell>
          <cell r="T112">
            <v>6011</v>
          </cell>
          <cell r="U112">
            <v>0</v>
          </cell>
        </row>
        <row r="113">
          <cell r="D113">
            <v>4398</v>
          </cell>
          <cell r="E113" t="str">
            <v>少数股东权益</v>
          </cell>
          <cell r="F113">
            <v>0</v>
          </cell>
          <cell r="G113">
            <v>0</v>
          </cell>
          <cell r="H113">
            <v>0</v>
          </cell>
          <cell r="I113">
            <v>0</v>
          </cell>
          <cell r="J113">
            <v>0</v>
          </cell>
          <cell r="K113">
            <v>0</v>
          </cell>
          <cell r="L113">
            <v>0</v>
          </cell>
          <cell r="M113">
            <v>0</v>
          </cell>
          <cell r="T113">
            <v>6030</v>
          </cell>
          <cell r="U113">
            <v>0</v>
          </cell>
        </row>
        <row r="114">
          <cell r="D114">
            <v>4999</v>
          </cell>
          <cell r="E114" t="str">
            <v>所有者权益</v>
          </cell>
          <cell r="F114">
            <v>532103493.93000001</v>
          </cell>
          <cell r="G114">
            <v>77119932.760000005</v>
          </cell>
          <cell r="H114">
            <v>-21495019.989999998</v>
          </cell>
          <cell r="I114">
            <v>433488541.18000001</v>
          </cell>
          <cell r="J114">
            <v>385571193.25999999</v>
          </cell>
          <cell r="K114">
            <v>0</v>
          </cell>
          <cell r="L114">
            <v>0</v>
          </cell>
          <cell r="M114">
            <v>385571193.25999999</v>
          </cell>
          <cell r="T114">
            <v>6021</v>
          </cell>
          <cell r="U114">
            <v>0</v>
          </cell>
        </row>
        <row r="115">
          <cell r="D115">
            <v>5000</v>
          </cell>
          <cell r="E115" t="str">
            <v>负债和所有者权益</v>
          </cell>
          <cell r="F115">
            <v>911184597.07000005</v>
          </cell>
          <cell r="G115">
            <v>133352339.56999999</v>
          </cell>
          <cell r="H115">
            <v>-32379869.170000002</v>
          </cell>
          <cell r="I115">
            <v>745452388.33000004</v>
          </cell>
          <cell r="J115">
            <v>666744291.89999998</v>
          </cell>
          <cell r="K115">
            <v>0</v>
          </cell>
          <cell r="L115">
            <v>0</v>
          </cell>
          <cell r="M115">
            <v>666744291.89999998</v>
          </cell>
          <cell r="T115">
            <v>6598</v>
          </cell>
          <cell r="U115">
            <v>301517552.48000002</v>
          </cell>
        </row>
        <row r="116">
          <cell r="D116">
            <v>6</v>
          </cell>
          <cell r="E116" t="str">
            <v>利润表</v>
          </cell>
          <cell r="G116">
            <v>0</v>
          </cell>
          <cell r="H116">
            <v>0</v>
          </cell>
          <cell r="K116">
            <v>0</v>
          </cell>
          <cell r="L116">
            <v>0</v>
          </cell>
          <cell r="T116">
            <v>6401</v>
          </cell>
          <cell r="U116">
            <v>167401010.49000001</v>
          </cell>
        </row>
        <row r="117">
          <cell r="D117">
            <v>6098</v>
          </cell>
          <cell r="E117" t="str">
            <v>营业总收入</v>
          </cell>
          <cell r="F117">
            <v>312106758.56999999</v>
          </cell>
          <cell r="G117">
            <v>0</v>
          </cell>
          <cell r="H117">
            <v>17591295.829999998</v>
          </cell>
          <cell r="I117">
            <v>329698054.39999998</v>
          </cell>
          <cell r="J117">
            <v>309236046.61000001</v>
          </cell>
          <cell r="K117">
            <v>0</v>
          </cell>
          <cell r="L117">
            <v>0</v>
          </cell>
          <cell r="M117">
            <v>309236046.61000001</v>
          </cell>
          <cell r="T117">
            <v>6411</v>
          </cell>
          <cell r="U117">
            <v>0</v>
          </cell>
        </row>
        <row r="118">
          <cell r="D118">
            <v>6001</v>
          </cell>
          <cell r="E118" t="str">
            <v>营业收入</v>
          </cell>
          <cell r="F118">
            <v>312106758.56999999</v>
          </cell>
          <cell r="G118">
            <v>0</v>
          </cell>
          <cell r="H118">
            <v>17591295.829999998</v>
          </cell>
          <cell r="I118">
            <v>329698054.39999998</v>
          </cell>
          <cell r="J118">
            <v>309236046.61000001</v>
          </cell>
          <cell r="K118">
            <v>0</v>
          </cell>
          <cell r="L118">
            <v>0</v>
          </cell>
          <cell r="M118">
            <v>309236046.61000001</v>
          </cell>
          <cell r="T118">
            <v>6421</v>
          </cell>
          <cell r="U118">
            <v>0</v>
          </cell>
        </row>
        <row r="119">
          <cell r="D119">
            <v>6011</v>
          </cell>
          <cell r="E119" t="str">
            <v>利息收入</v>
          </cell>
          <cell r="F119">
            <v>0</v>
          </cell>
          <cell r="G119">
            <v>0</v>
          </cell>
          <cell r="H119">
            <v>0</v>
          </cell>
          <cell r="I119">
            <v>0</v>
          </cell>
          <cell r="J119">
            <v>0</v>
          </cell>
          <cell r="K119">
            <v>0</v>
          </cell>
          <cell r="L119">
            <v>0</v>
          </cell>
          <cell r="M119">
            <v>0</v>
          </cell>
          <cell r="T119">
            <v>6531</v>
          </cell>
          <cell r="U119">
            <v>0</v>
          </cell>
        </row>
        <row r="120">
          <cell r="D120">
            <v>6030</v>
          </cell>
          <cell r="E120" t="str">
            <v>已赚保费</v>
          </cell>
          <cell r="F120">
            <v>0</v>
          </cell>
          <cell r="G120">
            <v>0</v>
          </cell>
          <cell r="H120">
            <v>0</v>
          </cell>
          <cell r="I120">
            <v>0</v>
          </cell>
          <cell r="J120">
            <v>0</v>
          </cell>
          <cell r="K120">
            <v>0</v>
          </cell>
          <cell r="L120">
            <v>0</v>
          </cell>
          <cell r="M120">
            <v>0</v>
          </cell>
          <cell r="T120">
            <v>6510</v>
          </cell>
          <cell r="U120">
            <v>0</v>
          </cell>
        </row>
        <row r="121">
          <cell r="D121">
            <v>6021</v>
          </cell>
          <cell r="E121" t="str">
            <v>手续费及佣金收入</v>
          </cell>
          <cell r="F121">
            <v>0</v>
          </cell>
          <cell r="G121">
            <v>0</v>
          </cell>
          <cell r="H121">
            <v>0</v>
          </cell>
          <cell r="I121">
            <v>0</v>
          </cell>
          <cell r="J121">
            <v>0</v>
          </cell>
          <cell r="K121">
            <v>0</v>
          </cell>
          <cell r="L121">
            <v>0</v>
          </cell>
          <cell r="M121">
            <v>0</v>
          </cell>
          <cell r="T121">
            <v>6505</v>
          </cell>
          <cell r="U121">
            <v>0</v>
          </cell>
        </row>
        <row r="122">
          <cell r="D122">
            <v>6598</v>
          </cell>
          <cell r="E122" t="str">
            <v>营业总成本</v>
          </cell>
          <cell r="F122">
            <v>269420360.43000001</v>
          </cell>
          <cell r="G122">
            <v>51947032.630000003</v>
          </cell>
          <cell r="H122">
            <v>5769050.7800000003</v>
          </cell>
          <cell r="I122">
            <v>315598342.27999997</v>
          </cell>
          <cell r="J122">
            <v>301517552.48000002</v>
          </cell>
          <cell r="K122">
            <v>0</v>
          </cell>
          <cell r="L122">
            <v>0</v>
          </cell>
          <cell r="M122">
            <v>301517552.48000002</v>
          </cell>
          <cell r="T122">
            <v>6521</v>
          </cell>
          <cell r="U122">
            <v>0</v>
          </cell>
        </row>
        <row r="123">
          <cell r="D123">
            <v>6401</v>
          </cell>
          <cell r="E123" t="str">
            <v>营业成本</v>
          </cell>
          <cell r="F123">
            <v>172436058.16</v>
          </cell>
          <cell r="G123">
            <v>27679482.109999999</v>
          </cell>
          <cell r="H123">
            <v>129727.3</v>
          </cell>
          <cell r="I123">
            <v>199985812.97</v>
          </cell>
          <cell r="J123">
            <v>167401010.49000001</v>
          </cell>
          <cell r="K123">
            <v>0</v>
          </cell>
          <cell r="L123">
            <v>0</v>
          </cell>
          <cell r="M123">
            <v>167401010.49000001</v>
          </cell>
          <cell r="T123">
            <v>6542</v>
          </cell>
          <cell r="U123">
            <v>0</v>
          </cell>
        </row>
        <row r="124">
          <cell r="D124">
            <v>6411</v>
          </cell>
          <cell r="E124" t="str">
            <v>利息支出</v>
          </cell>
          <cell r="F124">
            <v>0</v>
          </cell>
          <cell r="G124">
            <v>0</v>
          </cell>
          <cell r="H124">
            <v>0</v>
          </cell>
          <cell r="I124">
            <v>0</v>
          </cell>
          <cell r="J124">
            <v>0</v>
          </cell>
          <cell r="K124">
            <v>0</v>
          </cell>
          <cell r="L124">
            <v>0</v>
          </cell>
          <cell r="M124">
            <v>0</v>
          </cell>
          <cell r="T124">
            <v>6600</v>
          </cell>
          <cell r="U124">
            <v>3541167.84</v>
          </cell>
        </row>
        <row r="125">
          <cell r="D125">
            <v>6421</v>
          </cell>
          <cell r="E125" t="str">
            <v>手续费及佣金支出</v>
          </cell>
          <cell r="F125">
            <v>0</v>
          </cell>
          <cell r="G125">
            <v>0</v>
          </cell>
          <cell r="H125">
            <v>0</v>
          </cell>
          <cell r="I125">
            <v>0</v>
          </cell>
          <cell r="J125">
            <v>0</v>
          </cell>
          <cell r="K125">
            <v>0</v>
          </cell>
          <cell r="L125">
            <v>0</v>
          </cell>
          <cell r="M125">
            <v>0</v>
          </cell>
          <cell r="T125">
            <v>6601</v>
          </cell>
          <cell r="U125">
            <v>69722030.870000005</v>
          </cell>
        </row>
        <row r="126">
          <cell r="D126">
            <v>6531</v>
          </cell>
          <cell r="E126" t="str">
            <v>退保金</v>
          </cell>
          <cell r="F126">
            <v>0</v>
          </cell>
          <cell r="G126">
            <v>0</v>
          </cell>
          <cell r="H126">
            <v>0</v>
          </cell>
          <cell r="I126">
            <v>0</v>
          </cell>
          <cell r="J126">
            <v>0</v>
          </cell>
          <cell r="K126">
            <v>0</v>
          </cell>
          <cell r="L126">
            <v>0</v>
          </cell>
          <cell r="M126">
            <v>0</v>
          </cell>
          <cell r="T126">
            <v>6602</v>
          </cell>
          <cell r="U126">
            <v>43217242.670000002</v>
          </cell>
        </row>
        <row r="127">
          <cell r="D127">
            <v>6510</v>
          </cell>
          <cell r="E127" t="str">
            <v>赔付支出净额</v>
          </cell>
          <cell r="F127">
            <v>0</v>
          </cell>
          <cell r="G127">
            <v>0</v>
          </cell>
          <cell r="H127">
            <v>0</v>
          </cell>
          <cell r="I127">
            <v>0</v>
          </cell>
          <cell r="J127">
            <v>0</v>
          </cell>
          <cell r="K127">
            <v>0</v>
          </cell>
          <cell r="L127">
            <v>0</v>
          </cell>
          <cell r="M127">
            <v>0</v>
          </cell>
          <cell r="T127">
            <v>6603</v>
          </cell>
          <cell r="U127">
            <v>5514158.1100000003</v>
          </cell>
        </row>
        <row r="128">
          <cell r="D128">
            <v>6505</v>
          </cell>
          <cell r="E128" t="str">
            <v>提取保险合同准备金净额</v>
          </cell>
          <cell r="F128">
            <v>0</v>
          </cell>
          <cell r="G128">
            <v>0</v>
          </cell>
          <cell r="H128">
            <v>0</v>
          </cell>
          <cell r="I128">
            <v>0</v>
          </cell>
          <cell r="J128">
            <v>0</v>
          </cell>
          <cell r="K128">
            <v>0</v>
          </cell>
          <cell r="L128">
            <v>0</v>
          </cell>
          <cell r="M128">
            <v>0</v>
          </cell>
          <cell r="T128">
            <v>6671</v>
          </cell>
          <cell r="U128">
            <v>12121942.5</v>
          </cell>
        </row>
        <row r="129">
          <cell r="D129">
            <v>6521</v>
          </cell>
          <cell r="E129" t="str">
            <v>保单红利支出</v>
          </cell>
          <cell r="F129">
            <v>0</v>
          </cell>
          <cell r="G129">
            <v>0</v>
          </cell>
          <cell r="H129">
            <v>0</v>
          </cell>
          <cell r="I129">
            <v>0</v>
          </cell>
          <cell r="J129">
            <v>0</v>
          </cell>
          <cell r="K129">
            <v>0</v>
          </cell>
          <cell r="L129">
            <v>0</v>
          </cell>
          <cell r="M129">
            <v>0</v>
          </cell>
          <cell r="T129">
            <v>6101</v>
          </cell>
          <cell r="U129">
            <v>0</v>
          </cell>
        </row>
        <row r="130">
          <cell r="D130">
            <v>6542</v>
          </cell>
          <cell r="E130" t="str">
            <v>分保费用</v>
          </cell>
          <cell r="F130">
            <v>0</v>
          </cell>
          <cell r="G130">
            <v>0</v>
          </cell>
          <cell r="H130">
            <v>0</v>
          </cell>
          <cell r="I130">
            <v>0</v>
          </cell>
          <cell r="J130">
            <v>0</v>
          </cell>
          <cell r="K130">
            <v>0</v>
          </cell>
          <cell r="L130">
            <v>0</v>
          </cell>
          <cell r="M130">
            <v>0</v>
          </cell>
          <cell r="T130">
            <v>6111</v>
          </cell>
          <cell r="U130">
            <v>470415.54</v>
          </cell>
        </row>
        <row r="131">
          <cell r="D131">
            <v>6600</v>
          </cell>
          <cell r="E131" t="str">
            <v>税金及附加</v>
          </cell>
          <cell r="F131">
            <v>3615089.31</v>
          </cell>
          <cell r="G131">
            <v>754565.73</v>
          </cell>
          <cell r="H131">
            <v>0</v>
          </cell>
          <cell r="I131">
            <v>4369655.04</v>
          </cell>
          <cell r="J131">
            <v>3541167.84</v>
          </cell>
          <cell r="K131">
            <v>0</v>
          </cell>
          <cell r="L131">
            <v>0</v>
          </cell>
          <cell r="M131">
            <v>3541167.84</v>
          </cell>
          <cell r="T131">
            <v>6111.01</v>
          </cell>
          <cell r="U131">
            <v>0</v>
          </cell>
        </row>
        <row r="132">
          <cell r="D132">
            <v>6601</v>
          </cell>
          <cell r="E132" t="str">
            <v>销售费用</v>
          </cell>
          <cell r="F132">
            <v>43079048.310000002</v>
          </cell>
          <cell r="G132">
            <v>10771424.43</v>
          </cell>
          <cell r="H132">
            <v>4407626.4800000004</v>
          </cell>
          <cell r="I132">
            <v>49442846.259999998</v>
          </cell>
          <cell r="J132">
            <v>69722030.870000005</v>
          </cell>
          <cell r="K132">
            <v>0</v>
          </cell>
          <cell r="L132">
            <v>0</v>
          </cell>
          <cell r="M132">
            <v>69722030.870000005</v>
          </cell>
          <cell r="T132">
            <v>6161</v>
          </cell>
          <cell r="U132">
            <v>0</v>
          </cell>
        </row>
        <row r="133">
          <cell r="D133">
            <v>6602</v>
          </cell>
          <cell r="E133" t="str">
            <v>管理费用</v>
          </cell>
          <cell r="F133">
            <v>32256899.16</v>
          </cell>
          <cell r="G133">
            <v>10981340.310000001</v>
          </cell>
          <cell r="H133">
            <v>1248814.8500000001</v>
          </cell>
          <cell r="I133">
            <v>41989424.619999997</v>
          </cell>
          <cell r="J133">
            <v>43217242.670000002</v>
          </cell>
          <cell r="K133">
            <v>0</v>
          </cell>
          <cell r="L133">
            <v>0</v>
          </cell>
          <cell r="M133">
            <v>43217242.670000002</v>
          </cell>
          <cell r="T133">
            <v>6171</v>
          </cell>
          <cell r="U133">
            <v>0</v>
          </cell>
        </row>
        <row r="134">
          <cell r="D134">
            <v>6606</v>
          </cell>
          <cell r="E134" t="str">
            <v>研发费用</v>
          </cell>
          <cell r="F134">
            <v>0</v>
          </cell>
          <cell r="G134">
            <v>0</v>
          </cell>
          <cell r="H134">
            <v>0</v>
          </cell>
          <cell r="I134">
            <v>0</v>
          </cell>
          <cell r="J134">
            <v>0</v>
          </cell>
          <cell r="K134">
            <v>0</v>
          </cell>
          <cell r="L134">
            <v>0</v>
          </cell>
          <cell r="M134">
            <v>0</v>
          </cell>
          <cell r="T134">
            <v>6181</v>
          </cell>
          <cell r="U134">
            <v>0</v>
          </cell>
        </row>
        <row r="135">
          <cell r="D135">
            <v>6603</v>
          </cell>
          <cell r="E135" t="str">
            <v>财务费用</v>
          </cell>
          <cell r="F135">
            <v>2125943.7599999998</v>
          </cell>
          <cell r="G135">
            <v>2479585</v>
          </cell>
          <cell r="H135">
            <v>-17117.849999999999</v>
          </cell>
          <cell r="I135">
            <v>4622646.6100000003</v>
          </cell>
          <cell r="J135">
            <v>5514158.1100000003</v>
          </cell>
          <cell r="K135">
            <v>0</v>
          </cell>
          <cell r="L135">
            <v>0</v>
          </cell>
          <cell r="M135">
            <v>5514158.1100000003</v>
          </cell>
          <cell r="T135">
            <v>6689</v>
          </cell>
          <cell r="U135">
            <v>8188909.6699999999</v>
          </cell>
        </row>
        <row r="136">
          <cell r="D136" t="str">
            <v>6603_01</v>
          </cell>
          <cell r="E136" t="str">
            <v>财务费用_利息费用</v>
          </cell>
          <cell r="F136">
            <v>0</v>
          </cell>
          <cell r="G136">
            <v>0</v>
          </cell>
          <cell r="H136">
            <v>0</v>
          </cell>
          <cell r="I136">
            <v>0</v>
          </cell>
          <cell r="J136">
            <v>0</v>
          </cell>
          <cell r="K136">
            <v>0</v>
          </cell>
          <cell r="L136">
            <v>0</v>
          </cell>
          <cell r="M136">
            <v>0</v>
          </cell>
          <cell r="T136">
            <v>6710</v>
          </cell>
          <cell r="U136">
            <v>2974500.93</v>
          </cell>
        </row>
        <row r="137">
          <cell r="D137" t="str">
            <v>6603_06</v>
          </cell>
          <cell r="E137" t="str">
            <v>财务费用_利息收入</v>
          </cell>
          <cell r="F137">
            <v>0</v>
          </cell>
          <cell r="G137">
            <v>0</v>
          </cell>
          <cell r="H137">
            <v>0</v>
          </cell>
          <cell r="I137">
            <v>0</v>
          </cell>
          <cell r="J137">
            <v>0</v>
          </cell>
          <cell r="K137">
            <v>0</v>
          </cell>
          <cell r="L137">
            <v>0</v>
          </cell>
          <cell r="M137">
            <v>0</v>
          </cell>
          <cell r="T137">
            <v>6711</v>
          </cell>
          <cell r="U137">
            <v>528656.36</v>
          </cell>
        </row>
        <row r="138">
          <cell r="D138">
            <v>6671</v>
          </cell>
          <cell r="E138" t="str">
            <v>资产减值损失</v>
          </cell>
          <cell r="F138">
            <v>15907321.73</v>
          </cell>
          <cell r="G138">
            <v>-719364.95</v>
          </cell>
          <cell r="H138">
            <v>0</v>
          </cell>
          <cell r="I138">
            <v>15187956.779999999</v>
          </cell>
          <cell r="J138">
            <v>12121942.5</v>
          </cell>
          <cell r="K138">
            <v>0</v>
          </cell>
          <cell r="L138">
            <v>0</v>
          </cell>
          <cell r="M138">
            <v>12121942.5</v>
          </cell>
          <cell r="T138">
            <v>6788</v>
          </cell>
          <cell r="U138">
            <v>10634754.24</v>
          </cell>
        </row>
        <row r="139">
          <cell r="D139">
            <v>6181</v>
          </cell>
          <cell r="E139" t="str">
            <v>其他收益</v>
          </cell>
          <cell r="F139">
            <v>0</v>
          </cell>
          <cell r="G139">
            <v>0</v>
          </cell>
          <cell r="H139">
            <v>0</v>
          </cell>
          <cell r="I139">
            <v>0</v>
          </cell>
          <cell r="J139">
            <v>0</v>
          </cell>
          <cell r="K139">
            <v>0</v>
          </cell>
          <cell r="L139">
            <v>0</v>
          </cell>
          <cell r="M139">
            <v>0</v>
          </cell>
          <cell r="T139">
            <v>6791</v>
          </cell>
          <cell r="U139">
            <v>1541509.71</v>
          </cell>
        </row>
        <row r="140">
          <cell r="D140">
            <v>6111</v>
          </cell>
          <cell r="E140" t="str">
            <v>投资收益</v>
          </cell>
          <cell r="F140">
            <v>1834919.97</v>
          </cell>
          <cell r="G140">
            <v>0</v>
          </cell>
          <cell r="H140">
            <v>33144753.670000002</v>
          </cell>
          <cell r="I140">
            <v>34979673.640000001</v>
          </cell>
          <cell r="J140">
            <v>470415.54</v>
          </cell>
          <cell r="K140">
            <v>0</v>
          </cell>
          <cell r="L140">
            <v>0</v>
          </cell>
          <cell r="M140">
            <v>470415.54</v>
          </cell>
          <cell r="T140">
            <v>6799</v>
          </cell>
          <cell r="U140">
            <v>9093244.5299999993</v>
          </cell>
        </row>
        <row r="141">
          <cell r="D141">
            <v>6111.01</v>
          </cell>
          <cell r="E141" t="str">
            <v>对联营企业和合营企业的投资收益</v>
          </cell>
          <cell r="F141">
            <v>0</v>
          </cell>
          <cell r="G141">
            <v>0</v>
          </cell>
          <cell r="H141">
            <v>0</v>
          </cell>
          <cell r="I141">
            <v>0</v>
          </cell>
          <cell r="J141">
            <v>0</v>
          </cell>
          <cell r="K141">
            <v>0</v>
          </cell>
          <cell r="L141">
            <v>0</v>
          </cell>
          <cell r="M141">
            <v>0</v>
          </cell>
          <cell r="T141">
            <v>6835</v>
          </cell>
        </row>
        <row r="142">
          <cell r="D142">
            <v>6161</v>
          </cell>
          <cell r="E142" t="str">
            <v>汇兑收益</v>
          </cell>
          <cell r="F142">
            <v>0</v>
          </cell>
          <cell r="G142">
            <v>0</v>
          </cell>
          <cell r="H142">
            <v>0</v>
          </cell>
          <cell r="I142">
            <v>0</v>
          </cell>
          <cell r="J142">
            <v>0</v>
          </cell>
          <cell r="K142">
            <v>0</v>
          </cell>
          <cell r="L142">
            <v>0</v>
          </cell>
          <cell r="M142">
            <v>0</v>
          </cell>
          <cell r="T142">
            <v>6816</v>
          </cell>
        </row>
        <row r="143">
          <cell r="D143">
            <v>6101</v>
          </cell>
          <cell r="E143" t="str">
            <v>公允价值变动收益</v>
          </cell>
          <cell r="F143">
            <v>0</v>
          </cell>
          <cell r="G143">
            <v>0</v>
          </cell>
          <cell r="H143">
            <v>0</v>
          </cell>
          <cell r="I143">
            <v>0</v>
          </cell>
          <cell r="J143">
            <v>0</v>
          </cell>
          <cell r="K143">
            <v>0</v>
          </cell>
          <cell r="L143">
            <v>0</v>
          </cell>
          <cell r="M143">
            <v>0</v>
          </cell>
          <cell r="T143">
            <v>6817</v>
          </cell>
        </row>
        <row r="144">
          <cell r="D144">
            <v>6171</v>
          </cell>
          <cell r="E144" t="str">
            <v>资产处置收益</v>
          </cell>
          <cell r="F144">
            <v>0</v>
          </cell>
          <cell r="G144">
            <v>0</v>
          </cell>
          <cell r="H144">
            <v>0</v>
          </cell>
          <cell r="I144">
            <v>0</v>
          </cell>
          <cell r="J144">
            <v>0</v>
          </cell>
          <cell r="K144">
            <v>0</v>
          </cell>
          <cell r="L144">
            <v>0</v>
          </cell>
          <cell r="M144">
            <v>0</v>
          </cell>
          <cell r="T144">
            <v>6830</v>
          </cell>
        </row>
        <row r="145">
          <cell r="D145">
            <v>6689</v>
          </cell>
          <cell r="E145" t="str">
            <v>营业利润</v>
          </cell>
          <cell r="F145">
            <v>44521318.109999999</v>
          </cell>
          <cell r="G145">
            <v>51947032.630000003</v>
          </cell>
          <cell r="H145">
            <v>56505100.280000001</v>
          </cell>
          <cell r="I145">
            <v>49079385.759999998</v>
          </cell>
          <cell r="J145">
            <v>8188909.6699999999</v>
          </cell>
          <cell r="K145">
            <v>0</v>
          </cell>
          <cell r="L145">
            <v>0</v>
          </cell>
          <cell r="M145">
            <v>8188909.6699999999</v>
          </cell>
          <cell r="T145">
            <v>6812</v>
          </cell>
          <cell r="U145">
            <v>0</v>
          </cell>
        </row>
        <row r="146">
          <cell r="D146">
            <v>6710</v>
          </cell>
          <cell r="E146" t="str">
            <v>营业外收入</v>
          </cell>
          <cell r="F146">
            <v>4089789.74</v>
          </cell>
          <cell r="G146">
            <v>-10000</v>
          </cell>
          <cell r="H146">
            <v>-117500</v>
          </cell>
          <cell r="I146">
            <v>3982289.74</v>
          </cell>
          <cell r="J146">
            <v>2974500.93</v>
          </cell>
          <cell r="K146">
            <v>0</v>
          </cell>
          <cell r="L146">
            <v>0</v>
          </cell>
          <cell r="M146">
            <v>2974500.93</v>
          </cell>
          <cell r="T146">
            <v>6811</v>
          </cell>
          <cell r="U146">
            <v>9093244.5299999993</v>
          </cell>
        </row>
        <row r="147">
          <cell r="D147">
            <v>6711</v>
          </cell>
          <cell r="E147" t="str">
            <v>营业外支出</v>
          </cell>
          <cell r="F147">
            <v>761322.63</v>
          </cell>
          <cell r="G147">
            <v>0</v>
          </cell>
          <cell r="H147">
            <v>202400</v>
          </cell>
          <cell r="I147">
            <v>558922.63</v>
          </cell>
          <cell r="J147">
            <v>528656.36</v>
          </cell>
          <cell r="K147">
            <v>0</v>
          </cell>
          <cell r="L147">
            <v>0</v>
          </cell>
          <cell r="M147">
            <v>528656.36</v>
          </cell>
          <cell r="T147">
            <v>6829</v>
          </cell>
          <cell r="U147">
            <v>0</v>
          </cell>
        </row>
        <row r="148">
          <cell r="D148">
            <v>6788</v>
          </cell>
          <cell r="E148" t="str">
            <v>利润总额</v>
          </cell>
          <cell r="F148">
            <v>47849785.219999999</v>
          </cell>
          <cell r="G148">
            <v>51937032.630000003</v>
          </cell>
          <cell r="H148">
            <v>56590000.280000001</v>
          </cell>
          <cell r="I148">
            <v>52502752.869999997</v>
          </cell>
          <cell r="J148">
            <v>10634754.24</v>
          </cell>
          <cell r="K148">
            <v>0</v>
          </cell>
          <cell r="L148">
            <v>0</v>
          </cell>
          <cell r="M148">
            <v>10634754.24</v>
          </cell>
          <cell r="T148">
            <v>6829.2</v>
          </cell>
          <cell r="U148">
            <v>0</v>
          </cell>
        </row>
        <row r="149">
          <cell r="D149">
            <v>6791</v>
          </cell>
          <cell r="E149" t="str">
            <v>所得税费用</v>
          </cell>
          <cell r="F149">
            <v>6349006.1100000003</v>
          </cell>
          <cell r="G149">
            <v>3300937.99</v>
          </cell>
          <cell r="H149">
            <v>3768067.06</v>
          </cell>
          <cell r="I149">
            <v>5881877.04</v>
          </cell>
          <cell r="J149">
            <v>1541509.71</v>
          </cell>
          <cell r="K149">
            <v>0</v>
          </cell>
          <cell r="L149">
            <v>0</v>
          </cell>
          <cell r="M149">
            <v>1541509.71</v>
          </cell>
          <cell r="T149">
            <v>6829.21</v>
          </cell>
          <cell r="U149">
            <v>0</v>
          </cell>
        </row>
        <row r="150">
          <cell r="D150">
            <v>6799</v>
          </cell>
          <cell r="E150" t="str">
            <v>净利润</v>
          </cell>
          <cell r="F150">
            <v>41500779.109999999</v>
          </cell>
          <cell r="G150">
            <v>55237970.619999997</v>
          </cell>
          <cell r="H150">
            <v>60358067.340000004</v>
          </cell>
          <cell r="I150">
            <v>46620875.829999998</v>
          </cell>
          <cell r="J150">
            <v>9093244.5299999993</v>
          </cell>
          <cell r="K150">
            <v>0</v>
          </cell>
          <cell r="L150">
            <v>0</v>
          </cell>
          <cell r="M150">
            <v>9093244.5299999993</v>
          </cell>
          <cell r="T150">
            <v>6829.2110000000002</v>
          </cell>
          <cell r="U150">
            <v>0</v>
          </cell>
        </row>
        <row r="151">
          <cell r="D151">
            <v>6835</v>
          </cell>
          <cell r="E151" t="str">
            <v>净利润按经营持续性分类</v>
          </cell>
          <cell r="T151">
            <v>6829.2120000000004</v>
          </cell>
          <cell r="U151">
            <v>0</v>
          </cell>
        </row>
        <row r="152">
          <cell r="D152">
            <v>6816</v>
          </cell>
          <cell r="E152" t="str">
            <v>持续经营净利润</v>
          </cell>
          <cell r="T152">
            <v>6829.2190000000001</v>
          </cell>
          <cell r="U152">
            <v>0</v>
          </cell>
        </row>
        <row r="153">
          <cell r="D153">
            <v>6817</v>
          </cell>
          <cell r="E153" t="str">
            <v>终止经营净利润</v>
          </cell>
          <cell r="T153">
            <v>6829.23</v>
          </cell>
          <cell r="U153">
            <v>0</v>
          </cell>
        </row>
        <row r="154">
          <cell r="D154">
            <v>6830</v>
          </cell>
          <cell r="E154" t="str">
            <v>净利润按所有权归属分类</v>
          </cell>
          <cell r="T154">
            <v>6829.2309999999998</v>
          </cell>
          <cell r="U154">
            <v>0</v>
          </cell>
        </row>
        <row r="155">
          <cell r="D155">
            <v>6812</v>
          </cell>
          <cell r="E155" t="str">
            <v>少数股东损益</v>
          </cell>
          <cell r="F155">
            <v>0</v>
          </cell>
          <cell r="G155">
            <v>0</v>
          </cell>
          <cell r="H155">
            <v>0</v>
          </cell>
          <cell r="I155">
            <v>0</v>
          </cell>
          <cell r="J155">
            <v>0</v>
          </cell>
          <cell r="K155">
            <v>0</v>
          </cell>
          <cell r="L155">
            <v>0</v>
          </cell>
          <cell r="M155">
            <v>0</v>
          </cell>
          <cell r="T155">
            <v>6829.232</v>
          </cell>
          <cell r="U155">
            <v>0</v>
          </cell>
        </row>
        <row r="156">
          <cell r="D156">
            <v>6811</v>
          </cell>
          <cell r="E156" t="str">
            <v>归属于母公司所有者的净利润</v>
          </cell>
          <cell r="F156">
            <v>41500779.109999999</v>
          </cell>
          <cell r="G156">
            <v>55237970.619999997</v>
          </cell>
          <cell r="H156">
            <v>60358067.340000004</v>
          </cell>
          <cell r="I156">
            <v>46620875.829999998</v>
          </cell>
          <cell r="J156">
            <v>9093244.5299999993</v>
          </cell>
          <cell r="K156">
            <v>0</v>
          </cell>
          <cell r="L156">
            <v>0</v>
          </cell>
          <cell r="M156">
            <v>9093244.5299999993</v>
          </cell>
          <cell r="T156">
            <v>6829.2330000000002</v>
          </cell>
          <cell r="U156">
            <v>0</v>
          </cell>
        </row>
        <row r="157">
          <cell r="D157">
            <v>6829</v>
          </cell>
          <cell r="E157" t="str">
            <v>其他综合收益的税后净额</v>
          </cell>
          <cell r="F157">
            <v>0</v>
          </cell>
          <cell r="G157">
            <v>0</v>
          </cell>
          <cell r="H157">
            <v>0</v>
          </cell>
          <cell r="I157">
            <v>0</v>
          </cell>
          <cell r="J157">
            <v>0</v>
          </cell>
          <cell r="K157">
            <v>0</v>
          </cell>
          <cell r="L157">
            <v>0</v>
          </cell>
          <cell r="M157">
            <v>0</v>
          </cell>
          <cell r="T157">
            <v>6829.2340000000004</v>
          </cell>
          <cell r="U157">
            <v>0</v>
          </cell>
        </row>
        <row r="158">
          <cell r="D158">
            <v>6829.2</v>
          </cell>
          <cell r="E158" t="str">
            <v>归属于母公司所有者的其他综合收益的税后净额</v>
          </cell>
          <cell r="F158">
            <v>0</v>
          </cell>
          <cell r="G158">
            <v>0</v>
          </cell>
          <cell r="H158">
            <v>0</v>
          </cell>
          <cell r="I158">
            <v>0</v>
          </cell>
          <cell r="J158">
            <v>0</v>
          </cell>
          <cell r="K158">
            <v>0</v>
          </cell>
          <cell r="L158">
            <v>0</v>
          </cell>
          <cell r="M158">
            <v>0</v>
          </cell>
          <cell r="T158">
            <v>6829.2349999999997</v>
          </cell>
          <cell r="U158">
            <v>0</v>
          </cell>
        </row>
        <row r="159">
          <cell r="D159">
            <v>6829.21</v>
          </cell>
          <cell r="E159" t="str">
            <v>以后不能重分类进损益的其他综合收益</v>
          </cell>
          <cell r="F159">
            <v>0</v>
          </cell>
          <cell r="G159">
            <v>0</v>
          </cell>
          <cell r="H159">
            <v>0</v>
          </cell>
          <cell r="I159">
            <v>0</v>
          </cell>
          <cell r="J159">
            <v>0</v>
          </cell>
          <cell r="K159">
            <v>0</v>
          </cell>
          <cell r="L159">
            <v>0</v>
          </cell>
          <cell r="M159">
            <v>0</v>
          </cell>
          <cell r="T159">
            <v>6829.2359999999999</v>
          </cell>
          <cell r="U159">
            <v>0</v>
          </cell>
        </row>
        <row r="160">
          <cell r="D160">
            <v>6829.2110000000002</v>
          </cell>
          <cell r="E160" t="str">
            <v>重新计量设定受益计划变动额</v>
          </cell>
          <cell r="F160">
            <v>0</v>
          </cell>
          <cell r="G160">
            <v>0</v>
          </cell>
          <cell r="H160">
            <v>0</v>
          </cell>
          <cell r="I160">
            <v>0</v>
          </cell>
          <cell r="J160">
            <v>0</v>
          </cell>
          <cell r="K160">
            <v>0</v>
          </cell>
          <cell r="L160">
            <v>0</v>
          </cell>
          <cell r="M160">
            <v>0</v>
          </cell>
          <cell r="T160">
            <v>6829.2370000000001</v>
          </cell>
          <cell r="U160">
            <v>0</v>
          </cell>
        </row>
        <row r="161">
          <cell r="D161">
            <v>6829.2120000000004</v>
          </cell>
          <cell r="E161" t="str">
            <v>权益法下不能转损益的其他综合收益</v>
          </cell>
          <cell r="F161">
            <v>0</v>
          </cell>
          <cell r="G161">
            <v>0</v>
          </cell>
          <cell r="H161">
            <v>0</v>
          </cell>
          <cell r="I161">
            <v>0</v>
          </cell>
          <cell r="J161">
            <v>0</v>
          </cell>
          <cell r="K161">
            <v>0</v>
          </cell>
          <cell r="L161">
            <v>0</v>
          </cell>
          <cell r="M161">
            <v>0</v>
          </cell>
          <cell r="T161">
            <v>6829.2389999999996</v>
          </cell>
          <cell r="U161">
            <v>0</v>
          </cell>
        </row>
        <row r="162">
          <cell r="D162">
            <v>6829.2190000000001</v>
          </cell>
          <cell r="E162" t="str">
            <v>其他以后不能重分类进损益的其他综合收益</v>
          </cell>
          <cell r="F162">
            <v>0</v>
          </cell>
          <cell r="G162">
            <v>0</v>
          </cell>
          <cell r="H162">
            <v>0</v>
          </cell>
          <cell r="I162">
            <v>0</v>
          </cell>
          <cell r="J162">
            <v>0</v>
          </cell>
          <cell r="K162">
            <v>0</v>
          </cell>
          <cell r="L162">
            <v>0</v>
          </cell>
          <cell r="M162">
            <v>0</v>
          </cell>
          <cell r="T162">
            <v>6829.5</v>
          </cell>
          <cell r="U162">
            <v>0</v>
          </cell>
        </row>
        <row r="163">
          <cell r="D163">
            <v>6829.23</v>
          </cell>
          <cell r="E163" t="str">
            <v>以后将重分类进损益的其他综合收益</v>
          </cell>
          <cell r="F163">
            <v>0</v>
          </cell>
          <cell r="G163">
            <v>0</v>
          </cell>
          <cell r="H163">
            <v>0</v>
          </cell>
          <cell r="I163">
            <v>0</v>
          </cell>
          <cell r="J163">
            <v>0</v>
          </cell>
          <cell r="K163">
            <v>0</v>
          </cell>
          <cell r="L163">
            <v>0</v>
          </cell>
          <cell r="M163">
            <v>0</v>
          </cell>
          <cell r="T163">
            <v>6839</v>
          </cell>
          <cell r="U163">
            <v>9093244.5299999993</v>
          </cell>
        </row>
        <row r="164">
          <cell r="D164">
            <v>6829.2309999999998</v>
          </cell>
          <cell r="E164" t="str">
            <v>权益法下可转损益的其他综合收益</v>
          </cell>
          <cell r="F164">
            <v>0</v>
          </cell>
          <cell r="G164">
            <v>0</v>
          </cell>
          <cell r="H164">
            <v>0</v>
          </cell>
          <cell r="I164">
            <v>0</v>
          </cell>
          <cell r="J164">
            <v>0</v>
          </cell>
          <cell r="K164">
            <v>0</v>
          </cell>
          <cell r="L164">
            <v>0</v>
          </cell>
          <cell r="M164">
            <v>0</v>
          </cell>
          <cell r="T164">
            <v>6841</v>
          </cell>
          <cell r="U164">
            <v>9093244.5299999993</v>
          </cell>
        </row>
        <row r="165">
          <cell r="D165">
            <v>6829.232</v>
          </cell>
          <cell r="E165" t="str">
            <v>可供出售金融资产公允价值变动损益</v>
          </cell>
          <cell r="F165">
            <v>0</v>
          </cell>
          <cell r="G165">
            <v>0</v>
          </cell>
          <cell r="H165">
            <v>0</v>
          </cell>
          <cell r="I165">
            <v>0</v>
          </cell>
          <cell r="J165">
            <v>0</v>
          </cell>
          <cell r="K165">
            <v>0</v>
          </cell>
          <cell r="L165">
            <v>0</v>
          </cell>
          <cell r="M165">
            <v>0</v>
          </cell>
          <cell r="T165">
            <v>6842</v>
          </cell>
          <cell r="U165">
            <v>0</v>
          </cell>
        </row>
        <row r="166">
          <cell r="D166">
            <v>6829.2330000000002</v>
          </cell>
          <cell r="E166" t="str">
            <v>持有至到期投资重分类为可供出售金融资产损益</v>
          </cell>
          <cell r="F166">
            <v>0</v>
          </cell>
          <cell r="G166">
            <v>0</v>
          </cell>
          <cell r="H166">
            <v>0</v>
          </cell>
          <cell r="I166">
            <v>0</v>
          </cell>
          <cell r="J166">
            <v>0</v>
          </cell>
          <cell r="K166">
            <v>0</v>
          </cell>
          <cell r="L166">
            <v>0</v>
          </cell>
          <cell r="M166">
            <v>0</v>
          </cell>
          <cell r="T166">
            <v>6820</v>
          </cell>
        </row>
        <row r="167">
          <cell r="D167">
            <v>6829.2340000000004</v>
          </cell>
          <cell r="E167" t="str">
            <v>现金流量套期损益的有效部分</v>
          </cell>
          <cell r="F167">
            <v>0</v>
          </cell>
          <cell r="G167">
            <v>0</v>
          </cell>
          <cell r="H167">
            <v>0</v>
          </cell>
          <cell r="I167">
            <v>0</v>
          </cell>
          <cell r="J167">
            <v>0</v>
          </cell>
          <cell r="K167">
            <v>0</v>
          </cell>
          <cell r="L167">
            <v>0</v>
          </cell>
          <cell r="M167">
            <v>0</v>
          </cell>
          <cell r="T167">
            <v>6821</v>
          </cell>
        </row>
        <row r="168">
          <cell r="D168">
            <v>6829.2349999999997</v>
          </cell>
          <cell r="E168" t="str">
            <v>外币财务报表折算差额</v>
          </cell>
          <cell r="F168">
            <v>0</v>
          </cell>
          <cell r="G168">
            <v>0</v>
          </cell>
          <cell r="H168">
            <v>0</v>
          </cell>
          <cell r="I168">
            <v>0</v>
          </cell>
          <cell r="J168">
            <v>0</v>
          </cell>
          <cell r="K168">
            <v>0</v>
          </cell>
          <cell r="L168">
            <v>0</v>
          </cell>
          <cell r="M168">
            <v>0</v>
          </cell>
          <cell r="T168">
            <v>6822</v>
          </cell>
        </row>
        <row r="169">
          <cell r="D169">
            <v>6829.2359999999999</v>
          </cell>
          <cell r="E169" t="str">
            <v>自用房地产或作为存货的房地产转换为以公允价值计量的投资性房地产在转换日公允价值大于账面价值部分</v>
          </cell>
          <cell r="F169">
            <v>0</v>
          </cell>
          <cell r="G169">
            <v>0</v>
          </cell>
          <cell r="H169">
            <v>0</v>
          </cell>
          <cell r="I169">
            <v>0</v>
          </cell>
          <cell r="J169">
            <v>0</v>
          </cell>
          <cell r="K169">
            <v>0</v>
          </cell>
          <cell r="L169">
            <v>0</v>
          </cell>
          <cell r="M169">
            <v>0</v>
          </cell>
          <cell r="T169">
            <v>6710.11</v>
          </cell>
        </row>
        <row r="170">
          <cell r="D170">
            <v>6829.2370000000001</v>
          </cell>
          <cell r="E170" t="str">
            <v>多次交易分步处置子公司股权构成一揽子交易的丧失控制权之前各次交易处置价款与对应净资产账面价值份额的差额</v>
          </cell>
          <cell r="F170">
            <v>0</v>
          </cell>
          <cell r="G170">
            <v>0</v>
          </cell>
          <cell r="H170">
            <v>0</v>
          </cell>
          <cell r="I170">
            <v>0</v>
          </cell>
          <cell r="J170">
            <v>0</v>
          </cell>
          <cell r="K170">
            <v>0</v>
          </cell>
          <cell r="L170">
            <v>0</v>
          </cell>
          <cell r="M170">
            <v>0</v>
          </cell>
          <cell r="T170">
            <v>6711.01</v>
          </cell>
        </row>
        <row r="171">
          <cell r="D171">
            <v>6829.2389999999996</v>
          </cell>
          <cell r="E171" t="str">
            <v>其他以后将重分类进损益的其他综合收益</v>
          </cell>
          <cell r="F171">
            <v>0</v>
          </cell>
          <cell r="G171">
            <v>0</v>
          </cell>
          <cell r="H171">
            <v>0</v>
          </cell>
          <cell r="I171">
            <v>0</v>
          </cell>
          <cell r="J171">
            <v>0</v>
          </cell>
          <cell r="K171">
            <v>0</v>
          </cell>
          <cell r="L171">
            <v>0</v>
          </cell>
          <cell r="M171">
            <v>0</v>
          </cell>
          <cell r="T171">
            <v>6805</v>
          </cell>
        </row>
        <row r="172">
          <cell r="D172">
            <v>6829.5</v>
          </cell>
          <cell r="E172" t="str">
            <v>归属于少数股东的其他综合收益的税后净额</v>
          </cell>
          <cell r="F172">
            <v>0</v>
          </cell>
          <cell r="G172">
            <v>0</v>
          </cell>
          <cell r="H172">
            <v>0</v>
          </cell>
          <cell r="I172">
            <v>0</v>
          </cell>
          <cell r="J172">
            <v>0</v>
          </cell>
          <cell r="K172">
            <v>0</v>
          </cell>
          <cell r="L172">
            <v>0</v>
          </cell>
          <cell r="M172">
            <v>0</v>
          </cell>
          <cell r="T172">
            <v>8</v>
          </cell>
        </row>
        <row r="173">
          <cell r="D173">
            <v>6839</v>
          </cell>
          <cell r="E173" t="str">
            <v>综合收益总额</v>
          </cell>
          <cell r="F173">
            <v>41500779.109999999</v>
          </cell>
          <cell r="G173">
            <v>55237970.619999997</v>
          </cell>
          <cell r="H173">
            <v>60358067.340000004</v>
          </cell>
          <cell r="I173">
            <v>46620875.829999998</v>
          </cell>
          <cell r="J173">
            <v>9093244.5299999993</v>
          </cell>
          <cell r="K173">
            <v>0</v>
          </cell>
          <cell r="L173">
            <v>0</v>
          </cell>
          <cell r="M173">
            <v>9093244.5299999993</v>
          </cell>
          <cell r="T173">
            <v>8000</v>
          </cell>
        </row>
        <row r="174">
          <cell r="D174">
            <v>6841</v>
          </cell>
          <cell r="E174" t="str">
            <v>归属于母公司所有者的综合收益总额</v>
          </cell>
          <cell r="F174">
            <v>41500779.109999999</v>
          </cell>
          <cell r="G174">
            <v>55237970.619999997</v>
          </cell>
          <cell r="H174">
            <v>60358067.340000004</v>
          </cell>
          <cell r="I174">
            <v>46620875.829999998</v>
          </cell>
          <cell r="J174">
            <v>9093244.5299999993</v>
          </cell>
          <cell r="K174">
            <v>0</v>
          </cell>
          <cell r="L174">
            <v>0</v>
          </cell>
          <cell r="M174">
            <v>9093244.5299999993</v>
          </cell>
          <cell r="T174">
            <v>8001</v>
          </cell>
          <cell r="U174">
            <v>184762875.46000001</v>
          </cell>
        </row>
        <row r="175">
          <cell r="D175">
            <v>6842</v>
          </cell>
          <cell r="E175" t="str">
            <v>归属于少数股东的综合收益总额</v>
          </cell>
          <cell r="F175">
            <v>0</v>
          </cell>
          <cell r="G175">
            <v>0</v>
          </cell>
          <cell r="H175">
            <v>0</v>
          </cell>
          <cell r="I175">
            <v>0</v>
          </cell>
          <cell r="J175">
            <v>0</v>
          </cell>
          <cell r="K175">
            <v>0</v>
          </cell>
          <cell r="L175">
            <v>0</v>
          </cell>
          <cell r="M175">
            <v>0</v>
          </cell>
          <cell r="T175">
            <v>8002</v>
          </cell>
          <cell r="U175">
            <v>0</v>
          </cell>
        </row>
        <row r="176">
          <cell r="D176">
            <v>6820</v>
          </cell>
          <cell r="E176" t="str">
            <v>每股收益</v>
          </cell>
          <cell r="T176">
            <v>8003</v>
          </cell>
          <cell r="U176">
            <v>0</v>
          </cell>
        </row>
        <row r="177">
          <cell r="D177">
            <v>6821</v>
          </cell>
          <cell r="E177" t="str">
            <v>基本每股收益</v>
          </cell>
          <cell r="T177">
            <v>8004</v>
          </cell>
          <cell r="U177">
            <v>0</v>
          </cell>
        </row>
        <row r="178">
          <cell r="D178">
            <v>6822</v>
          </cell>
          <cell r="E178" t="str">
            <v>稀释每股收益</v>
          </cell>
          <cell r="T178">
            <v>8009</v>
          </cell>
          <cell r="U178">
            <v>0</v>
          </cell>
        </row>
        <row r="179">
          <cell r="D179">
            <v>6710.11</v>
          </cell>
          <cell r="E179" t="str">
            <v>营业外收入_非流动资产处置利得</v>
          </cell>
          <cell r="T179">
            <v>8010</v>
          </cell>
          <cell r="U179">
            <v>184762875.46000001</v>
          </cell>
        </row>
        <row r="180">
          <cell r="D180">
            <v>6711.01</v>
          </cell>
          <cell r="E180" t="str">
            <v>非流动资产处置损失</v>
          </cell>
          <cell r="T180">
            <v>8090</v>
          </cell>
          <cell r="U180">
            <v>200808317.80000001</v>
          </cell>
        </row>
        <row r="181">
          <cell r="D181">
            <v>6805</v>
          </cell>
          <cell r="E181" t="str">
            <v>同一控制下企业合并的被合并方在合并前实现的净利润</v>
          </cell>
          <cell r="T181">
            <v>8021</v>
          </cell>
          <cell r="U181">
            <v>9093244.5299999993</v>
          </cell>
        </row>
        <row r="182">
          <cell r="D182">
            <v>8</v>
          </cell>
          <cell r="E182" t="str">
            <v>所有者权益变动表</v>
          </cell>
          <cell r="G182">
            <v>0</v>
          </cell>
          <cell r="H182">
            <v>0</v>
          </cell>
          <cell r="K182">
            <v>0</v>
          </cell>
          <cell r="L182">
            <v>0</v>
          </cell>
          <cell r="T182">
            <v>8030</v>
          </cell>
          <cell r="U182">
            <v>0</v>
          </cell>
        </row>
        <row r="183">
          <cell r="D183">
            <v>8000</v>
          </cell>
          <cell r="E183" t="str">
            <v>所有者权益增减变动</v>
          </cell>
          <cell r="T183">
            <v>8040</v>
          </cell>
          <cell r="U183">
            <v>9093244.5299999993</v>
          </cell>
        </row>
        <row r="184">
          <cell r="D184">
            <v>8001</v>
          </cell>
          <cell r="E184" t="str">
            <v>所有者权益_上年年末余额</v>
          </cell>
          <cell r="F184">
            <v>494976706.79000002</v>
          </cell>
          <cell r="G184">
            <v>24459272.120000001</v>
          </cell>
          <cell r="H184">
            <v>-84946241.409999996</v>
          </cell>
          <cell r="I184">
            <v>385571193.25999999</v>
          </cell>
          <cell r="J184">
            <v>184762875.46000001</v>
          </cell>
          <cell r="K184">
            <v>0</v>
          </cell>
          <cell r="L184">
            <v>0</v>
          </cell>
          <cell r="M184">
            <v>184762875.46000001</v>
          </cell>
          <cell r="T184">
            <v>8050</v>
          </cell>
          <cell r="U184">
            <v>190460552.36000001</v>
          </cell>
        </row>
        <row r="185">
          <cell r="D185">
            <v>8002</v>
          </cell>
          <cell r="E185" t="str">
            <v>所有者权益_会计政策变更调整上年年末余额</v>
          </cell>
          <cell r="F185">
            <v>0</v>
          </cell>
          <cell r="G185">
            <v>0</v>
          </cell>
          <cell r="H185">
            <v>0</v>
          </cell>
          <cell r="I185">
            <v>0</v>
          </cell>
          <cell r="J185">
            <v>0</v>
          </cell>
          <cell r="K185">
            <v>0</v>
          </cell>
          <cell r="L185">
            <v>0</v>
          </cell>
          <cell r="M185">
            <v>0</v>
          </cell>
          <cell r="T185">
            <v>8051</v>
          </cell>
          <cell r="U185">
            <v>185000000</v>
          </cell>
        </row>
        <row r="186">
          <cell r="D186">
            <v>8003</v>
          </cell>
          <cell r="E186" t="str">
            <v>所有者权益_前期差错更正调整上年年末余额</v>
          </cell>
          <cell r="F186">
            <v>-5765128.5700000003</v>
          </cell>
          <cell r="G186">
            <v>-7239397.5599999996</v>
          </cell>
          <cell r="H186">
            <v>-1474268.99</v>
          </cell>
          <cell r="I186">
            <v>0</v>
          </cell>
          <cell r="J186">
            <v>0</v>
          </cell>
          <cell r="K186">
            <v>0</v>
          </cell>
          <cell r="L186">
            <v>0</v>
          </cell>
          <cell r="M186">
            <v>0</v>
          </cell>
          <cell r="T186">
            <v>8053</v>
          </cell>
          <cell r="U186">
            <v>0</v>
          </cell>
        </row>
        <row r="187">
          <cell r="D187">
            <v>8004</v>
          </cell>
          <cell r="E187" t="str">
            <v>所有者权益_同一控制下企业合并调整上年年末余额</v>
          </cell>
          <cell r="F187">
            <v>0</v>
          </cell>
          <cell r="G187">
            <v>0</v>
          </cell>
          <cell r="H187">
            <v>0</v>
          </cell>
          <cell r="I187">
            <v>0</v>
          </cell>
          <cell r="J187">
            <v>0</v>
          </cell>
          <cell r="K187">
            <v>0</v>
          </cell>
          <cell r="L187">
            <v>0</v>
          </cell>
          <cell r="M187">
            <v>0</v>
          </cell>
          <cell r="T187">
            <v>8052</v>
          </cell>
          <cell r="U187">
            <v>5460552.3600000003</v>
          </cell>
        </row>
        <row r="188">
          <cell r="D188">
            <v>8009</v>
          </cell>
          <cell r="E188" t="str">
            <v>所有者权益_其他原因调整上年年末余额</v>
          </cell>
          <cell r="F188">
            <v>0</v>
          </cell>
          <cell r="G188">
            <v>0</v>
          </cell>
          <cell r="H188">
            <v>0</v>
          </cell>
          <cell r="I188">
            <v>0</v>
          </cell>
          <cell r="J188">
            <v>0</v>
          </cell>
          <cell r="K188">
            <v>0</v>
          </cell>
          <cell r="L188">
            <v>0</v>
          </cell>
          <cell r="M188">
            <v>0</v>
          </cell>
          <cell r="T188">
            <v>8056</v>
          </cell>
          <cell r="U188">
            <v>0</v>
          </cell>
        </row>
        <row r="189">
          <cell r="D189">
            <v>8010</v>
          </cell>
          <cell r="E189" t="str">
            <v>所有者权益_本年年初余额</v>
          </cell>
          <cell r="F189">
            <v>489211578.22000003</v>
          </cell>
          <cell r="G189">
            <v>17219874.559999999</v>
          </cell>
          <cell r="H189">
            <v>-86420510.400000006</v>
          </cell>
          <cell r="I189">
            <v>385571193.25999999</v>
          </cell>
          <cell r="J189">
            <v>184762875.46000001</v>
          </cell>
          <cell r="K189">
            <v>0</v>
          </cell>
          <cell r="L189">
            <v>0</v>
          </cell>
          <cell r="M189">
            <v>184762875.46000001</v>
          </cell>
          <cell r="T189">
            <v>8060</v>
          </cell>
          <cell r="U189">
            <v>0</v>
          </cell>
        </row>
        <row r="190">
          <cell r="D190">
            <v>8090</v>
          </cell>
          <cell r="E190" t="str">
            <v>所有者权益_本期增减变动金额</v>
          </cell>
          <cell r="F190">
            <v>42891915.710000001</v>
          </cell>
          <cell r="G190">
            <v>59900058.200000003</v>
          </cell>
          <cell r="H190">
            <v>64925490.409999996</v>
          </cell>
          <cell r="I190">
            <v>47917347.920000002</v>
          </cell>
          <cell r="J190">
            <v>200808317.80000001</v>
          </cell>
          <cell r="K190">
            <v>0</v>
          </cell>
          <cell r="L190">
            <v>0</v>
          </cell>
          <cell r="M190">
            <v>200808317.80000001</v>
          </cell>
          <cell r="T190">
            <v>8061</v>
          </cell>
          <cell r="U190">
            <v>0</v>
          </cell>
        </row>
        <row r="191">
          <cell r="D191">
            <v>8021</v>
          </cell>
          <cell r="E191" t="str">
            <v>所有者权益_净利润增加权益</v>
          </cell>
          <cell r="F191">
            <v>41500779.109999999</v>
          </cell>
          <cell r="G191">
            <v>55237970.619999997</v>
          </cell>
          <cell r="H191">
            <v>60358067.340000004</v>
          </cell>
          <cell r="I191">
            <v>46620875.829999998</v>
          </cell>
          <cell r="J191">
            <v>9093244.5299999993</v>
          </cell>
          <cell r="K191">
            <v>0</v>
          </cell>
          <cell r="L191">
            <v>0</v>
          </cell>
          <cell r="M191">
            <v>9093244.5299999993</v>
          </cell>
          <cell r="T191">
            <v>8062</v>
          </cell>
          <cell r="U191">
            <v>0</v>
          </cell>
        </row>
        <row r="192">
          <cell r="D192">
            <v>8030</v>
          </cell>
          <cell r="E192" t="str">
            <v>所有者权益_其他综合收益增加权益</v>
          </cell>
          <cell r="F192">
            <v>0</v>
          </cell>
          <cell r="G192">
            <v>0</v>
          </cell>
          <cell r="H192">
            <v>0</v>
          </cell>
          <cell r="I192">
            <v>0</v>
          </cell>
          <cell r="J192">
            <v>0</v>
          </cell>
          <cell r="K192">
            <v>0</v>
          </cell>
          <cell r="L192">
            <v>0</v>
          </cell>
          <cell r="M192">
            <v>0</v>
          </cell>
          <cell r="T192">
            <v>8063</v>
          </cell>
          <cell r="U192">
            <v>0</v>
          </cell>
        </row>
        <row r="193">
          <cell r="D193">
            <v>8040</v>
          </cell>
          <cell r="E193" t="str">
            <v>所有者权益_综合收益总额增加权益</v>
          </cell>
          <cell r="F193">
            <v>41500779.109999999</v>
          </cell>
          <cell r="G193">
            <v>55237970.619999997</v>
          </cell>
          <cell r="H193">
            <v>60358067.340000004</v>
          </cell>
          <cell r="I193">
            <v>46620875.829999998</v>
          </cell>
          <cell r="J193">
            <v>9093244.5299999993</v>
          </cell>
          <cell r="K193">
            <v>0</v>
          </cell>
          <cell r="L193">
            <v>0</v>
          </cell>
          <cell r="M193">
            <v>9093244.5299999993</v>
          </cell>
          <cell r="T193">
            <v>8066</v>
          </cell>
          <cell r="U193">
            <v>0</v>
          </cell>
        </row>
        <row r="194">
          <cell r="D194">
            <v>8050</v>
          </cell>
          <cell r="E194" t="str">
            <v>所有者权益_所有者投入和减少资本影响权益</v>
          </cell>
          <cell r="F194">
            <v>0</v>
          </cell>
          <cell r="G194">
            <v>0</v>
          </cell>
          <cell r="H194">
            <v>0</v>
          </cell>
          <cell r="I194">
            <v>0</v>
          </cell>
          <cell r="J194">
            <v>190460552.36000001</v>
          </cell>
          <cell r="K194">
            <v>0</v>
          </cell>
          <cell r="L194">
            <v>0</v>
          </cell>
          <cell r="M194">
            <v>190460552.36000001</v>
          </cell>
          <cell r="T194">
            <v>8070</v>
          </cell>
          <cell r="U194">
            <v>0</v>
          </cell>
        </row>
        <row r="195">
          <cell r="D195">
            <v>8051</v>
          </cell>
          <cell r="E195" t="str">
            <v>所有者权益_所有者投入资本增加权益</v>
          </cell>
          <cell r="F195">
            <v>0</v>
          </cell>
          <cell r="G195">
            <v>0</v>
          </cell>
          <cell r="H195">
            <v>0</v>
          </cell>
          <cell r="I195">
            <v>0</v>
          </cell>
          <cell r="J195">
            <v>185000000</v>
          </cell>
          <cell r="K195">
            <v>0</v>
          </cell>
          <cell r="L195">
            <v>0</v>
          </cell>
          <cell r="M195">
            <v>185000000</v>
          </cell>
          <cell r="T195">
            <v>8071</v>
          </cell>
          <cell r="U195">
            <v>0</v>
          </cell>
        </row>
        <row r="196">
          <cell r="D196">
            <v>8053</v>
          </cell>
          <cell r="E196" t="str">
            <v>所有者权益_其他权益工具持有者投入资本</v>
          </cell>
          <cell r="F196">
            <v>0</v>
          </cell>
          <cell r="G196">
            <v>0</v>
          </cell>
          <cell r="H196">
            <v>0</v>
          </cell>
          <cell r="I196">
            <v>0</v>
          </cell>
          <cell r="J196">
            <v>0</v>
          </cell>
          <cell r="K196">
            <v>0</v>
          </cell>
          <cell r="L196">
            <v>0</v>
          </cell>
          <cell r="M196">
            <v>0</v>
          </cell>
          <cell r="T196">
            <v>8072</v>
          </cell>
          <cell r="U196">
            <v>0</v>
          </cell>
        </row>
        <row r="197">
          <cell r="D197">
            <v>8052</v>
          </cell>
          <cell r="E197" t="str">
            <v>所有者权益_股份支付计入所有者权益的金额</v>
          </cell>
          <cell r="F197">
            <v>0</v>
          </cell>
          <cell r="G197">
            <v>0</v>
          </cell>
          <cell r="H197">
            <v>0</v>
          </cell>
          <cell r="I197">
            <v>0</v>
          </cell>
          <cell r="J197">
            <v>5460552.3600000003</v>
          </cell>
          <cell r="K197">
            <v>0</v>
          </cell>
          <cell r="L197">
            <v>0</v>
          </cell>
          <cell r="M197">
            <v>5460552.3600000003</v>
          </cell>
          <cell r="T197">
            <v>8073</v>
          </cell>
          <cell r="U197">
            <v>0</v>
          </cell>
        </row>
        <row r="198">
          <cell r="D198">
            <v>8056</v>
          </cell>
          <cell r="E198" t="str">
            <v>所有者权益_所有者其他投入和减少资本</v>
          </cell>
          <cell r="F198">
            <v>0</v>
          </cell>
          <cell r="G198">
            <v>0</v>
          </cell>
          <cell r="H198">
            <v>0</v>
          </cell>
          <cell r="I198">
            <v>0</v>
          </cell>
          <cell r="J198">
            <v>0</v>
          </cell>
          <cell r="K198">
            <v>0</v>
          </cell>
          <cell r="L198">
            <v>0</v>
          </cell>
          <cell r="M198">
            <v>0</v>
          </cell>
          <cell r="T198">
            <v>8075</v>
          </cell>
          <cell r="U198">
            <v>0</v>
          </cell>
        </row>
        <row r="199">
          <cell r="D199">
            <v>8060</v>
          </cell>
          <cell r="E199" t="str">
            <v>所有者权益_利润分配影响权益</v>
          </cell>
          <cell r="F199">
            <v>0</v>
          </cell>
          <cell r="G199">
            <v>4662087.58</v>
          </cell>
          <cell r="H199">
            <v>4662087.58</v>
          </cell>
          <cell r="I199">
            <v>0</v>
          </cell>
          <cell r="J199">
            <v>0</v>
          </cell>
          <cell r="K199">
            <v>0</v>
          </cell>
          <cell r="L199">
            <v>0</v>
          </cell>
          <cell r="M199">
            <v>0</v>
          </cell>
          <cell r="T199">
            <v>8076</v>
          </cell>
          <cell r="U199">
            <v>0</v>
          </cell>
        </row>
        <row r="200">
          <cell r="D200">
            <v>8061</v>
          </cell>
          <cell r="E200" t="str">
            <v>所有者权益_提取盈余公积影响权益</v>
          </cell>
          <cell r="F200">
            <v>0</v>
          </cell>
          <cell r="G200">
            <v>4662087.58</v>
          </cell>
          <cell r="H200">
            <v>4662087.58</v>
          </cell>
          <cell r="I200">
            <v>0</v>
          </cell>
          <cell r="J200">
            <v>0</v>
          </cell>
          <cell r="K200">
            <v>0</v>
          </cell>
          <cell r="L200">
            <v>0</v>
          </cell>
          <cell r="M200">
            <v>0</v>
          </cell>
          <cell r="T200">
            <v>8080</v>
          </cell>
          <cell r="U200">
            <v>1254520.9099999999</v>
          </cell>
        </row>
        <row r="201">
          <cell r="D201">
            <v>8062</v>
          </cell>
          <cell r="E201" t="str">
            <v>所有者权益_提取一般风险准备影响权益</v>
          </cell>
          <cell r="F201">
            <v>0</v>
          </cell>
          <cell r="G201">
            <v>0</v>
          </cell>
          <cell r="H201">
            <v>0</v>
          </cell>
          <cell r="I201">
            <v>0</v>
          </cell>
          <cell r="J201">
            <v>0</v>
          </cell>
          <cell r="K201">
            <v>0</v>
          </cell>
          <cell r="L201">
            <v>0</v>
          </cell>
          <cell r="M201">
            <v>0</v>
          </cell>
          <cell r="T201">
            <v>8081</v>
          </cell>
          <cell r="U201">
            <v>1254520.9099999999</v>
          </cell>
        </row>
        <row r="202">
          <cell r="D202">
            <v>8063</v>
          </cell>
          <cell r="E202" t="str">
            <v>所有者权益_对所有者的分配影响权益</v>
          </cell>
          <cell r="F202">
            <v>0</v>
          </cell>
          <cell r="G202">
            <v>0</v>
          </cell>
          <cell r="H202">
            <v>0</v>
          </cell>
          <cell r="I202">
            <v>0</v>
          </cell>
          <cell r="J202">
            <v>0</v>
          </cell>
          <cell r="K202">
            <v>0</v>
          </cell>
          <cell r="L202">
            <v>0</v>
          </cell>
          <cell r="M202">
            <v>0</v>
          </cell>
          <cell r="T202">
            <v>8082</v>
          </cell>
          <cell r="U202">
            <v>0</v>
          </cell>
        </row>
        <row r="203">
          <cell r="D203">
            <v>8066</v>
          </cell>
          <cell r="E203" t="str">
            <v>所有者权益_其他利润分配影响权益</v>
          </cell>
          <cell r="F203">
            <v>0</v>
          </cell>
          <cell r="G203">
            <v>0</v>
          </cell>
          <cell r="H203">
            <v>0</v>
          </cell>
          <cell r="I203">
            <v>0</v>
          </cell>
          <cell r="J203">
            <v>0</v>
          </cell>
          <cell r="K203">
            <v>0</v>
          </cell>
          <cell r="L203">
            <v>0</v>
          </cell>
          <cell r="M203">
            <v>0</v>
          </cell>
          <cell r="T203">
            <v>8096</v>
          </cell>
          <cell r="U203">
            <v>0</v>
          </cell>
        </row>
        <row r="204">
          <cell r="D204">
            <v>8070</v>
          </cell>
          <cell r="E204" t="str">
            <v>所有者权益_所有者权益内部结转</v>
          </cell>
          <cell r="F204">
            <v>0</v>
          </cell>
          <cell r="G204">
            <v>0</v>
          </cell>
          <cell r="H204">
            <v>0</v>
          </cell>
          <cell r="I204">
            <v>0</v>
          </cell>
          <cell r="J204">
            <v>0</v>
          </cell>
          <cell r="K204">
            <v>0</v>
          </cell>
          <cell r="L204">
            <v>0</v>
          </cell>
          <cell r="M204">
            <v>0</v>
          </cell>
          <cell r="T204">
            <v>8099</v>
          </cell>
          <cell r="U204">
            <v>385571193.25999999</v>
          </cell>
        </row>
        <row r="205">
          <cell r="D205">
            <v>8071</v>
          </cell>
          <cell r="E205" t="str">
            <v>所有者权益_资本公积转增资本影响权益</v>
          </cell>
          <cell r="F205">
            <v>0</v>
          </cell>
          <cell r="G205">
            <v>0</v>
          </cell>
          <cell r="H205">
            <v>0</v>
          </cell>
          <cell r="I205">
            <v>0</v>
          </cell>
          <cell r="J205">
            <v>0</v>
          </cell>
          <cell r="K205">
            <v>0</v>
          </cell>
          <cell r="L205">
            <v>0</v>
          </cell>
          <cell r="M205">
            <v>0</v>
          </cell>
          <cell r="T205">
            <v>8100</v>
          </cell>
        </row>
        <row r="206">
          <cell r="D206">
            <v>8072</v>
          </cell>
          <cell r="E206" t="str">
            <v>所有者权益_盈余公积转增资本影响权益</v>
          </cell>
          <cell r="F206">
            <v>0</v>
          </cell>
          <cell r="G206">
            <v>0</v>
          </cell>
          <cell r="H206">
            <v>0</v>
          </cell>
          <cell r="I206">
            <v>0</v>
          </cell>
          <cell r="J206">
            <v>0</v>
          </cell>
          <cell r="K206">
            <v>0</v>
          </cell>
          <cell r="L206">
            <v>0</v>
          </cell>
          <cell r="M206">
            <v>0</v>
          </cell>
          <cell r="T206">
            <v>8101</v>
          </cell>
          <cell r="U206">
            <v>120000000</v>
          </cell>
        </row>
        <row r="207">
          <cell r="D207">
            <v>8073</v>
          </cell>
          <cell r="E207" t="str">
            <v>所有者权益_盈余公积弥补亏损影响权益</v>
          </cell>
          <cell r="F207">
            <v>0</v>
          </cell>
          <cell r="G207">
            <v>0</v>
          </cell>
          <cell r="H207">
            <v>0</v>
          </cell>
          <cell r="I207">
            <v>0</v>
          </cell>
          <cell r="J207">
            <v>0</v>
          </cell>
          <cell r="K207">
            <v>0</v>
          </cell>
          <cell r="L207">
            <v>0</v>
          </cell>
          <cell r="M207">
            <v>0</v>
          </cell>
          <cell r="T207">
            <v>8102</v>
          </cell>
          <cell r="U207">
            <v>0</v>
          </cell>
        </row>
        <row r="208">
          <cell r="D208">
            <v>8075</v>
          </cell>
          <cell r="E208" t="str">
            <v>所有者权益_设定受益计划变动额结转留存收益</v>
          </cell>
          <cell r="F208">
            <v>0</v>
          </cell>
          <cell r="G208">
            <v>0</v>
          </cell>
          <cell r="H208">
            <v>0</v>
          </cell>
          <cell r="I208">
            <v>0</v>
          </cell>
          <cell r="J208">
            <v>0</v>
          </cell>
          <cell r="K208">
            <v>0</v>
          </cell>
          <cell r="L208">
            <v>0</v>
          </cell>
          <cell r="M208">
            <v>0</v>
          </cell>
          <cell r="T208">
            <v>8103</v>
          </cell>
          <cell r="U208">
            <v>0</v>
          </cell>
        </row>
        <row r="209">
          <cell r="D209">
            <v>8076</v>
          </cell>
          <cell r="E209" t="str">
            <v>所有者权益_所有者权益其他内部结转</v>
          </cell>
          <cell r="F209">
            <v>0</v>
          </cell>
          <cell r="G209">
            <v>0</v>
          </cell>
          <cell r="H209">
            <v>0</v>
          </cell>
          <cell r="I209">
            <v>0</v>
          </cell>
          <cell r="J209">
            <v>0</v>
          </cell>
          <cell r="K209">
            <v>0</v>
          </cell>
          <cell r="L209">
            <v>0</v>
          </cell>
          <cell r="M209">
            <v>0</v>
          </cell>
          <cell r="T209">
            <v>8104</v>
          </cell>
          <cell r="U209">
            <v>0</v>
          </cell>
        </row>
        <row r="210">
          <cell r="D210">
            <v>8080</v>
          </cell>
          <cell r="E210" t="str">
            <v>所有者权益_专项储备影响权益</v>
          </cell>
          <cell r="F210">
            <v>1391136.6</v>
          </cell>
          <cell r="G210">
            <v>0</v>
          </cell>
          <cell r="H210">
            <v>-94664.51</v>
          </cell>
          <cell r="I210">
            <v>1296472.0900000001</v>
          </cell>
          <cell r="J210">
            <v>1254520.9099999999</v>
          </cell>
          <cell r="K210">
            <v>0</v>
          </cell>
          <cell r="L210">
            <v>0</v>
          </cell>
          <cell r="M210">
            <v>1254520.9099999999</v>
          </cell>
          <cell r="T210">
            <v>8109</v>
          </cell>
          <cell r="U210">
            <v>0</v>
          </cell>
        </row>
        <row r="211">
          <cell r="D211">
            <v>8081</v>
          </cell>
          <cell r="E211" t="str">
            <v>所有者权益_专项储备本期提取</v>
          </cell>
          <cell r="F211">
            <v>1613136.6</v>
          </cell>
          <cell r="G211">
            <v>0</v>
          </cell>
          <cell r="H211">
            <v>-94664.51</v>
          </cell>
          <cell r="I211">
            <v>1518472.09</v>
          </cell>
          <cell r="J211">
            <v>1254520.9099999999</v>
          </cell>
          <cell r="K211">
            <v>0</v>
          </cell>
          <cell r="L211">
            <v>0</v>
          </cell>
          <cell r="M211">
            <v>1254520.9099999999</v>
          </cell>
          <cell r="T211">
            <v>8110</v>
          </cell>
          <cell r="U211">
            <v>120000000</v>
          </cell>
        </row>
        <row r="212">
          <cell r="D212">
            <v>8082</v>
          </cell>
          <cell r="E212" t="str">
            <v>所有者权益_专项储备本期使用</v>
          </cell>
          <cell r="F212">
            <v>-222000</v>
          </cell>
          <cell r="G212">
            <v>0</v>
          </cell>
          <cell r="H212">
            <v>0</v>
          </cell>
          <cell r="I212">
            <v>-222000</v>
          </cell>
          <cell r="J212">
            <v>0</v>
          </cell>
          <cell r="K212">
            <v>0</v>
          </cell>
          <cell r="L212">
            <v>0</v>
          </cell>
          <cell r="M212">
            <v>0</v>
          </cell>
          <cell r="T212">
            <v>8190</v>
          </cell>
          <cell r="U212">
            <v>240000000</v>
          </cell>
        </row>
        <row r="213">
          <cell r="D213">
            <v>8096</v>
          </cell>
          <cell r="E213" t="str">
            <v>所有者权益_本期其他增减变动</v>
          </cell>
          <cell r="F213">
            <v>0</v>
          </cell>
          <cell r="G213">
            <v>0</v>
          </cell>
          <cell r="H213">
            <v>0</v>
          </cell>
          <cell r="I213">
            <v>0</v>
          </cell>
          <cell r="J213">
            <v>0</v>
          </cell>
          <cell r="K213">
            <v>0</v>
          </cell>
          <cell r="L213">
            <v>0</v>
          </cell>
          <cell r="M213">
            <v>0</v>
          </cell>
          <cell r="T213">
            <v>8121</v>
          </cell>
          <cell r="U213">
            <v>0</v>
          </cell>
        </row>
        <row r="214">
          <cell r="D214">
            <v>8099</v>
          </cell>
          <cell r="E214" t="str">
            <v>所有者权益_本期期末余额</v>
          </cell>
          <cell r="F214">
            <v>532103493.93000001</v>
          </cell>
          <cell r="G214">
            <v>77119932.760000005</v>
          </cell>
          <cell r="H214">
            <v>-21495019.989999998</v>
          </cell>
          <cell r="I214">
            <v>433488541.18000001</v>
          </cell>
          <cell r="J214">
            <v>385571193.25999999</v>
          </cell>
          <cell r="K214">
            <v>0</v>
          </cell>
          <cell r="L214">
            <v>0</v>
          </cell>
          <cell r="M214">
            <v>385571193.25999999</v>
          </cell>
          <cell r="T214">
            <v>8130</v>
          </cell>
          <cell r="U214">
            <v>0</v>
          </cell>
        </row>
        <row r="215">
          <cell r="D215">
            <v>8100</v>
          </cell>
          <cell r="E215" t="str">
            <v>实收资本增减变动</v>
          </cell>
          <cell r="T215">
            <v>8140</v>
          </cell>
          <cell r="U215">
            <v>0</v>
          </cell>
        </row>
        <row r="216">
          <cell r="D216">
            <v>8101</v>
          </cell>
          <cell r="E216" t="str">
            <v>实收资本_上年年末余额</v>
          </cell>
          <cell r="F216">
            <v>360000000</v>
          </cell>
          <cell r="G216">
            <v>0</v>
          </cell>
          <cell r="H216">
            <v>0</v>
          </cell>
          <cell r="I216">
            <v>360000000</v>
          </cell>
          <cell r="J216">
            <v>120000000</v>
          </cell>
          <cell r="K216">
            <v>0</v>
          </cell>
          <cell r="L216">
            <v>0</v>
          </cell>
          <cell r="M216">
            <v>120000000</v>
          </cell>
          <cell r="T216">
            <v>8150</v>
          </cell>
          <cell r="U216">
            <v>29600000</v>
          </cell>
        </row>
        <row r="217">
          <cell r="D217">
            <v>8102</v>
          </cell>
          <cell r="E217" t="str">
            <v>实收资本_会计政策变更调整上年年末余额</v>
          </cell>
          <cell r="F217">
            <v>0</v>
          </cell>
          <cell r="G217">
            <v>0</v>
          </cell>
          <cell r="H217">
            <v>0</v>
          </cell>
          <cell r="I217">
            <v>0</v>
          </cell>
          <cell r="J217">
            <v>0</v>
          </cell>
          <cell r="K217">
            <v>0</v>
          </cell>
          <cell r="L217">
            <v>0</v>
          </cell>
          <cell r="M217">
            <v>0</v>
          </cell>
          <cell r="T217">
            <v>8151</v>
          </cell>
          <cell r="U217">
            <v>29600000</v>
          </cell>
        </row>
        <row r="218">
          <cell r="D218">
            <v>8103</v>
          </cell>
          <cell r="E218" t="str">
            <v>实收资本_前期差错更正调整上年年末余额</v>
          </cell>
          <cell r="F218">
            <v>0</v>
          </cell>
          <cell r="G218">
            <v>0</v>
          </cell>
          <cell r="H218">
            <v>0</v>
          </cell>
          <cell r="I218">
            <v>0</v>
          </cell>
          <cell r="J218">
            <v>0</v>
          </cell>
          <cell r="K218">
            <v>0</v>
          </cell>
          <cell r="L218">
            <v>0</v>
          </cell>
          <cell r="M218">
            <v>0</v>
          </cell>
          <cell r="T218">
            <v>8153</v>
          </cell>
          <cell r="U218">
            <v>0</v>
          </cell>
        </row>
        <row r="219">
          <cell r="D219">
            <v>8104</v>
          </cell>
          <cell r="E219" t="str">
            <v>实收资本_同一控制下企业合并调整上年年末余额</v>
          </cell>
          <cell r="F219">
            <v>0</v>
          </cell>
          <cell r="G219">
            <v>0</v>
          </cell>
          <cell r="H219">
            <v>0</v>
          </cell>
          <cell r="I219">
            <v>0</v>
          </cell>
          <cell r="J219">
            <v>0</v>
          </cell>
          <cell r="K219">
            <v>0</v>
          </cell>
          <cell r="L219">
            <v>0</v>
          </cell>
          <cell r="M219">
            <v>0</v>
          </cell>
          <cell r="T219">
            <v>8152</v>
          </cell>
          <cell r="U219">
            <v>0</v>
          </cell>
        </row>
        <row r="220">
          <cell r="D220">
            <v>8109</v>
          </cell>
          <cell r="E220" t="str">
            <v>实收资本_其他原因调整上年年末余额</v>
          </cell>
          <cell r="F220">
            <v>0</v>
          </cell>
          <cell r="G220">
            <v>0</v>
          </cell>
          <cell r="H220">
            <v>0</v>
          </cell>
          <cell r="I220">
            <v>0</v>
          </cell>
          <cell r="J220">
            <v>0</v>
          </cell>
          <cell r="K220">
            <v>0</v>
          </cell>
          <cell r="L220">
            <v>0</v>
          </cell>
          <cell r="M220">
            <v>0</v>
          </cell>
          <cell r="T220">
            <v>8156</v>
          </cell>
          <cell r="U220">
            <v>0</v>
          </cell>
        </row>
        <row r="221">
          <cell r="D221">
            <v>8110</v>
          </cell>
          <cell r="E221" t="str">
            <v>实收资本_本年年初余额</v>
          </cell>
          <cell r="F221">
            <v>360000000</v>
          </cell>
          <cell r="G221">
            <v>0</v>
          </cell>
          <cell r="H221">
            <v>0</v>
          </cell>
          <cell r="I221">
            <v>360000000</v>
          </cell>
          <cell r="J221">
            <v>120000000</v>
          </cell>
          <cell r="K221">
            <v>0</v>
          </cell>
          <cell r="L221">
            <v>0</v>
          </cell>
          <cell r="M221">
            <v>120000000</v>
          </cell>
          <cell r="T221">
            <v>8160</v>
          </cell>
          <cell r="U221">
            <v>0</v>
          </cell>
        </row>
        <row r="222">
          <cell r="D222">
            <v>8190</v>
          </cell>
          <cell r="E222" t="str">
            <v>实收资本_本期增减变动金额</v>
          </cell>
          <cell r="F222">
            <v>0</v>
          </cell>
          <cell r="G222">
            <v>0</v>
          </cell>
          <cell r="H222">
            <v>0</v>
          </cell>
          <cell r="I222">
            <v>0</v>
          </cell>
          <cell r="J222">
            <v>240000000</v>
          </cell>
          <cell r="K222">
            <v>0</v>
          </cell>
          <cell r="L222">
            <v>0</v>
          </cell>
          <cell r="M222">
            <v>240000000</v>
          </cell>
          <cell r="T222">
            <v>8161</v>
          </cell>
          <cell r="U222">
            <v>0</v>
          </cell>
        </row>
        <row r="223">
          <cell r="D223">
            <v>8121</v>
          </cell>
          <cell r="E223" t="str">
            <v>实收资本_净利润增加权益</v>
          </cell>
          <cell r="F223">
            <v>0</v>
          </cell>
          <cell r="G223">
            <v>0</v>
          </cell>
          <cell r="H223">
            <v>0</v>
          </cell>
          <cell r="I223">
            <v>0</v>
          </cell>
          <cell r="J223">
            <v>0</v>
          </cell>
          <cell r="K223">
            <v>0</v>
          </cell>
          <cell r="L223">
            <v>0</v>
          </cell>
          <cell r="M223">
            <v>0</v>
          </cell>
          <cell r="T223">
            <v>8162</v>
          </cell>
          <cell r="U223">
            <v>0</v>
          </cell>
        </row>
        <row r="224">
          <cell r="D224">
            <v>8130</v>
          </cell>
          <cell r="E224" t="str">
            <v>实收资本_其他综合收益增加权益</v>
          </cell>
          <cell r="F224">
            <v>0</v>
          </cell>
          <cell r="G224">
            <v>0</v>
          </cell>
          <cell r="H224">
            <v>0</v>
          </cell>
          <cell r="I224">
            <v>0</v>
          </cell>
          <cell r="J224">
            <v>0</v>
          </cell>
          <cell r="K224">
            <v>0</v>
          </cell>
          <cell r="L224">
            <v>0</v>
          </cell>
          <cell r="M224">
            <v>0</v>
          </cell>
          <cell r="T224">
            <v>8163</v>
          </cell>
          <cell r="U224">
            <v>0</v>
          </cell>
        </row>
        <row r="225">
          <cell r="D225">
            <v>8140</v>
          </cell>
          <cell r="E225" t="str">
            <v>实收资本_综合收益总额增加权益</v>
          </cell>
          <cell r="F225">
            <v>0</v>
          </cell>
          <cell r="G225">
            <v>0</v>
          </cell>
          <cell r="H225">
            <v>0</v>
          </cell>
          <cell r="I225">
            <v>0</v>
          </cell>
          <cell r="J225">
            <v>0</v>
          </cell>
          <cell r="K225">
            <v>0</v>
          </cell>
          <cell r="L225">
            <v>0</v>
          </cell>
          <cell r="M225">
            <v>0</v>
          </cell>
          <cell r="T225">
            <v>8166</v>
          </cell>
          <cell r="U225">
            <v>0</v>
          </cell>
        </row>
        <row r="226">
          <cell r="D226">
            <v>8150</v>
          </cell>
          <cell r="E226" t="str">
            <v>实收资本_所有者投入和减少资本影响权益</v>
          </cell>
          <cell r="F226">
            <v>0</v>
          </cell>
          <cell r="G226">
            <v>0</v>
          </cell>
          <cell r="H226">
            <v>0</v>
          </cell>
          <cell r="I226">
            <v>0</v>
          </cell>
          <cell r="J226">
            <v>29600000</v>
          </cell>
          <cell r="K226">
            <v>0</v>
          </cell>
          <cell r="L226">
            <v>0</v>
          </cell>
          <cell r="M226">
            <v>29600000</v>
          </cell>
          <cell r="T226">
            <v>8170</v>
          </cell>
          <cell r="U226">
            <v>210400000</v>
          </cell>
        </row>
        <row r="227">
          <cell r="D227">
            <v>8151</v>
          </cell>
          <cell r="E227" t="str">
            <v>实收资本_所有者投入资本</v>
          </cell>
          <cell r="F227">
            <v>0</v>
          </cell>
          <cell r="G227">
            <v>0</v>
          </cell>
          <cell r="H227">
            <v>0</v>
          </cell>
          <cell r="I227">
            <v>0</v>
          </cell>
          <cell r="J227">
            <v>29600000</v>
          </cell>
          <cell r="K227">
            <v>0</v>
          </cell>
          <cell r="L227">
            <v>0</v>
          </cell>
          <cell r="M227">
            <v>29600000</v>
          </cell>
          <cell r="T227">
            <v>8171</v>
          </cell>
          <cell r="U227">
            <v>210400000</v>
          </cell>
        </row>
        <row r="228">
          <cell r="D228">
            <v>8153</v>
          </cell>
          <cell r="E228" t="str">
            <v>实收资本_其他权益工具持有者投入资本</v>
          </cell>
          <cell r="F228">
            <v>0</v>
          </cell>
          <cell r="G228">
            <v>0</v>
          </cell>
          <cell r="H228">
            <v>0</v>
          </cell>
          <cell r="I228">
            <v>0</v>
          </cell>
          <cell r="J228">
            <v>0</v>
          </cell>
          <cell r="K228">
            <v>0</v>
          </cell>
          <cell r="L228">
            <v>0</v>
          </cell>
          <cell r="M228">
            <v>0</v>
          </cell>
          <cell r="T228">
            <v>8172</v>
          </cell>
          <cell r="U228">
            <v>0</v>
          </cell>
        </row>
        <row r="229">
          <cell r="D229">
            <v>8152</v>
          </cell>
          <cell r="E229" t="str">
            <v>实收资本_股份支付计入所有者权益的金额</v>
          </cell>
          <cell r="F229">
            <v>0</v>
          </cell>
          <cell r="G229">
            <v>0</v>
          </cell>
          <cell r="H229">
            <v>0</v>
          </cell>
          <cell r="I229">
            <v>0</v>
          </cell>
          <cell r="J229">
            <v>0</v>
          </cell>
          <cell r="K229">
            <v>0</v>
          </cell>
          <cell r="L229">
            <v>0</v>
          </cell>
          <cell r="M229">
            <v>0</v>
          </cell>
          <cell r="T229">
            <v>8173</v>
          </cell>
          <cell r="U229">
            <v>0</v>
          </cell>
        </row>
        <row r="230">
          <cell r="D230">
            <v>8156</v>
          </cell>
          <cell r="E230" t="str">
            <v>实收资本_所有者其他投入和减少资本</v>
          </cell>
          <cell r="F230">
            <v>0</v>
          </cell>
          <cell r="G230">
            <v>0</v>
          </cell>
          <cell r="H230">
            <v>0</v>
          </cell>
          <cell r="I230">
            <v>0</v>
          </cell>
          <cell r="J230">
            <v>0</v>
          </cell>
          <cell r="K230">
            <v>0</v>
          </cell>
          <cell r="L230">
            <v>0</v>
          </cell>
          <cell r="M230">
            <v>0</v>
          </cell>
          <cell r="T230">
            <v>8175</v>
          </cell>
          <cell r="U230">
            <v>0</v>
          </cell>
        </row>
        <row r="231">
          <cell r="D231">
            <v>8160</v>
          </cell>
          <cell r="E231" t="str">
            <v>实收资本_利润分配影响权益</v>
          </cell>
          <cell r="F231">
            <v>0</v>
          </cell>
          <cell r="G231">
            <v>0</v>
          </cell>
          <cell r="H231">
            <v>0</v>
          </cell>
          <cell r="I231">
            <v>0</v>
          </cell>
          <cell r="J231">
            <v>0</v>
          </cell>
          <cell r="K231">
            <v>0</v>
          </cell>
          <cell r="L231">
            <v>0</v>
          </cell>
          <cell r="M231">
            <v>0</v>
          </cell>
          <cell r="T231">
            <v>8176</v>
          </cell>
          <cell r="U231">
            <v>0</v>
          </cell>
        </row>
        <row r="232">
          <cell r="D232">
            <v>8161</v>
          </cell>
          <cell r="E232" t="str">
            <v>实收资本_提取盈余公积影响权益</v>
          </cell>
          <cell r="F232">
            <v>0</v>
          </cell>
          <cell r="G232">
            <v>0</v>
          </cell>
          <cell r="H232">
            <v>0</v>
          </cell>
          <cell r="I232">
            <v>0</v>
          </cell>
          <cell r="J232">
            <v>0</v>
          </cell>
          <cell r="K232">
            <v>0</v>
          </cell>
          <cell r="L232">
            <v>0</v>
          </cell>
          <cell r="M232">
            <v>0</v>
          </cell>
          <cell r="T232">
            <v>8180</v>
          </cell>
          <cell r="U232">
            <v>0</v>
          </cell>
        </row>
        <row r="233">
          <cell r="D233">
            <v>8162</v>
          </cell>
          <cell r="E233" t="str">
            <v>实收资本_提取一般风险准备影响权益</v>
          </cell>
          <cell r="F233">
            <v>0</v>
          </cell>
          <cell r="G233">
            <v>0</v>
          </cell>
          <cell r="H233">
            <v>0</v>
          </cell>
          <cell r="I233">
            <v>0</v>
          </cell>
          <cell r="J233">
            <v>0</v>
          </cell>
          <cell r="K233">
            <v>0</v>
          </cell>
          <cell r="L233">
            <v>0</v>
          </cell>
          <cell r="M233">
            <v>0</v>
          </cell>
          <cell r="T233">
            <v>8181</v>
          </cell>
          <cell r="U233">
            <v>0</v>
          </cell>
        </row>
        <row r="234">
          <cell r="D234">
            <v>8163</v>
          </cell>
          <cell r="E234" t="str">
            <v>实收资本_对所有者的分配影响权益</v>
          </cell>
          <cell r="F234">
            <v>0</v>
          </cell>
          <cell r="G234">
            <v>0</v>
          </cell>
          <cell r="H234">
            <v>0</v>
          </cell>
          <cell r="I234">
            <v>0</v>
          </cell>
          <cell r="J234">
            <v>0</v>
          </cell>
          <cell r="K234">
            <v>0</v>
          </cell>
          <cell r="L234">
            <v>0</v>
          </cell>
          <cell r="M234">
            <v>0</v>
          </cell>
          <cell r="T234">
            <v>8182</v>
          </cell>
          <cell r="U234">
            <v>0</v>
          </cell>
        </row>
        <row r="235">
          <cell r="D235">
            <v>8166</v>
          </cell>
          <cell r="E235" t="str">
            <v>实收资本_其他利润分配影响权益</v>
          </cell>
          <cell r="F235">
            <v>0</v>
          </cell>
          <cell r="G235">
            <v>0</v>
          </cell>
          <cell r="H235">
            <v>0</v>
          </cell>
          <cell r="I235">
            <v>0</v>
          </cell>
          <cell r="J235">
            <v>0</v>
          </cell>
          <cell r="K235">
            <v>0</v>
          </cell>
          <cell r="L235">
            <v>0</v>
          </cell>
          <cell r="M235">
            <v>0</v>
          </cell>
          <cell r="T235">
            <v>8196</v>
          </cell>
          <cell r="U235">
            <v>0</v>
          </cell>
        </row>
        <row r="236">
          <cell r="D236">
            <v>8170</v>
          </cell>
          <cell r="E236" t="str">
            <v>实收资本_所有者权益内部结转</v>
          </cell>
          <cell r="F236">
            <v>0</v>
          </cell>
          <cell r="G236">
            <v>0</v>
          </cell>
          <cell r="H236">
            <v>0</v>
          </cell>
          <cell r="I236">
            <v>0</v>
          </cell>
          <cell r="J236">
            <v>210400000</v>
          </cell>
          <cell r="K236">
            <v>0</v>
          </cell>
          <cell r="L236">
            <v>0</v>
          </cell>
          <cell r="M236">
            <v>210400000</v>
          </cell>
          <cell r="T236">
            <v>8199</v>
          </cell>
          <cell r="U236">
            <v>360000000</v>
          </cell>
        </row>
        <row r="237">
          <cell r="D237">
            <v>8171</v>
          </cell>
          <cell r="E237" t="str">
            <v>实收资本_资本公积转增</v>
          </cell>
          <cell r="F237">
            <v>0</v>
          </cell>
          <cell r="G237">
            <v>0</v>
          </cell>
          <cell r="H237">
            <v>0</v>
          </cell>
          <cell r="I237">
            <v>0</v>
          </cell>
          <cell r="J237">
            <v>210400000</v>
          </cell>
          <cell r="K237">
            <v>0</v>
          </cell>
          <cell r="L237">
            <v>0</v>
          </cell>
          <cell r="M237">
            <v>210400000</v>
          </cell>
          <cell r="T237" t="str">
            <v>8b00</v>
          </cell>
        </row>
        <row r="238">
          <cell r="D238">
            <v>8172</v>
          </cell>
          <cell r="E238" t="str">
            <v>实收资本_盈余公积转增</v>
          </cell>
          <cell r="F238">
            <v>0</v>
          </cell>
          <cell r="G238">
            <v>0</v>
          </cell>
          <cell r="H238">
            <v>0</v>
          </cell>
          <cell r="I238">
            <v>0</v>
          </cell>
          <cell r="J238">
            <v>0</v>
          </cell>
          <cell r="K238">
            <v>0</v>
          </cell>
          <cell r="L238">
            <v>0</v>
          </cell>
          <cell r="M238">
            <v>0</v>
          </cell>
          <cell r="T238" t="str">
            <v>8b01</v>
          </cell>
          <cell r="U238">
            <v>0</v>
          </cell>
        </row>
        <row r="239">
          <cell r="D239">
            <v>8173</v>
          </cell>
          <cell r="E239" t="str">
            <v>实收资本_盈余公积弥补亏损影响权益</v>
          </cell>
          <cell r="F239">
            <v>0</v>
          </cell>
          <cell r="G239">
            <v>0</v>
          </cell>
          <cell r="H239">
            <v>0</v>
          </cell>
          <cell r="I239">
            <v>0</v>
          </cell>
          <cell r="J239">
            <v>0</v>
          </cell>
          <cell r="K239">
            <v>0</v>
          </cell>
          <cell r="L239">
            <v>0</v>
          </cell>
          <cell r="M239">
            <v>0</v>
          </cell>
          <cell r="T239" t="str">
            <v>8b02</v>
          </cell>
          <cell r="U239">
            <v>0</v>
          </cell>
        </row>
        <row r="240">
          <cell r="D240">
            <v>8175</v>
          </cell>
          <cell r="E240" t="str">
            <v>实收资本_设定受益计划变动额结转留存收益</v>
          </cell>
          <cell r="F240">
            <v>0</v>
          </cell>
          <cell r="G240">
            <v>0</v>
          </cell>
          <cell r="H240">
            <v>0</v>
          </cell>
          <cell r="I240">
            <v>0</v>
          </cell>
          <cell r="J240">
            <v>0</v>
          </cell>
          <cell r="K240">
            <v>0</v>
          </cell>
          <cell r="L240">
            <v>0</v>
          </cell>
          <cell r="M240">
            <v>0</v>
          </cell>
          <cell r="T240" t="str">
            <v>8b03</v>
          </cell>
          <cell r="U240">
            <v>0</v>
          </cell>
        </row>
        <row r="241">
          <cell r="D241">
            <v>8176</v>
          </cell>
          <cell r="E241" t="str">
            <v>实收资本_所有者权益其他内部结转</v>
          </cell>
          <cell r="F241">
            <v>0</v>
          </cell>
          <cell r="G241">
            <v>0</v>
          </cell>
          <cell r="H241">
            <v>0</v>
          </cell>
          <cell r="I241">
            <v>0</v>
          </cell>
          <cell r="J241">
            <v>0</v>
          </cell>
          <cell r="K241">
            <v>0</v>
          </cell>
          <cell r="L241">
            <v>0</v>
          </cell>
          <cell r="M241">
            <v>0</v>
          </cell>
          <cell r="T241" t="str">
            <v>8b04</v>
          </cell>
          <cell r="U241">
            <v>0</v>
          </cell>
        </row>
        <row r="242">
          <cell r="D242">
            <v>8180</v>
          </cell>
          <cell r="E242" t="str">
            <v>实收资本_专项储备影响权益</v>
          </cell>
          <cell r="F242">
            <v>0</v>
          </cell>
          <cell r="G242">
            <v>0</v>
          </cell>
          <cell r="H242">
            <v>0</v>
          </cell>
          <cell r="I242">
            <v>0</v>
          </cell>
          <cell r="J242">
            <v>0</v>
          </cell>
          <cell r="K242">
            <v>0</v>
          </cell>
          <cell r="L242">
            <v>0</v>
          </cell>
          <cell r="M242">
            <v>0</v>
          </cell>
          <cell r="T242" t="str">
            <v>8b09</v>
          </cell>
          <cell r="U242">
            <v>0</v>
          </cell>
        </row>
        <row r="243">
          <cell r="D243">
            <v>8181</v>
          </cell>
          <cell r="E243" t="str">
            <v>实收资本_专项储备本期提取</v>
          </cell>
          <cell r="F243">
            <v>0</v>
          </cell>
          <cell r="G243">
            <v>0</v>
          </cell>
          <cell r="H243">
            <v>0</v>
          </cell>
          <cell r="I243">
            <v>0</v>
          </cell>
          <cell r="J243">
            <v>0</v>
          </cell>
          <cell r="K243">
            <v>0</v>
          </cell>
          <cell r="L243">
            <v>0</v>
          </cell>
          <cell r="M243">
            <v>0</v>
          </cell>
          <cell r="T243" t="str">
            <v>8b10</v>
          </cell>
          <cell r="U243">
            <v>0</v>
          </cell>
        </row>
        <row r="244">
          <cell r="D244">
            <v>8182</v>
          </cell>
          <cell r="E244" t="str">
            <v>实收资本_专项储备本期使用</v>
          </cell>
          <cell r="F244">
            <v>0</v>
          </cell>
          <cell r="G244">
            <v>0</v>
          </cell>
          <cell r="H244">
            <v>0</v>
          </cell>
          <cell r="I244">
            <v>0</v>
          </cell>
          <cell r="J244">
            <v>0</v>
          </cell>
          <cell r="K244">
            <v>0</v>
          </cell>
          <cell r="L244">
            <v>0</v>
          </cell>
          <cell r="M244">
            <v>0</v>
          </cell>
          <cell r="T244" t="str">
            <v>8b90</v>
          </cell>
          <cell r="U244">
            <v>0</v>
          </cell>
        </row>
        <row r="245">
          <cell r="D245">
            <v>8196</v>
          </cell>
          <cell r="E245" t="str">
            <v>实收资本_本期其他增减变动</v>
          </cell>
          <cell r="F245">
            <v>0</v>
          </cell>
          <cell r="G245">
            <v>0</v>
          </cell>
          <cell r="H245">
            <v>0</v>
          </cell>
          <cell r="I245">
            <v>0</v>
          </cell>
          <cell r="J245">
            <v>0</v>
          </cell>
          <cell r="K245">
            <v>0</v>
          </cell>
          <cell r="L245">
            <v>0</v>
          </cell>
          <cell r="M245">
            <v>0</v>
          </cell>
          <cell r="T245" t="str">
            <v>8b40</v>
          </cell>
          <cell r="U245">
            <v>0</v>
          </cell>
        </row>
        <row r="246">
          <cell r="D246">
            <v>8199</v>
          </cell>
          <cell r="E246" t="str">
            <v>实收资本_本期期末余额</v>
          </cell>
          <cell r="F246">
            <v>360000000</v>
          </cell>
          <cell r="G246">
            <v>0</v>
          </cell>
          <cell r="H246">
            <v>0</v>
          </cell>
          <cell r="I246">
            <v>360000000</v>
          </cell>
          <cell r="J246">
            <v>360000000</v>
          </cell>
          <cell r="K246">
            <v>0</v>
          </cell>
          <cell r="L246">
            <v>0</v>
          </cell>
          <cell r="M246">
            <v>360000000</v>
          </cell>
          <cell r="T246" t="str">
            <v>8b50</v>
          </cell>
          <cell r="U246">
            <v>0</v>
          </cell>
        </row>
        <row r="247">
          <cell r="D247" t="str">
            <v>8b00</v>
          </cell>
          <cell r="E247" t="str">
            <v>其他权益工具（优先股）增减变动</v>
          </cell>
          <cell r="T247" t="str">
            <v>8b51</v>
          </cell>
          <cell r="U247">
            <v>0</v>
          </cell>
        </row>
        <row r="248">
          <cell r="D248" t="str">
            <v>8b01</v>
          </cell>
          <cell r="E248" t="str">
            <v>其他权益工具（优先股）_上年年末余额</v>
          </cell>
          <cell r="F248">
            <v>0</v>
          </cell>
          <cell r="G248">
            <v>0</v>
          </cell>
          <cell r="H248">
            <v>0</v>
          </cell>
          <cell r="I248">
            <v>0</v>
          </cell>
          <cell r="J248">
            <v>0</v>
          </cell>
          <cell r="K248">
            <v>0</v>
          </cell>
          <cell r="L248">
            <v>0</v>
          </cell>
          <cell r="M248">
            <v>0</v>
          </cell>
          <cell r="T248" t="str">
            <v>8b53</v>
          </cell>
          <cell r="U248">
            <v>0</v>
          </cell>
        </row>
        <row r="249">
          <cell r="D249" t="str">
            <v>8b02</v>
          </cell>
          <cell r="E249" t="str">
            <v>其他权益工具（优先股）_会计政策变更调整上年年末余额</v>
          </cell>
          <cell r="F249">
            <v>0</v>
          </cell>
          <cell r="G249">
            <v>0</v>
          </cell>
          <cell r="H249">
            <v>0</v>
          </cell>
          <cell r="I249">
            <v>0</v>
          </cell>
          <cell r="J249">
            <v>0</v>
          </cell>
          <cell r="K249">
            <v>0</v>
          </cell>
          <cell r="L249">
            <v>0</v>
          </cell>
          <cell r="M249">
            <v>0</v>
          </cell>
          <cell r="T249" t="str">
            <v>8b52</v>
          </cell>
          <cell r="U249">
            <v>0</v>
          </cell>
        </row>
        <row r="250">
          <cell r="D250" t="str">
            <v>8b03</v>
          </cell>
          <cell r="E250" t="str">
            <v>其他权益工具（优先股）_前期差错更正调整上年年末余额</v>
          </cell>
          <cell r="F250">
            <v>0</v>
          </cell>
          <cell r="G250">
            <v>0</v>
          </cell>
          <cell r="H250">
            <v>0</v>
          </cell>
          <cell r="I250">
            <v>0</v>
          </cell>
          <cell r="J250">
            <v>0</v>
          </cell>
          <cell r="K250">
            <v>0</v>
          </cell>
          <cell r="L250">
            <v>0</v>
          </cell>
          <cell r="M250">
            <v>0</v>
          </cell>
          <cell r="T250" t="str">
            <v>8b56</v>
          </cell>
          <cell r="U250">
            <v>0</v>
          </cell>
        </row>
        <row r="251">
          <cell r="D251" t="str">
            <v>8b04</v>
          </cell>
          <cell r="E251" t="str">
            <v>其他权益工具（优先股）_同一控制下企业合并调整上年年末余额</v>
          </cell>
          <cell r="F251">
            <v>0</v>
          </cell>
          <cell r="G251">
            <v>0</v>
          </cell>
          <cell r="H251">
            <v>0</v>
          </cell>
          <cell r="I251">
            <v>0</v>
          </cell>
          <cell r="J251">
            <v>0</v>
          </cell>
          <cell r="K251">
            <v>0</v>
          </cell>
          <cell r="L251">
            <v>0</v>
          </cell>
          <cell r="M251">
            <v>0</v>
          </cell>
          <cell r="T251" t="str">
            <v>8b60</v>
          </cell>
          <cell r="U251">
            <v>0</v>
          </cell>
        </row>
        <row r="252">
          <cell r="D252" t="str">
            <v>8b09</v>
          </cell>
          <cell r="E252" t="str">
            <v>其他权益工具（优先股）_其他原因调整上年年末余额</v>
          </cell>
          <cell r="F252">
            <v>0</v>
          </cell>
          <cell r="G252">
            <v>0</v>
          </cell>
          <cell r="H252">
            <v>0</v>
          </cell>
          <cell r="I252">
            <v>0</v>
          </cell>
          <cell r="J252">
            <v>0</v>
          </cell>
          <cell r="K252">
            <v>0</v>
          </cell>
          <cell r="L252">
            <v>0</v>
          </cell>
          <cell r="M252">
            <v>0</v>
          </cell>
          <cell r="T252" t="str">
            <v>8b61</v>
          </cell>
          <cell r="U252">
            <v>0</v>
          </cell>
        </row>
        <row r="253">
          <cell r="D253" t="str">
            <v>8b10</v>
          </cell>
          <cell r="E253" t="str">
            <v>其他权益工具（优先股）_本年年初余额</v>
          </cell>
          <cell r="F253">
            <v>0</v>
          </cell>
          <cell r="G253">
            <v>0</v>
          </cell>
          <cell r="H253">
            <v>0</v>
          </cell>
          <cell r="I253">
            <v>0</v>
          </cell>
          <cell r="J253">
            <v>0</v>
          </cell>
          <cell r="K253">
            <v>0</v>
          </cell>
          <cell r="L253">
            <v>0</v>
          </cell>
          <cell r="M253">
            <v>0</v>
          </cell>
          <cell r="T253" t="str">
            <v>8b62</v>
          </cell>
          <cell r="U253">
            <v>0</v>
          </cell>
        </row>
        <row r="254">
          <cell r="D254" t="str">
            <v>8b90</v>
          </cell>
          <cell r="E254" t="str">
            <v>其他权益工具（优先股）_本期增减变动金额</v>
          </cell>
          <cell r="F254">
            <v>0</v>
          </cell>
          <cell r="G254">
            <v>0</v>
          </cell>
          <cell r="H254">
            <v>0</v>
          </cell>
          <cell r="I254">
            <v>0</v>
          </cell>
          <cell r="J254">
            <v>0</v>
          </cell>
          <cell r="K254">
            <v>0</v>
          </cell>
          <cell r="L254">
            <v>0</v>
          </cell>
          <cell r="M254">
            <v>0</v>
          </cell>
          <cell r="T254" t="str">
            <v>8b63</v>
          </cell>
          <cell r="U254">
            <v>0</v>
          </cell>
        </row>
        <row r="255">
          <cell r="D255" t="str">
            <v>8b40</v>
          </cell>
          <cell r="E255" t="str">
            <v>其他权益工具（优先股）_综合收益总额增加权益</v>
          </cell>
          <cell r="F255">
            <v>0</v>
          </cell>
          <cell r="G255">
            <v>0</v>
          </cell>
          <cell r="H255">
            <v>0</v>
          </cell>
          <cell r="I255">
            <v>0</v>
          </cell>
          <cell r="J255">
            <v>0</v>
          </cell>
          <cell r="K255">
            <v>0</v>
          </cell>
          <cell r="L255">
            <v>0</v>
          </cell>
          <cell r="M255">
            <v>0</v>
          </cell>
          <cell r="T255" t="str">
            <v>8b66</v>
          </cell>
          <cell r="U255">
            <v>0</v>
          </cell>
        </row>
        <row r="256">
          <cell r="D256" t="str">
            <v>8b50</v>
          </cell>
          <cell r="E256" t="str">
            <v>其他权益工具（优先股）_所有者投入和减少资本影响权益</v>
          </cell>
          <cell r="F256">
            <v>0</v>
          </cell>
          <cell r="G256">
            <v>0</v>
          </cell>
          <cell r="H256">
            <v>0</v>
          </cell>
          <cell r="I256">
            <v>0</v>
          </cell>
          <cell r="J256">
            <v>0</v>
          </cell>
          <cell r="K256">
            <v>0</v>
          </cell>
          <cell r="L256">
            <v>0</v>
          </cell>
          <cell r="M256">
            <v>0</v>
          </cell>
          <cell r="T256" t="str">
            <v>8b70</v>
          </cell>
          <cell r="U256">
            <v>0</v>
          </cell>
        </row>
        <row r="257">
          <cell r="D257" t="str">
            <v>8b51</v>
          </cell>
          <cell r="E257" t="str">
            <v>其他权益工具（优先股）_所有者投入资本</v>
          </cell>
          <cell r="F257">
            <v>0</v>
          </cell>
          <cell r="G257">
            <v>0</v>
          </cell>
          <cell r="H257">
            <v>0</v>
          </cell>
          <cell r="I257">
            <v>0</v>
          </cell>
          <cell r="J257">
            <v>0</v>
          </cell>
          <cell r="K257">
            <v>0</v>
          </cell>
          <cell r="L257">
            <v>0</v>
          </cell>
          <cell r="M257">
            <v>0</v>
          </cell>
          <cell r="T257" t="str">
            <v>8b71</v>
          </cell>
          <cell r="U257">
            <v>0</v>
          </cell>
        </row>
        <row r="258">
          <cell r="D258" t="str">
            <v>8b53</v>
          </cell>
          <cell r="E258" t="str">
            <v>其他权益工具（优先股）_其他权益工具持有者投入资本</v>
          </cell>
          <cell r="F258">
            <v>0</v>
          </cell>
          <cell r="G258">
            <v>0</v>
          </cell>
          <cell r="H258">
            <v>0</v>
          </cell>
          <cell r="I258">
            <v>0</v>
          </cell>
          <cell r="J258">
            <v>0</v>
          </cell>
          <cell r="K258">
            <v>0</v>
          </cell>
          <cell r="L258">
            <v>0</v>
          </cell>
          <cell r="M258">
            <v>0</v>
          </cell>
          <cell r="T258" t="str">
            <v>8b72</v>
          </cell>
          <cell r="U258">
            <v>0</v>
          </cell>
        </row>
        <row r="259">
          <cell r="D259" t="str">
            <v>8b52</v>
          </cell>
          <cell r="E259" t="str">
            <v>其他权益工具（优先股）_股份支付</v>
          </cell>
          <cell r="F259">
            <v>0</v>
          </cell>
          <cell r="G259">
            <v>0</v>
          </cell>
          <cell r="H259">
            <v>0</v>
          </cell>
          <cell r="I259">
            <v>0</v>
          </cell>
          <cell r="J259">
            <v>0</v>
          </cell>
          <cell r="K259">
            <v>0</v>
          </cell>
          <cell r="L259">
            <v>0</v>
          </cell>
          <cell r="M259">
            <v>0</v>
          </cell>
          <cell r="T259" t="str">
            <v>8b73</v>
          </cell>
          <cell r="U259">
            <v>0</v>
          </cell>
        </row>
        <row r="260">
          <cell r="D260" t="str">
            <v>8b56</v>
          </cell>
          <cell r="E260" t="str">
            <v>其他权益工具（优先股）_所有者其他投入和减少资本</v>
          </cell>
          <cell r="F260">
            <v>0</v>
          </cell>
          <cell r="G260">
            <v>0</v>
          </cell>
          <cell r="H260">
            <v>0</v>
          </cell>
          <cell r="I260">
            <v>0</v>
          </cell>
          <cell r="J260">
            <v>0</v>
          </cell>
          <cell r="K260">
            <v>0</v>
          </cell>
          <cell r="L260">
            <v>0</v>
          </cell>
          <cell r="M260">
            <v>0</v>
          </cell>
          <cell r="T260" t="str">
            <v>8b75</v>
          </cell>
          <cell r="U260">
            <v>0</v>
          </cell>
        </row>
        <row r="261">
          <cell r="D261" t="str">
            <v>8b60</v>
          </cell>
          <cell r="E261" t="str">
            <v>其他权益工具（优先股）_利润分配影响权益</v>
          </cell>
          <cell r="F261">
            <v>0</v>
          </cell>
          <cell r="G261">
            <v>0</v>
          </cell>
          <cell r="H261">
            <v>0</v>
          </cell>
          <cell r="I261">
            <v>0</v>
          </cell>
          <cell r="J261">
            <v>0</v>
          </cell>
          <cell r="K261">
            <v>0</v>
          </cell>
          <cell r="L261">
            <v>0</v>
          </cell>
          <cell r="M261">
            <v>0</v>
          </cell>
          <cell r="T261" t="str">
            <v>8b76</v>
          </cell>
          <cell r="U261">
            <v>0</v>
          </cell>
        </row>
        <row r="262">
          <cell r="D262" t="str">
            <v>8b61</v>
          </cell>
          <cell r="E262" t="str">
            <v>其他权益工具（优先股）_提取盈余公积</v>
          </cell>
          <cell r="F262">
            <v>0</v>
          </cell>
          <cell r="G262">
            <v>0</v>
          </cell>
          <cell r="H262">
            <v>0</v>
          </cell>
          <cell r="I262">
            <v>0</v>
          </cell>
          <cell r="J262">
            <v>0</v>
          </cell>
          <cell r="K262">
            <v>0</v>
          </cell>
          <cell r="L262">
            <v>0</v>
          </cell>
          <cell r="M262">
            <v>0</v>
          </cell>
          <cell r="T262" t="str">
            <v>8b80</v>
          </cell>
          <cell r="U262">
            <v>0</v>
          </cell>
        </row>
        <row r="263">
          <cell r="D263" t="str">
            <v>8b62</v>
          </cell>
          <cell r="E263" t="str">
            <v>其他权益工具（优先股）_提取一般风险准备</v>
          </cell>
          <cell r="F263">
            <v>0</v>
          </cell>
          <cell r="G263">
            <v>0</v>
          </cell>
          <cell r="H263">
            <v>0</v>
          </cell>
          <cell r="I263">
            <v>0</v>
          </cell>
          <cell r="J263">
            <v>0</v>
          </cell>
          <cell r="K263">
            <v>0</v>
          </cell>
          <cell r="L263">
            <v>0</v>
          </cell>
          <cell r="M263">
            <v>0</v>
          </cell>
          <cell r="T263" t="str">
            <v>8b81</v>
          </cell>
          <cell r="U263">
            <v>0</v>
          </cell>
        </row>
        <row r="264">
          <cell r="D264" t="str">
            <v>8b63</v>
          </cell>
          <cell r="E264" t="str">
            <v>其他权益工具（优先股）_对所有者的分配</v>
          </cell>
          <cell r="F264">
            <v>0</v>
          </cell>
          <cell r="G264">
            <v>0</v>
          </cell>
          <cell r="H264">
            <v>0</v>
          </cell>
          <cell r="I264">
            <v>0</v>
          </cell>
          <cell r="J264">
            <v>0</v>
          </cell>
          <cell r="K264">
            <v>0</v>
          </cell>
          <cell r="L264">
            <v>0</v>
          </cell>
          <cell r="M264">
            <v>0</v>
          </cell>
          <cell r="T264" t="str">
            <v>8b82</v>
          </cell>
          <cell r="U264">
            <v>0</v>
          </cell>
        </row>
        <row r="265">
          <cell r="D265" t="str">
            <v>8b66</v>
          </cell>
          <cell r="E265" t="str">
            <v>其他权益工具（优先股）_其他利润分配</v>
          </cell>
          <cell r="F265">
            <v>0</v>
          </cell>
          <cell r="G265">
            <v>0</v>
          </cell>
          <cell r="H265">
            <v>0</v>
          </cell>
          <cell r="I265">
            <v>0</v>
          </cell>
          <cell r="J265">
            <v>0</v>
          </cell>
          <cell r="K265">
            <v>0</v>
          </cell>
          <cell r="L265">
            <v>0</v>
          </cell>
          <cell r="M265">
            <v>0</v>
          </cell>
          <cell r="T265" t="str">
            <v>8b96</v>
          </cell>
          <cell r="U265">
            <v>0</v>
          </cell>
        </row>
        <row r="266">
          <cell r="D266" t="str">
            <v>8b70</v>
          </cell>
          <cell r="E266" t="str">
            <v>其他权益工具（优先股）_所有者权益内部结转</v>
          </cell>
          <cell r="F266">
            <v>0</v>
          </cell>
          <cell r="G266">
            <v>0</v>
          </cell>
          <cell r="H266">
            <v>0</v>
          </cell>
          <cell r="I266">
            <v>0</v>
          </cell>
          <cell r="J266">
            <v>0</v>
          </cell>
          <cell r="K266">
            <v>0</v>
          </cell>
          <cell r="L266">
            <v>0</v>
          </cell>
          <cell r="M266">
            <v>0</v>
          </cell>
          <cell r="T266" t="str">
            <v>8b99</v>
          </cell>
          <cell r="U266">
            <v>0</v>
          </cell>
        </row>
        <row r="267">
          <cell r="D267" t="str">
            <v>8b71</v>
          </cell>
          <cell r="E267" t="str">
            <v>其他权益工具（优先股）_资本公积转增资本</v>
          </cell>
          <cell r="F267">
            <v>0</v>
          </cell>
          <cell r="G267">
            <v>0</v>
          </cell>
          <cell r="H267">
            <v>0</v>
          </cell>
          <cell r="I267">
            <v>0</v>
          </cell>
          <cell r="J267">
            <v>0</v>
          </cell>
          <cell r="K267">
            <v>0</v>
          </cell>
          <cell r="L267">
            <v>0</v>
          </cell>
          <cell r="M267">
            <v>0</v>
          </cell>
          <cell r="T267" t="str">
            <v>8c00</v>
          </cell>
        </row>
        <row r="268">
          <cell r="D268" t="str">
            <v>8b72</v>
          </cell>
          <cell r="E268" t="str">
            <v>其他权益工具（优先股）_盈余公积转增资本</v>
          </cell>
          <cell r="F268">
            <v>0</v>
          </cell>
          <cell r="G268">
            <v>0</v>
          </cell>
          <cell r="H268">
            <v>0</v>
          </cell>
          <cell r="I268">
            <v>0</v>
          </cell>
          <cell r="J268">
            <v>0</v>
          </cell>
          <cell r="K268">
            <v>0</v>
          </cell>
          <cell r="L268">
            <v>0</v>
          </cell>
          <cell r="M268">
            <v>0</v>
          </cell>
          <cell r="T268" t="str">
            <v>8c01</v>
          </cell>
          <cell r="U268">
            <v>0</v>
          </cell>
        </row>
        <row r="269">
          <cell r="D269" t="str">
            <v>8b73</v>
          </cell>
          <cell r="E269" t="str">
            <v>其他权益工具（优先股）_盈余公积弥补亏损</v>
          </cell>
          <cell r="F269">
            <v>0</v>
          </cell>
          <cell r="G269">
            <v>0</v>
          </cell>
          <cell r="H269">
            <v>0</v>
          </cell>
          <cell r="I269">
            <v>0</v>
          </cell>
          <cell r="J269">
            <v>0</v>
          </cell>
          <cell r="K269">
            <v>0</v>
          </cell>
          <cell r="L269">
            <v>0</v>
          </cell>
          <cell r="M269">
            <v>0</v>
          </cell>
          <cell r="T269" t="str">
            <v>8c02</v>
          </cell>
          <cell r="U269">
            <v>0</v>
          </cell>
        </row>
        <row r="270">
          <cell r="D270" t="str">
            <v>8b75</v>
          </cell>
          <cell r="E270" t="str">
            <v>其他权益工具（优先股）_设定受益计划变动额结转留存收益</v>
          </cell>
          <cell r="F270">
            <v>0</v>
          </cell>
          <cell r="G270">
            <v>0</v>
          </cell>
          <cell r="H270">
            <v>0</v>
          </cell>
          <cell r="I270">
            <v>0</v>
          </cell>
          <cell r="J270">
            <v>0</v>
          </cell>
          <cell r="K270">
            <v>0</v>
          </cell>
          <cell r="L270">
            <v>0</v>
          </cell>
          <cell r="M270">
            <v>0</v>
          </cell>
          <cell r="T270" t="str">
            <v>8c03</v>
          </cell>
          <cell r="U270">
            <v>0</v>
          </cell>
        </row>
        <row r="271">
          <cell r="D271" t="str">
            <v>8b76</v>
          </cell>
          <cell r="E271" t="str">
            <v>其他权益工具（优先股）_所有者权益其他内部结转</v>
          </cell>
          <cell r="F271">
            <v>0</v>
          </cell>
          <cell r="G271">
            <v>0</v>
          </cell>
          <cell r="H271">
            <v>0</v>
          </cell>
          <cell r="I271">
            <v>0</v>
          </cell>
          <cell r="J271">
            <v>0</v>
          </cell>
          <cell r="K271">
            <v>0</v>
          </cell>
          <cell r="L271">
            <v>0</v>
          </cell>
          <cell r="M271">
            <v>0</v>
          </cell>
          <cell r="T271" t="str">
            <v>8c04</v>
          </cell>
          <cell r="U271">
            <v>0</v>
          </cell>
        </row>
        <row r="272">
          <cell r="D272" t="str">
            <v>8b80</v>
          </cell>
          <cell r="E272" t="str">
            <v>其他权益工具（优先股）_专项储备影响权益</v>
          </cell>
          <cell r="F272">
            <v>0</v>
          </cell>
          <cell r="G272">
            <v>0</v>
          </cell>
          <cell r="H272">
            <v>0</v>
          </cell>
          <cell r="I272">
            <v>0</v>
          </cell>
          <cell r="J272">
            <v>0</v>
          </cell>
          <cell r="K272">
            <v>0</v>
          </cell>
          <cell r="L272">
            <v>0</v>
          </cell>
          <cell r="M272">
            <v>0</v>
          </cell>
          <cell r="T272" t="str">
            <v>8c09</v>
          </cell>
          <cell r="U272">
            <v>0</v>
          </cell>
        </row>
        <row r="273">
          <cell r="D273" t="str">
            <v>8b81</v>
          </cell>
          <cell r="E273" t="str">
            <v>其他权益工具（优先股）_专项储备本期提取</v>
          </cell>
          <cell r="F273">
            <v>0</v>
          </cell>
          <cell r="G273">
            <v>0</v>
          </cell>
          <cell r="H273">
            <v>0</v>
          </cell>
          <cell r="I273">
            <v>0</v>
          </cell>
          <cell r="J273">
            <v>0</v>
          </cell>
          <cell r="K273">
            <v>0</v>
          </cell>
          <cell r="L273">
            <v>0</v>
          </cell>
          <cell r="M273">
            <v>0</v>
          </cell>
          <cell r="T273" t="str">
            <v>8c10</v>
          </cell>
          <cell r="U273">
            <v>0</v>
          </cell>
        </row>
        <row r="274">
          <cell r="D274" t="str">
            <v>8b82</v>
          </cell>
          <cell r="E274" t="str">
            <v>其他权益工具（优先股）_专项储备本期使用</v>
          </cell>
          <cell r="F274">
            <v>0</v>
          </cell>
          <cell r="G274">
            <v>0</v>
          </cell>
          <cell r="H274">
            <v>0</v>
          </cell>
          <cell r="I274">
            <v>0</v>
          </cell>
          <cell r="J274">
            <v>0</v>
          </cell>
          <cell r="K274">
            <v>0</v>
          </cell>
          <cell r="L274">
            <v>0</v>
          </cell>
          <cell r="M274">
            <v>0</v>
          </cell>
          <cell r="T274" t="str">
            <v>8c90</v>
          </cell>
          <cell r="U274">
            <v>0</v>
          </cell>
        </row>
        <row r="275">
          <cell r="D275" t="str">
            <v>8b96</v>
          </cell>
          <cell r="E275" t="str">
            <v>其他权益工具（优先股）_本期其他增减变动</v>
          </cell>
          <cell r="F275">
            <v>0</v>
          </cell>
          <cell r="G275">
            <v>0</v>
          </cell>
          <cell r="H275">
            <v>0</v>
          </cell>
          <cell r="I275">
            <v>0</v>
          </cell>
          <cell r="J275">
            <v>0</v>
          </cell>
          <cell r="K275">
            <v>0</v>
          </cell>
          <cell r="L275">
            <v>0</v>
          </cell>
          <cell r="M275">
            <v>0</v>
          </cell>
          <cell r="T275" t="str">
            <v>8c40</v>
          </cell>
          <cell r="U275">
            <v>0</v>
          </cell>
        </row>
        <row r="276">
          <cell r="D276" t="str">
            <v>8b99</v>
          </cell>
          <cell r="E276" t="str">
            <v>其他权益工具（优先股）_本期期末余额</v>
          </cell>
          <cell r="F276">
            <v>0</v>
          </cell>
          <cell r="G276">
            <v>0</v>
          </cell>
          <cell r="H276">
            <v>0</v>
          </cell>
          <cell r="I276">
            <v>0</v>
          </cell>
          <cell r="J276">
            <v>0</v>
          </cell>
          <cell r="K276">
            <v>0</v>
          </cell>
          <cell r="L276">
            <v>0</v>
          </cell>
          <cell r="M276">
            <v>0</v>
          </cell>
          <cell r="T276" t="str">
            <v>8c50</v>
          </cell>
          <cell r="U276">
            <v>0</v>
          </cell>
        </row>
        <row r="277">
          <cell r="D277" t="str">
            <v>8c00</v>
          </cell>
          <cell r="E277" t="str">
            <v>其他权益工具（永续债）增减变动</v>
          </cell>
          <cell r="T277" t="str">
            <v>8c51</v>
          </cell>
          <cell r="U277">
            <v>0</v>
          </cell>
        </row>
        <row r="278">
          <cell r="D278" t="str">
            <v>8c01</v>
          </cell>
          <cell r="E278" t="str">
            <v>其他权益工具（永续债）_上年年末余额</v>
          </cell>
          <cell r="F278">
            <v>0</v>
          </cell>
          <cell r="G278">
            <v>0</v>
          </cell>
          <cell r="H278">
            <v>0</v>
          </cell>
          <cell r="I278">
            <v>0</v>
          </cell>
          <cell r="J278">
            <v>0</v>
          </cell>
          <cell r="K278">
            <v>0</v>
          </cell>
          <cell r="L278">
            <v>0</v>
          </cell>
          <cell r="M278">
            <v>0</v>
          </cell>
          <cell r="T278" t="str">
            <v>8c53</v>
          </cell>
          <cell r="U278">
            <v>0</v>
          </cell>
        </row>
        <row r="279">
          <cell r="D279" t="str">
            <v>8c02</v>
          </cell>
          <cell r="E279" t="str">
            <v>其他权益工具（永续债）_会计政策变更调整上年年末余额</v>
          </cell>
          <cell r="F279">
            <v>0</v>
          </cell>
          <cell r="G279">
            <v>0</v>
          </cell>
          <cell r="H279">
            <v>0</v>
          </cell>
          <cell r="I279">
            <v>0</v>
          </cell>
          <cell r="J279">
            <v>0</v>
          </cell>
          <cell r="K279">
            <v>0</v>
          </cell>
          <cell r="L279">
            <v>0</v>
          </cell>
          <cell r="M279">
            <v>0</v>
          </cell>
          <cell r="T279" t="str">
            <v>8c52</v>
          </cell>
          <cell r="U279">
            <v>0</v>
          </cell>
        </row>
        <row r="280">
          <cell r="D280" t="str">
            <v>8c03</v>
          </cell>
          <cell r="E280" t="str">
            <v>其他权益工具（永续债）_前期差错更正调整上年年末余额</v>
          </cell>
          <cell r="F280">
            <v>0</v>
          </cell>
          <cell r="G280">
            <v>0</v>
          </cell>
          <cell r="H280">
            <v>0</v>
          </cell>
          <cell r="I280">
            <v>0</v>
          </cell>
          <cell r="J280">
            <v>0</v>
          </cell>
          <cell r="K280">
            <v>0</v>
          </cell>
          <cell r="L280">
            <v>0</v>
          </cell>
          <cell r="M280">
            <v>0</v>
          </cell>
          <cell r="T280" t="str">
            <v>8c56</v>
          </cell>
          <cell r="U280">
            <v>0</v>
          </cell>
        </row>
        <row r="281">
          <cell r="D281" t="str">
            <v>8c04</v>
          </cell>
          <cell r="E281" t="str">
            <v>其他权益工具（永续债）_同一控制下企业合并调整上年年末余额</v>
          </cell>
          <cell r="F281">
            <v>0</v>
          </cell>
          <cell r="G281">
            <v>0</v>
          </cell>
          <cell r="H281">
            <v>0</v>
          </cell>
          <cell r="I281">
            <v>0</v>
          </cell>
          <cell r="J281">
            <v>0</v>
          </cell>
          <cell r="K281">
            <v>0</v>
          </cell>
          <cell r="L281">
            <v>0</v>
          </cell>
          <cell r="M281">
            <v>0</v>
          </cell>
          <cell r="T281" t="str">
            <v>8c60</v>
          </cell>
          <cell r="U281">
            <v>0</v>
          </cell>
        </row>
        <row r="282">
          <cell r="D282" t="str">
            <v>8c09</v>
          </cell>
          <cell r="E282" t="str">
            <v>其他权益工具（永续债）_其他原因调整上年年末余额</v>
          </cell>
          <cell r="F282">
            <v>0</v>
          </cell>
          <cell r="G282">
            <v>0</v>
          </cell>
          <cell r="H282">
            <v>0</v>
          </cell>
          <cell r="I282">
            <v>0</v>
          </cell>
          <cell r="J282">
            <v>0</v>
          </cell>
          <cell r="K282">
            <v>0</v>
          </cell>
          <cell r="L282">
            <v>0</v>
          </cell>
          <cell r="M282">
            <v>0</v>
          </cell>
          <cell r="T282" t="str">
            <v>8c61</v>
          </cell>
          <cell r="U282">
            <v>0</v>
          </cell>
        </row>
        <row r="283">
          <cell r="D283" t="str">
            <v>8c10</v>
          </cell>
          <cell r="E283" t="str">
            <v>其他权益工具（永续债）_本年年初余额</v>
          </cell>
          <cell r="F283">
            <v>0</v>
          </cell>
          <cell r="G283">
            <v>0</v>
          </cell>
          <cell r="H283">
            <v>0</v>
          </cell>
          <cell r="I283">
            <v>0</v>
          </cell>
          <cell r="J283">
            <v>0</v>
          </cell>
          <cell r="K283">
            <v>0</v>
          </cell>
          <cell r="L283">
            <v>0</v>
          </cell>
          <cell r="M283">
            <v>0</v>
          </cell>
          <cell r="T283" t="str">
            <v>8c62</v>
          </cell>
          <cell r="U283">
            <v>0</v>
          </cell>
        </row>
        <row r="284">
          <cell r="D284" t="str">
            <v>8c90</v>
          </cell>
          <cell r="E284" t="str">
            <v>其他权益工具（永续债）_本期增减变动金额</v>
          </cell>
          <cell r="F284">
            <v>0</v>
          </cell>
          <cell r="G284">
            <v>0</v>
          </cell>
          <cell r="H284">
            <v>0</v>
          </cell>
          <cell r="I284">
            <v>0</v>
          </cell>
          <cell r="J284">
            <v>0</v>
          </cell>
          <cell r="K284">
            <v>0</v>
          </cell>
          <cell r="L284">
            <v>0</v>
          </cell>
          <cell r="M284">
            <v>0</v>
          </cell>
          <cell r="T284" t="str">
            <v>8c63</v>
          </cell>
          <cell r="U284">
            <v>0</v>
          </cell>
        </row>
        <row r="285">
          <cell r="D285" t="str">
            <v>8c40</v>
          </cell>
          <cell r="E285" t="str">
            <v>其他权益工具（永续债）_综合收益总额增加权益</v>
          </cell>
          <cell r="F285">
            <v>0</v>
          </cell>
          <cell r="G285">
            <v>0</v>
          </cell>
          <cell r="H285">
            <v>0</v>
          </cell>
          <cell r="I285">
            <v>0</v>
          </cell>
          <cell r="J285">
            <v>0</v>
          </cell>
          <cell r="K285">
            <v>0</v>
          </cell>
          <cell r="L285">
            <v>0</v>
          </cell>
          <cell r="M285">
            <v>0</v>
          </cell>
          <cell r="T285" t="str">
            <v>8c66</v>
          </cell>
          <cell r="U285">
            <v>0</v>
          </cell>
        </row>
        <row r="286">
          <cell r="D286" t="str">
            <v>8c50</v>
          </cell>
          <cell r="E286" t="str">
            <v>其他权益工具（永续债）_所有者投入和减少资本影响权益</v>
          </cell>
          <cell r="F286">
            <v>0</v>
          </cell>
          <cell r="G286">
            <v>0</v>
          </cell>
          <cell r="H286">
            <v>0</v>
          </cell>
          <cell r="I286">
            <v>0</v>
          </cell>
          <cell r="J286">
            <v>0</v>
          </cell>
          <cell r="K286">
            <v>0</v>
          </cell>
          <cell r="L286">
            <v>0</v>
          </cell>
          <cell r="M286">
            <v>0</v>
          </cell>
          <cell r="T286" t="str">
            <v>8c70</v>
          </cell>
          <cell r="U286">
            <v>0</v>
          </cell>
        </row>
        <row r="287">
          <cell r="D287" t="str">
            <v>8c51</v>
          </cell>
          <cell r="E287" t="str">
            <v>其他权益工具（永续债）_所有者投入资本</v>
          </cell>
          <cell r="F287">
            <v>0</v>
          </cell>
          <cell r="G287">
            <v>0</v>
          </cell>
          <cell r="H287">
            <v>0</v>
          </cell>
          <cell r="I287">
            <v>0</v>
          </cell>
          <cell r="J287">
            <v>0</v>
          </cell>
          <cell r="K287">
            <v>0</v>
          </cell>
          <cell r="L287">
            <v>0</v>
          </cell>
          <cell r="M287">
            <v>0</v>
          </cell>
          <cell r="T287" t="str">
            <v>8c71</v>
          </cell>
          <cell r="U287">
            <v>0</v>
          </cell>
        </row>
        <row r="288">
          <cell r="D288" t="str">
            <v>8c53</v>
          </cell>
          <cell r="E288" t="str">
            <v>其他权益工具（永续债）_其他权益工具持有者投入资本</v>
          </cell>
          <cell r="F288">
            <v>0</v>
          </cell>
          <cell r="G288">
            <v>0</v>
          </cell>
          <cell r="H288">
            <v>0</v>
          </cell>
          <cell r="I288">
            <v>0</v>
          </cell>
          <cell r="J288">
            <v>0</v>
          </cell>
          <cell r="K288">
            <v>0</v>
          </cell>
          <cell r="L288">
            <v>0</v>
          </cell>
          <cell r="M288">
            <v>0</v>
          </cell>
          <cell r="T288" t="str">
            <v>8c72</v>
          </cell>
          <cell r="U288">
            <v>0</v>
          </cell>
        </row>
        <row r="289">
          <cell r="D289" t="str">
            <v>8c52</v>
          </cell>
          <cell r="E289" t="str">
            <v>其他权益工具（永续债）_股份支付</v>
          </cell>
          <cell r="F289">
            <v>0</v>
          </cell>
          <cell r="G289">
            <v>0</v>
          </cell>
          <cell r="H289">
            <v>0</v>
          </cell>
          <cell r="I289">
            <v>0</v>
          </cell>
          <cell r="J289">
            <v>0</v>
          </cell>
          <cell r="K289">
            <v>0</v>
          </cell>
          <cell r="L289">
            <v>0</v>
          </cell>
          <cell r="M289">
            <v>0</v>
          </cell>
          <cell r="T289" t="str">
            <v>8c73</v>
          </cell>
          <cell r="U289">
            <v>0</v>
          </cell>
        </row>
        <row r="290">
          <cell r="D290" t="str">
            <v>8c56</v>
          </cell>
          <cell r="E290" t="str">
            <v>其他权益工具（永续债）_所有者其他投入和减少资本</v>
          </cell>
          <cell r="F290">
            <v>0</v>
          </cell>
          <cell r="G290">
            <v>0</v>
          </cell>
          <cell r="H290">
            <v>0</v>
          </cell>
          <cell r="I290">
            <v>0</v>
          </cell>
          <cell r="J290">
            <v>0</v>
          </cell>
          <cell r="K290">
            <v>0</v>
          </cell>
          <cell r="L290">
            <v>0</v>
          </cell>
          <cell r="M290">
            <v>0</v>
          </cell>
          <cell r="T290" t="str">
            <v>8c75</v>
          </cell>
          <cell r="U290">
            <v>0</v>
          </cell>
        </row>
        <row r="291">
          <cell r="D291" t="str">
            <v>8c60</v>
          </cell>
          <cell r="E291" t="str">
            <v>其他权益工具（永续债）_利润分配影响权益</v>
          </cell>
          <cell r="F291">
            <v>0</v>
          </cell>
          <cell r="G291">
            <v>0</v>
          </cell>
          <cell r="H291">
            <v>0</v>
          </cell>
          <cell r="I291">
            <v>0</v>
          </cell>
          <cell r="J291">
            <v>0</v>
          </cell>
          <cell r="K291">
            <v>0</v>
          </cell>
          <cell r="L291">
            <v>0</v>
          </cell>
          <cell r="M291">
            <v>0</v>
          </cell>
          <cell r="T291" t="str">
            <v>8c76</v>
          </cell>
          <cell r="U291">
            <v>0</v>
          </cell>
        </row>
        <row r="292">
          <cell r="D292" t="str">
            <v>8c61</v>
          </cell>
          <cell r="E292" t="str">
            <v>其他权益工具（永续债）_提取盈余公积</v>
          </cell>
          <cell r="F292">
            <v>0</v>
          </cell>
          <cell r="G292">
            <v>0</v>
          </cell>
          <cell r="H292">
            <v>0</v>
          </cell>
          <cell r="I292">
            <v>0</v>
          </cell>
          <cell r="J292">
            <v>0</v>
          </cell>
          <cell r="K292">
            <v>0</v>
          </cell>
          <cell r="L292">
            <v>0</v>
          </cell>
          <cell r="M292">
            <v>0</v>
          </cell>
          <cell r="T292" t="str">
            <v>8c80</v>
          </cell>
          <cell r="U292">
            <v>0</v>
          </cell>
        </row>
        <row r="293">
          <cell r="D293" t="str">
            <v>8c62</v>
          </cell>
          <cell r="E293" t="str">
            <v>其他权益工具（永续债）_提取一般风险准备</v>
          </cell>
          <cell r="F293">
            <v>0</v>
          </cell>
          <cell r="G293">
            <v>0</v>
          </cell>
          <cell r="H293">
            <v>0</v>
          </cell>
          <cell r="I293">
            <v>0</v>
          </cell>
          <cell r="J293">
            <v>0</v>
          </cell>
          <cell r="K293">
            <v>0</v>
          </cell>
          <cell r="L293">
            <v>0</v>
          </cell>
          <cell r="M293">
            <v>0</v>
          </cell>
          <cell r="T293" t="str">
            <v>8c81</v>
          </cell>
          <cell r="U293">
            <v>0</v>
          </cell>
        </row>
        <row r="294">
          <cell r="D294" t="str">
            <v>8c63</v>
          </cell>
          <cell r="E294" t="str">
            <v>其他权益工具（永续债）_对所有者的分配</v>
          </cell>
          <cell r="F294">
            <v>0</v>
          </cell>
          <cell r="G294">
            <v>0</v>
          </cell>
          <cell r="H294">
            <v>0</v>
          </cell>
          <cell r="I294">
            <v>0</v>
          </cell>
          <cell r="J294">
            <v>0</v>
          </cell>
          <cell r="K294">
            <v>0</v>
          </cell>
          <cell r="L294">
            <v>0</v>
          </cell>
          <cell r="M294">
            <v>0</v>
          </cell>
          <cell r="T294" t="str">
            <v>8c82</v>
          </cell>
          <cell r="U294">
            <v>0</v>
          </cell>
        </row>
        <row r="295">
          <cell r="D295" t="str">
            <v>8c66</v>
          </cell>
          <cell r="E295" t="str">
            <v>其他权益工具（永续债）_其他利润分配</v>
          </cell>
          <cell r="F295">
            <v>0</v>
          </cell>
          <cell r="G295">
            <v>0</v>
          </cell>
          <cell r="H295">
            <v>0</v>
          </cell>
          <cell r="I295">
            <v>0</v>
          </cell>
          <cell r="J295">
            <v>0</v>
          </cell>
          <cell r="K295">
            <v>0</v>
          </cell>
          <cell r="L295">
            <v>0</v>
          </cell>
          <cell r="M295">
            <v>0</v>
          </cell>
          <cell r="T295" t="str">
            <v>8c96</v>
          </cell>
          <cell r="U295">
            <v>0</v>
          </cell>
        </row>
        <row r="296">
          <cell r="D296" t="str">
            <v>8c70</v>
          </cell>
          <cell r="E296" t="str">
            <v>其他权益工具（永续债）_所有者权益内部结转</v>
          </cell>
          <cell r="F296">
            <v>0</v>
          </cell>
          <cell r="G296">
            <v>0</v>
          </cell>
          <cell r="H296">
            <v>0</v>
          </cell>
          <cell r="I296">
            <v>0</v>
          </cell>
          <cell r="J296">
            <v>0</v>
          </cell>
          <cell r="K296">
            <v>0</v>
          </cell>
          <cell r="L296">
            <v>0</v>
          </cell>
          <cell r="M296">
            <v>0</v>
          </cell>
          <cell r="T296" t="str">
            <v>8c99</v>
          </cell>
          <cell r="U296">
            <v>0</v>
          </cell>
        </row>
        <row r="297">
          <cell r="D297" t="str">
            <v>8c71</v>
          </cell>
          <cell r="E297" t="str">
            <v>其他权益工具（永续债）_资本公积转增资本</v>
          </cell>
          <cell r="F297">
            <v>0</v>
          </cell>
          <cell r="G297">
            <v>0</v>
          </cell>
          <cell r="H297">
            <v>0</v>
          </cell>
          <cell r="I297">
            <v>0</v>
          </cell>
          <cell r="J297">
            <v>0</v>
          </cell>
          <cell r="K297">
            <v>0</v>
          </cell>
          <cell r="L297">
            <v>0</v>
          </cell>
          <cell r="M297">
            <v>0</v>
          </cell>
          <cell r="T297" t="str">
            <v>8d00</v>
          </cell>
        </row>
        <row r="298">
          <cell r="D298" t="str">
            <v>8c72</v>
          </cell>
          <cell r="E298" t="str">
            <v>其他权益工具（永续债）_盈余公积转增资本</v>
          </cell>
          <cell r="F298">
            <v>0</v>
          </cell>
          <cell r="G298">
            <v>0</v>
          </cell>
          <cell r="H298">
            <v>0</v>
          </cell>
          <cell r="I298">
            <v>0</v>
          </cell>
          <cell r="J298">
            <v>0</v>
          </cell>
          <cell r="K298">
            <v>0</v>
          </cell>
          <cell r="L298">
            <v>0</v>
          </cell>
          <cell r="M298">
            <v>0</v>
          </cell>
          <cell r="T298" t="str">
            <v>8d01</v>
          </cell>
          <cell r="U298">
            <v>0</v>
          </cell>
        </row>
        <row r="299">
          <cell r="D299" t="str">
            <v>8c73</v>
          </cell>
          <cell r="E299" t="str">
            <v>其他权益工具（永续债）_盈余公积弥补亏损</v>
          </cell>
          <cell r="F299">
            <v>0</v>
          </cell>
          <cell r="G299">
            <v>0</v>
          </cell>
          <cell r="H299">
            <v>0</v>
          </cell>
          <cell r="I299">
            <v>0</v>
          </cell>
          <cell r="J299">
            <v>0</v>
          </cell>
          <cell r="K299">
            <v>0</v>
          </cell>
          <cell r="L299">
            <v>0</v>
          </cell>
          <cell r="M299">
            <v>0</v>
          </cell>
          <cell r="T299" t="str">
            <v>8d02</v>
          </cell>
          <cell r="U299">
            <v>0</v>
          </cell>
        </row>
        <row r="300">
          <cell r="D300" t="str">
            <v>8c75</v>
          </cell>
          <cell r="E300" t="str">
            <v>其他权益工具（永续债）_设定受益计划变动额结转留存收益</v>
          </cell>
          <cell r="F300">
            <v>0</v>
          </cell>
          <cell r="G300">
            <v>0</v>
          </cell>
          <cell r="H300">
            <v>0</v>
          </cell>
          <cell r="I300">
            <v>0</v>
          </cell>
          <cell r="J300">
            <v>0</v>
          </cell>
          <cell r="K300">
            <v>0</v>
          </cell>
          <cell r="L300">
            <v>0</v>
          </cell>
          <cell r="M300">
            <v>0</v>
          </cell>
          <cell r="T300" t="str">
            <v>8d03</v>
          </cell>
          <cell r="U300">
            <v>0</v>
          </cell>
        </row>
        <row r="301">
          <cell r="D301" t="str">
            <v>8c76</v>
          </cell>
          <cell r="E301" t="str">
            <v>其他权益工具（永续债）_所有者权益其他内部结转</v>
          </cell>
          <cell r="F301">
            <v>0</v>
          </cell>
          <cell r="G301">
            <v>0</v>
          </cell>
          <cell r="H301">
            <v>0</v>
          </cell>
          <cell r="I301">
            <v>0</v>
          </cell>
          <cell r="J301">
            <v>0</v>
          </cell>
          <cell r="K301">
            <v>0</v>
          </cell>
          <cell r="L301">
            <v>0</v>
          </cell>
          <cell r="M301">
            <v>0</v>
          </cell>
          <cell r="T301" t="str">
            <v>8d04</v>
          </cell>
          <cell r="U301">
            <v>0</v>
          </cell>
        </row>
        <row r="302">
          <cell r="D302" t="str">
            <v>8c80</v>
          </cell>
          <cell r="E302" t="str">
            <v>其他权益工具（永续债）_专项储备影响权益</v>
          </cell>
          <cell r="F302">
            <v>0</v>
          </cell>
          <cell r="G302">
            <v>0</v>
          </cell>
          <cell r="H302">
            <v>0</v>
          </cell>
          <cell r="I302">
            <v>0</v>
          </cell>
          <cell r="J302">
            <v>0</v>
          </cell>
          <cell r="K302">
            <v>0</v>
          </cell>
          <cell r="L302">
            <v>0</v>
          </cell>
          <cell r="M302">
            <v>0</v>
          </cell>
          <cell r="T302" t="str">
            <v>8d09</v>
          </cell>
          <cell r="U302">
            <v>0</v>
          </cell>
        </row>
        <row r="303">
          <cell r="D303" t="str">
            <v>8c81</v>
          </cell>
          <cell r="E303" t="str">
            <v>其他权益工具（永续债）_专项储备本期提取</v>
          </cell>
          <cell r="F303">
            <v>0</v>
          </cell>
          <cell r="G303">
            <v>0</v>
          </cell>
          <cell r="H303">
            <v>0</v>
          </cell>
          <cell r="I303">
            <v>0</v>
          </cell>
          <cell r="J303">
            <v>0</v>
          </cell>
          <cell r="K303">
            <v>0</v>
          </cell>
          <cell r="L303">
            <v>0</v>
          </cell>
          <cell r="M303">
            <v>0</v>
          </cell>
          <cell r="T303" t="str">
            <v>8d10</v>
          </cell>
          <cell r="U303">
            <v>0</v>
          </cell>
        </row>
        <row r="304">
          <cell r="D304" t="str">
            <v>8c82</v>
          </cell>
          <cell r="E304" t="str">
            <v>其他权益工具（永续债）_专项储备本期使用</v>
          </cell>
          <cell r="F304">
            <v>0</v>
          </cell>
          <cell r="G304">
            <v>0</v>
          </cell>
          <cell r="H304">
            <v>0</v>
          </cell>
          <cell r="I304">
            <v>0</v>
          </cell>
          <cell r="J304">
            <v>0</v>
          </cell>
          <cell r="K304">
            <v>0</v>
          </cell>
          <cell r="L304">
            <v>0</v>
          </cell>
          <cell r="M304">
            <v>0</v>
          </cell>
          <cell r="T304" t="str">
            <v>8d90</v>
          </cell>
          <cell r="U304">
            <v>0</v>
          </cell>
        </row>
        <row r="305">
          <cell r="D305" t="str">
            <v>8c96</v>
          </cell>
          <cell r="E305" t="str">
            <v>其他权益工具（永续债）_本期其他增减变动</v>
          </cell>
          <cell r="F305">
            <v>0</v>
          </cell>
          <cell r="G305">
            <v>0</v>
          </cell>
          <cell r="H305">
            <v>0</v>
          </cell>
          <cell r="I305">
            <v>0</v>
          </cell>
          <cell r="J305">
            <v>0</v>
          </cell>
          <cell r="K305">
            <v>0</v>
          </cell>
          <cell r="L305">
            <v>0</v>
          </cell>
          <cell r="M305">
            <v>0</v>
          </cell>
          <cell r="T305" t="str">
            <v>8d40</v>
          </cell>
          <cell r="U305">
            <v>0</v>
          </cell>
        </row>
        <row r="306">
          <cell r="D306" t="str">
            <v>8c99</v>
          </cell>
          <cell r="E306" t="str">
            <v>其他权益工具（永续债）_本期期末余额</v>
          </cell>
          <cell r="F306">
            <v>0</v>
          </cell>
          <cell r="G306">
            <v>0</v>
          </cell>
          <cell r="H306">
            <v>0</v>
          </cell>
          <cell r="I306">
            <v>0</v>
          </cell>
          <cell r="J306">
            <v>0</v>
          </cell>
          <cell r="K306">
            <v>0</v>
          </cell>
          <cell r="L306">
            <v>0</v>
          </cell>
          <cell r="M306">
            <v>0</v>
          </cell>
          <cell r="T306" t="str">
            <v>8d50</v>
          </cell>
          <cell r="U306">
            <v>0</v>
          </cell>
        </row>
        <row r="307">
          <cell r="D307" t="str">
            <v>8d00</v>
          </cell>
          <cell r="E307" t="str">
            <v>其他权益工具（其他）增减变动</v>
          </cell>
          <cell r="T307" t="str">
            <v>8d51</v>
          </cell>
          <cell r="U307">
            <v>0</v>
          </cell>
        </row>
        <row r="308">
          <cell r="D308" t="str">
            <v>8d01</v>
          </cell>
          <cell r="E308" t="str">
            <v>其他权益工具（其他）_上年年末余额</v>
          </cell>
          <cell r="F308">
            <v>0</v>
          </cell>
          <cell r="G308">
            <v>0</v>
          </cell>
          <cell r="H308">
            <v>0</v>
          </cell>
          <cell r="I308">
            <v>0</v>
          </cell>
          <cell r="J308">
            <v>0</v>
          </cell>
          <cell r="K308">
            <v>0</v>
          </cell>
          <cell r="L308">
            <v>0</v>
          </cell>
          <cell r="M308">
            <v>0</v>
          </cell>
          <cell r="T308" t="str">
            <v>8d53</v>
          </cell>
          <cell r="U308">
            <v>0</v>
          </cell>
        </row>
        <row r="309">
          <cell r="D309" t="str">
            <v>8d02</v>
          </cell>
          <cell r="E309" t="str">
            <v>其他权益工具（其他）_会计政策变更调整上年年末余额</v>
          </cell>
          <cell r="F309">
            <v>0</v>
          </cell>
          <cell r="G309">
            <v>0</v>
          </cell>
          <cell r="H309">
            <v>0</v>
          </cell>
          <cell r="I309">
            <v>0</v>
          </cell>
          <cell r="J309">
            <v>0</v>
          </cell>
          <cell r="K309">
            <v>0</v>
          </cell>
          <cell r="L309">
            <v>0</v>
          </cell>
          <cell r="M309">
            <v>0</v>
          </cell>
          <cell r="T309" t="str">
            <v>8d52</v>
          </cell>
          <cell r="U309">
            <v>0</v>
          </cell>
        </row>
        <row r="310">
          <cell r="D310" t="str">
            <v>8d03</v>
          </cell>
          <cell r="E310" t="str">
            <v>其他权益工具（其他）_前期差错更正调整上年年末余额</v>
          </cell>
          <cell r="F310">
            <v>0</v>
          </cell>
          <cell r="G310">
            <v>0</v>
          </cell>
          <cell r="H310">
            <v>0</v>
          </cell>
          <cell r="I310">
            <v>0</v>
          </cell>
          <cell r="J310">
            <v>0</v>
          </cell>
          <cell r="K310">
            <v>0</v>
          </cell>
          <cell r="L310">
            <v>0</v>
          </cell>
          <cell r="M310">
            <v>0</v>
          </cell>
          <cell r="T310" t="str">
            <v>8d56</v>
          </cell>
          <cell r="U310">
            <v>0</v>
          </cell>
        </row>
        <row r="311">
          <cell r="D311" t="str">
            <v>8d04</v>
          </cell>
          <cell r="E311" t="str">
            <v>其他权益工具（其他）_同一控制下企业合并调整上年年末余额</v>
          </cell>
          <cell r="F311">
            <v>0</v>
          </cell>
          <cell r="G311">
            <v>0</v>
          </cell>
          <cell r="H311">
            <v>0</v>
          </cell>
          <cell r="I311">
            <v>0</v>
          </cell>
          <cell r="J311">
            <v>0</v>
          </cell>
          <cell r="K311">
            <v>0</v>
          </cell>
          <cell r="L311">
            <v>0</v>
          </cell>
          <cell r="M311">
            <v>0</v>
          </cell>
          <cell r="T311" t="str">
            <v>8d60</v>
          </cell>
          <cell r="U311">
            <v>0</v>
          </cell>
        </row>
        <row r="312">
          <cell r="D312" t="str">
            <v>8d09</v>
          </cell>
          <cell r="E312" t="str">
            <v>其他权益工具（其他）_其他原因调整上年年末余额</v>
          </cell>
          <cell r="F312">
            <v>0</v>
          </cell>
          <cell r="G312">
            <v>0</v>
          </cell>
          <cell r="H312">
            <v>0</v>
          </cell>
          <cell r="I312">
            <v>0</v>
          </cell>
          <cell r="J312">
            <v>0</v>
          </cell>
          <cell r="K312">
            <v>0</v>
          </cell>
          <cell r="L312">
            <v>0</v>
          </cell>
          <cell r="M312">
            <v>0</v>
          </cell>
          <cell r="T312" t="str">
            <v>8d61</v>
          </cell>
          <cell r="U312">
            <v>0</v>
          </cell>
        </row>
        <row r="313">
          <cell r="D313" t="str">
            <v>8d10</v>
          </cell>
          <cell r="E313" t="str">
            <v>其他权益工具（其他）_本年年初余额</v>
          </cell>
          <cell r="F313">
            <v>0</v>
          </cell>
          <cell r="G313">
            <v>0</v>
          </cell>
          <cell r="H313">
            <v>0</v>
          </cell>
          <cell r="I313">
            <v>0</v>
          </cell>
          <cell r="J313">
            <v>0</v>
          </cell>
          <cell r="K313">
            <v>0</v>
          </cell>
          <cell r="L313">
            <v>0</v>
          </cell>
          <cell r="M313">
            <v>0</v>
          </cell>
          <cell r="T313" t="str">
            <v>8d62</v>
          </cell>
          <cell r="U313">
            <v>0</v>
          </cell>
        </row>
        <row r="314">
          <cell r="D314" t="str">
            <v>8d90</v>
          </cell>
          <cell r="E314" t="str">
            <v>其他权益工具（其他）_本期增减变动金额</v>
          </cell>
          <cell r="F314">
            <v>0</v>
          </cell>
          <cell r="G314">
            <v>0</v>
          </cell>
          <cell r="H314">
            <v>0</v>
          </cell>
          <cell r="I314">
            <v>0</v>
          </cell>
          <cell r="J314">
            <v>0</v>
          </cell>
          <cell r="K314">
            <v>0</v>
          </cell>
          <cell r="L314">
            <v>0</v>
          </cell>
          <cell r="M314">
            <v>0</v>
          </cell>
          <cell r="T314" t="str">
            <v>8d63</v>
          </cell>
          <cell r="U314">
            <v>0</v>
          </cell>
        </row>
        <row r="315">
          <cell r="D315" t="str">
            <v>8d40</v>
          </cell>
          <cell r="E315" t="str">
            <v>其他权益工具（其他）_综合收益总额增加权益</v>
          </cell>
          <cell r="F315">
            <v>0</v>
          </cell>
          <cell r="G315">
            <v>0</v>
          </cell>
          <cell r="H315">
            <v>0</v>
          </cell>
          <cell r="I315">
            <v>0</v>
          </cell>
          <cell r="J315">
            <v>0</v>
          </cell>
          <cell r="K315">
            <v>0</v>
          </cell>
          <cell r="L315">
            <v>0</v>
          </cell>
          <cell r="M315">
            <v>0</v>
          </cell>
          <cell r="T315" t="str">
            <v>8d66</v>
          </cell>
          <cell r="U315">
            <v>0</v>
          </cell>
        </row>
        <row r="316">
          <cell r="D316" t="str">
            <v>8d50</v>
          </cell>
          <cell r="E316" t="str">
            <v>其他权益工具（其他）_所有者投入和减少资本影响权益</v>
          </cell>
          <cell r="F316">
            <v>0</v>
          </cell>
          <cell r="G316">
            <v>0</v>
          </cell>
          <cell r="H316">
            <v>0</v>
          </cell>
          <cell r="I316">
            <v>0</v>
          </cell>
          <cell r="J316">
            <v>0</v>
          </cell>
          <cell r="K316">
            <v>0</v>
          </cell>
          <cell r="L316">
            <v>0</v>
          </cell>
          <cell r="M316">
            <v>0</v>
          </cell>
          <cell r="T316" t="str">
            <v>8d70</v>
          </cell>
          <cell r="U316">
            <v>0</v>
          </cell>
        </row>
        <row r="317">
          <cell r="D317" t="str">
            <v>8d51</v>
          </cell>
          <cell r="E317" t="str">
            <v>其他权益工具（其他）_所有者投入资本</v>
          </cell>
          <cell r="F317">
            <v>0</v>
          </cell>
          <cell r="G317">
            <v>0</v>
          </cell>
          <cell r="H317">
            <v>0</v>
          </cell>
          <cell r="I317">
            <v>0</v>
          </cell>
          <cell r="J317">
            <v>0</v>
          </cell>
          <cell r="K317">
            <v>0</v>
          </cell>
          <cell r="L317">
            <v>0</v>
          </cell>
          <cell r="M317">
            <v>0</v>
          </cell>
          <cell r="T317" t="str">
            <v>8d71</v>
          </cell>
          <cell r="U317">
            <v>0</v>
          </cell>
        </row>
        <row r="318">
          <cell r="D318" t="str">
            <v>8d53</v>
          </cell>
          <cell r="E318" t="str">
            <v>其他权益工具（其他）_其他权益工具持有者投入资本</v>
          </cell>
          <cell r="F318">
            <v>0</v>
          </cell>
          <cell r="G318">
            <v>0</v>
          </cell>
          <cell r="H318">
            <v>0</v>
          </cell>
          <cell r="I318">
            <v>0</v>
          </cell>
          <cell r="J318">
            <v>0</v>
          </cell>
          <cell r="K318">
            <v>0</v>
          </cell>
          <cell r="L318">
            <v>0</v>
          </cell>
          <cell r="M318">
            <v>0</v>
          </cell>
          <cell r="T318" t="str">
            <v>8d72</v>
          </cell>
          <cell r="U318">
            <v>0</v>
          </cell>
        </row>
        <row r="319">
          <cell r="D319" t="str">
            <v>8d52</v>
          </cell>
          <cell r="E319" t="str">
            <v>其他权益工具（其他）_股份支付</v>
          </cell>
          <cell r="F319">
            <v>0</v>
          </cell>
          <cell r="G319">
            <v>0</v>
          </cell>
          <cell r="H319">
            <v>0</v>
          </cell>
          <cell r="I319">
            <v>0</v>
          </cell>
          <cell r="J319">
            <v>0</v>
          </cell>
          <cell r="K319">
            <v>0</v>
          </cell>
          <cell r="L319">
            <v>0</v>
          </cell>
          <cell r="M319">
            <v>0</v>
          </cell>
          <cell r="T319" t="str">
            <v>8d73</v>
          </cell>
          <cell r="U319">
            <v>0</v>
          </cell>
        </row>
        <row r="320">
          <cell r="D320" t="str">
            <v>8d56</v>
          </cell>
          <cell r="E320" t="str">
            <v>其他权益工具（其他）_所有者其他投入和减少资本</v>
          </cell>
          <cell r="F320">
            <v>0</v>
          </cell>
          <cell r="G320">
            <v>0</v>
          </cell>
          <cell r="H320">
            <v>0</v>
          </cell>
          <cell r="I320">
            <v>0</v>
          </cell>
          <cell r="J320">
            <v>0</v>
          </cell>
          <cell r="K320">
            <v>0</v>
          </cell>
          <cell r="L320">
            <v>0</v>
          </cell>
          <cell r="M320">
            <v>0</v>
          </cell>
          <cell r="T320" t="str">
            <v>8d75</v>
          </cell>
          <cell r="U320">
            <v>0</v>
          </cell>
        </row>
        <row r="321">
          <cell r="D321" t="str">
            <v>8d60</v>
          </cell>
          <cell r="E321" t="str">
            <v>其他权益工具（其他）_利润分配影响权益</v>
          </cell>
          <cell r="F321">
            <v>0</v>
          </cell>
          <cell r="G321">
            <v>0</v>
          </cell>
          <cell r="H321">
            <v>0</v>
          </cell>
          <cell r="I321">
            <v>0</v>
          </cell>
          <cell r="J321">
            <v>0</v>
          </cell>
          <cell r="K321">
            <v>0</v>
          </cell>
          <cell r="L321">
            <v>0</v>
          </cell>
          <cell r="M321">
            <v>0</v>
          </cell>
          <cell r="T321" t="str">
            <v>8d76</v>
          </cell>
          <cell r="U321">
            <v>0</v>
          </cell>
        </row>
        <row r="322">
          <cell r="D322" t="str">
            <v>8d61</v>
          </cell>
          <cell r="E322" t="str">
            <v>其他权益工具（其他）_提取盈余公积</v>
          </cell>
          <cell r="F322">
            <v>0</v>
          </cell>
          <cell r="G322">
            <v>0</v>
          </cell>
          <cell r="H322">
            <v>0</v>
          </cell>
          <cell r="I322">
            <v>0</v>
          </cell>
          <cell r="J322">
            <v>0</v>
          </cell>
          <cell r="K322">
            <v>0</v>
          </cell>
          <cell r="L322">
            <v>0</v>
          </cell>
          <cell r="M322">
            <v>0</v>
          </cell>
          <cell r="T322" t="str">
            <v>8d80</v>
          </cell>
          <cell r="U322">
            <v>0</v>
          </cell>
        </row>
        <row r="323">
          <cell r="D323" t="str">
            <v>8d62</v>
          </cell>
          <cell r="E323" t="str">
            <v>其他权益工具（其他）_提取一般风险准备</v>
          </cell>
          <cell r="F323">
            <v>0</v>
          </cell>
          <cell r="G323">
            <v>0</v>
          </cell>
          <cell r="H323">
            <v>0</v>
          </cell>
          <cell r="I323">
            <v>0</v>
          </cell>
          <cell r="J323">
            <v>0</v>
          </cell>
          <cell r="K323">
            <v>0</v>
          </cell>
          <cell r="L323">
            <v>0</v>
          </cell>
          <cell r="M323">
            <v>0</v>
          </cell>
          <cell r="T323" t="str">
            <v>8d81</v>
          </cell>
          <cell r="U323">
            <v>0</v>
          </cell>
        </row>
        <row r="324">
          <cell r="D324" t="str">
            <v>8d63</v>
          </cell>
          <cell r="E324" t="str">
            <v>其他权益工具（其他）_对所有者的分配</v>
          </cell>
          <cell r="F324">
            <v>0</v>
          </cell>
          <cell r="G324">
            <v>0</v>
          </cell>
          <cell r="H324">
            <v>0</v>
          </cell>
          <cell r="I324">
            <v>0</v>
          </cell>
          <cell r="J324">
            <v>0</v>
          </cell>
          <cell r="K324">
            <v>0</v>
          </cell>
          <cell r="L324">
            <v>0</v>
          </cell>
          <cell r="M324">
            <v>0</v>
          </cell>
          <cell r="T324" t="str">
            <v>8d82</v>
          </cell>
          <cell r="U324">
            <v>0</v>
          </cell>
        </row>
        <row r="325">
          <cell r="D325" t="str">
            <v>8d66</v>
          </cell>
          <cell r="E325" t="str">
            <v>其他权益工具（其他）_其他利润分配</v>
          </cell>
          <cell r="F325">
            <v>0</v>
          </cell>
          <cell r="G325">
            <v>0</v>
          </cell>
          <cell r="H325">
            <v>0</v>
          </cell>
          <cell r="I325">
            <v>0</v>
          </cell>
          <cell r="J325">
            <v>0</v>
          </cell>
          <cell r="K325">
            <v>0</v>
          </cell>
          <cell r="L325">
            <v>0</v>
          </cell>
          <cell r="M325">
            <v>0</v>
          </cell>
          <cell r="T325" t="str">
            <v>8d96</v>
          </cell>
          <cell r="U325">
            <v>0</v>
          </cell>
        </row>
        <row r="326">
          <cell r="D326" t="str">
            <v>8d70</v>
          </cell>
          <cell r="E326" t="str">
            <v>其他权益工具（其他）_所有者权益内部结转</v>
          </cell>
          <cell r="F326">
            <v>0</v>
          </cell>
          <cell r="G326">
            <v>0</v>
          </cell>
          <cell r="H326">
            <v>0</v>
          </cell>
          <cell r="I326">
            <v>0</v>
          </cell>
          <cell r="J326">
            <v>0</v>
          </cell>
          <cell r="K326">
            <v>0</v>
          </cell>
          <cell r="L326">
            <v>0</v>
          </cell>
          <cell r="M326">
            <v>0</v>
          </cell>
          <cell r="T326" t="str">
            <v>8d99</v>
          </cell>
          <cell r="U326">
            <v>0</v>
          </cell>
        </row>
        <row r="327">
          <cell r="D327" t="str">
            <v>8d71</v>
          </cell>
          <cell r="E327" t="str">
            <v>其他权益工具（其他）_资本公积转增资本</v>
          </cell>
          <cell r="F327">
            <v>0</v>
          </cell>
          <cell r="G327">
            <v>0</v>
          </cell>
          <cell r="H327">
            <v>0</v>
          </cell>
          <cell r="I327">
            <v>0</v>
          </cell>
          <cell r="J327">
            <v>0</v>
          </cell>
          <cell r="K327">
            <v>0</v>
          </cell>
          <cell r="L327">
            <v>0</v>
          </cell>
          <cell r="M327">
            <v>0</v>
          </cell>
          <cell r="T327">
            <v>8200</v>
          </cell>
          <cell r="U327">
            <v>0</v>
          </cell>
        </row>
        <row r="328">
          <cell r="D328" t="str">
            <v>8d72</v>
          </cell>
          <cell r="E328" t="str">
            <v>其他权益工具（其他）_盈余公积转增资本</v>
          </cell>
          <cell r="F328">
            <v>0</v>
          </cell>
          <cell r="G328">
            <v>0</v>
          </cell>
          <cell r="H328">
            <v>0</v>
          </cell>
          <cell r="I328">
            <v>0</v>
          </cell>
          <cell r="J328">
            <v>0</v>
          </cell>
          <cell r="K328">
            <v>0</v>
          </cell>
          <cell r="L328">
            <v>0</v>
          </cell>
          <cell r="M328">
            <v>0</v>
          </cell>
          <cell r="T328">
            <v>8201</v>
          </cell>
          <cell r="U328">
            <v>63816521.649999999</v>
          </cell>
        </row>
        <row r="329">
          <cell r="D329" t="str">
            <v>8d73</v>
          </cell>
          <cell r="E329" t="str">
            <v>其他权益工具（其他）_盈余公积弥补亏损</v>
          </cell>
          <cell r="F329">
            <v>0</v>
          </cell>
          <cell r="G329">
            <v>0</v>
          </cell>
          <cell r="H329">
            <v>0</v>
          </cell>
          <cell r="I329">
            <v>0</v>
          </cell>
          <cell r="J329">
            <v>0</v>
          </cell>
          <cell r="K329">
            <v>0</v>
          </cell>
          <cell r="L329">
            <v>0</v>
          </cell>
          <cell r="M329">
            <v>0</v>
          </cell>
          <cell r="T329">
            <v>8202</v>
          </cell>
          <cell r="U329">
            <v>0</v>
          </cell>
        </row>
        <row r="330">
          <cell r="D330" t="str">
            <v>8d75</v>
          </cell>
          <cell r="E330" t="str">
            <v>其他权益工具（其他）_设定受益计划变动额结转留存收益</v>
          </cell>
          <cell r="F330">
            <v>0</v>
          </cell>
          <cell r="G330">
            <v>0</v>
          </cell>
          <cell r="H330">
            <v>0</v>
          </cell>
          <cell r="I330">
            <v>0</v>
          </cell>
          <cell r="J330">
            <v>0</v>
          </cell>
          <cell r="K330">
            <v>0</v>
          </cell>
          <cell r="L330">
            <v>0</v>
          </cell>
          <cell r="M330">
            <v>0</v>
          </cell>
          <cell r="T330">
            <v>8203</v>
          </cell>
          <cell r="U330">
            <v>0</v>
          </cell>
        </row>
        <row r="331">
          <cell r="D331" t="str">
            <v>8d76</v>
          </cell>
          <cell r="E331" t="str">
            <v>其他权益工具（其他）_所有者权益其他内部结转</v>
          </cell>
          <cell r="F331">
            <v>0</v>
          </cell>
          <cell r="G331">
            <v>0</v>
          </cell>
          <cell r="H331">
            <v>0</v>
          </cell>
          <cell r="I331">
            <v>0</v>
          </cell>
          <cell r="J331">
            <v>0</v>
          </cell>
          <cell r="K331">
            <v>0</v>
          </cell>
          <cell r="L331">
            <v>0</v>
          </cell>
          <cell r="M331">
            <v>0</v>
          </cell>
          <cell r="T331">
            <v>8204</v>
          </cell>
          <cell r="U331">
            <v>0</v>
          </cell>
        </row>
        <row r="332">
          <cell r="D332" t="str">
            <v>8d80</v>
          </cell>
          <cell r="E332" t="str">
            <v>其他权益工具（其他）_专项储备影响权益</v>
          </cell>
          <cell r="F332">
            <v>0</v>
          </cell>
          <cell r="G332">
            <v>0</v>
          </cell>
          <cell r="H332">
            <v>0</v>
          </cell>
          <cell r="I332">
            <v>0</v>
          </cell>
          <cell r="J332">
            <v>0</v>
          </cell>
          <cell r="K332">
            <v>0</v>
          </cell>
          <cell r="L332">
            <v>0</v>
          </cell>
          <cell r="M332">
            <v>0</v>
          </cell>
          <cell r="T332">
            <v>8209</v>
          </cell>
          <cell r="U332">
            <v>0</v>
          </cell>
        </row>
        <row r="333">
          <cell r="D333" t="str">
            <v>8d81</v>
          </cell>
          <cell r="E333" t="str">
            <v>其他权益工具（其他）_专项储备本期提取</v>
          </cell>
          <cell r="F333">
            <v>0</v>
          </cell>
          <cell r="G333">
            <v>0</v>
          </cell>
          <cell r="H333">
            <v>0</v>
          </cell>
          <cell r="I333">
            <v>0</v>
          </cell>
          <cell r="J333">
            <v>0</v>
          </cell>
          <cell r="K333">
            <v>0</v>
          </cell>
          <cell r="L333">
            <v>0</v>
          </cell>
          <cell r="M333">
            <v>0</v>
          </cell>
          <cell r="T333">
            <v>8210</v>
          </cell>
          <cell r="U333">
            <v>63816521.649999999</v>
          </cell>
        </row>
        <row r="334">
          <cell r="D334" t="str">
            <v>8d82</v>
          </cell>
          <cell r="E334" t="str">
            <v>其他权益工具（其他）_专项储备本期使用</v>
          </cell>
          <cell r="F334">
            <v>0</v>
          </cell>
          <cell r="G334">
            <v>0</v>
          </cell>
          <cell r="H334">
            <v>0</v>
          </cell>
          <cell r="I334">
            <v>0</v>
          </cell>
          <cell r="J334">
            <v>0</v>
          </cell>
          <cell r="K334">
            <v>0</v>
          </cell>
          <cell r="L334">
            <v>0</v>
          </cell>
          <cell r="M334">
            <v>0</v>
          </cell>
          <cell r="T334">
            <v>8290</v>
          </cell>
          <cell r="U334">
            <v>-49539447.640000001</v>
          </cell>
        </row>
        <row r="335">
          <cell r="D335" t="str">
            <v>8d96</v>
          </cell>
          <cell r="E335" t="str">
            <v>其他权益工具（其他）_本期其他增减变动</v>
          </cell>
          <cell r="F335">
            <v>0</v>
          </cell>
          <cell r="G335">
            <v>0</v>
          </cell>
          <cell r="H335">
            <v>0</v>
          </cell>
          <cell r="I335">
            <v>0</v>
          </cell>
          <cell r="J335">
            <v>0</v>
          </cell>
          <cell r="K335">
            <v>0</v>
          </cell>
          <cell r="L335">
            <v>0</v>
          </cell>
          <cell r="M335">
            <v>0</v>
          </cell>
          <cell r="T335">
            <v>8221</v>
          </cell>
          <cell r="U335">
            <v>0</v>
          </cell>
        </row>
        <row r="336">
          <cell r="D336" t="str">
            <v>8d99</v>
          </cell>
          <cell r="E336" t="str">
            <v>其他权益工具（其他）_本期期末余额</v>
          </cell>
          <cell r="F336">
            <v>0</v>
          </cell>
          <cell r="G336">
            <v>0</v>
          </cell>
          <cell r="H336">
            <v>0</v>
          </cell>
          <cell r="I336">
            <v>0</v>
          </cell>
          <cell r="J336">
            <v>0</v>
          </cell>
          <cell r="K336">
            <v>0</v>
          </cell>
          <cell r="L336">
            <v>0</v>
          </cell>
          <cell r="M336">
            <v>0</v>
          </cell>
          <cell r="T336">
            <v>8230</v>
          </cell>
          <cell r="U336">
            <v>0</v>
          </cell>
        </row>
        <row r="337">
          <cell r="D337">
            <v>8200</v>
          </cell>
          <cell r="E337" t="str">
            <v>资本公积增减变动</v>
          </cell>
          <cell r="F337">
            <v>0</v>
          </cell>
          <cell r="G337">
            <v>0</v>
          </cell>
          <cell r="H337">
            <v>0</v>
          </cell>
          <cell r="I337">
            <v>0</v>
          </cell>
          <cell r="J337">
            <v>0</v>
          </cell>
          <cell r="K337">
            <v>0</v>
          </cell>
          <cell r="L337">
            <v>0</v>
          </cell>
          <cell r="M337">
            <v>0</v>
          </cell>
          <cell r="T337">
            <v>8240</v>
          </cell>
          <cell r="U337">
            <v>0</v>
          </cell>
        </row>
        <row r="338">
          <cell r="D338">
            <v>8201</v>
          </cell>
          <cell r="E338" t="str">
            <v>资本公积_上年年末余额</v>
          </cell>
          <cell r="F338">
            <v>14277074.01</v>
          </cell>
          <cell r="G338">
            <v>0</v>
          </cell>
          <cell r="H338">
            <v>0</v>
          </cell>
          <cell r="I338">
            <v>14277074.01</v>
          </cell>
          <cell r="J338">
            <v>63816521.649999999</v>
          </cell>
          <cell r="K338">
            <v>0</v>
          </cell>
          <cell r="L338">
            <v>0</v>
          </cell>
          <cell r="M338">
            <v>63816521.649999999</v>
          </cell>
          <cell r="T338">
            <v>8250</v>
          </cell>
          <cell r="U338">
            <v>160860552.36000001</v>
          </cell>
        </row>
        <row r="339">
          <cell r="D339">
            <v>8202</v>
          </cell>
          <cell r="E339" t="str">
            <v>资本公积_会计政策变更调整上年年末余额</v>
          </cell>
          <cell r="F339">
            <v>0</v>
          </cell>
          <cell r="G339">
            <v>0</v>
          </cell>
          <cell r="H339">
            <v>0</v>
          </cell>
          <cell r="I339">
            <v>0</v>
          </cell>
          <cell r="J339">
            <v>0</v>
          </cell>
          <cell r="K339">
            <v>0</v>
          </cell>
          <cell r="L339">
            <v>0</v>
          </cell>
          <cell r="M339">
            <v>0</v>
          </cell>
          <cell r="T339">
            <v>8251</v>
          </cell>
          <cell r="U339">
            <v>155400000</v>
          </cell>
        </row>
        <row r="340">
          <cell r="D340">
            <v>8203</v>
          </cell>
          <cell r="E340" t="str">
            <v>资本公积_前期差错更正调整上年年末余额</v>
          </cell>
          <cell r="F340">
            <v>0</v>
          </cell>
          <cell r="G340">
            <v>0</v>
          </cell>
          <cell r="H340">
            <v>0</v>
          </cell>
          <cell r="I340">
            <v>0</v>
          </cell>
          <cell r="J340">
            <v>0</v>
          </cell>
          <cell r="K340">
            <v>0</v>
          </cell>
          <cell r="L340">
            <v>0</v>
          </cell>
          <cell r="M340">
            <v>0</v>
          </cell>
          <cell r="T340">
            <v>8253</v>
          </cell>
          <cell r="U340">
            <v>0</v>
          </cell>
        </row>
        <row r="341">
          <cell r="D341">
            <v>8204</v>
          </cell>
          <cell r="E341" t="str">
            <v>资本公积_同一控制下企业合并调整上年年末余额</v>
          </cell>
          <cell r="F341">
            <v>0</v>
          </cell>
          <cell r="G341">
            <v>0</v>
          </cell>
          <cell r="H341">
            <v>0</v>
          </cell>
          <cell r="I341">
            <v>0</v>
          </cell>
          <cell r="J341">
            <v>0</v>
          </cell>
          <cell r="K341">
            <v>0</v>
          </cell>
          <cell r="L341">
            <v>0</v>
          </cell>
          <cell r="M341">
            <v>0</v>
          </cell>
          <cell r="T341">
            <v>8252</v>
          </cell>
          <cell r="U341">
            <v>5460552.3600000003</v>
          </cell>
        </row>
        <row r="342">
          <cell r="D342">
            <v>8209</v>
          </cell>
          <cell r="E342" t="str">
            <v>资本公积_其他原因调整上年年末余额</v>
          </cell>
          <cell r="F342">
            <v>0</v>
          </cell>
          <cell r="G342">
            <v>0</v>
          </cell>
          <cell r="H342">
            <v>0</v>
          </cell>
          <cell r="I342">
            <v>0</v>
          </cell>
          <cell r="J342">
            <v>0</v>
          </cell>
          <cell r="K342">
            <v>0</v>
          </cell>
          <cell r="L342">
            <v>0</v>
          </cell>
          <cell r="M342">
            <v>0</v>
          </cell>
          <cell r="T342">
            <v>8256</v>
          </cell>
          <cell r="U342">
            <v>0</v>
          </cell>
        </row>
        <row r="343">
          <cell r="D343">
            <v>8210</v>
          </cell>
          <cell r="E343" t="str">
            <v>资本公积_本年年初余额</v>
          </cell>
          <cell r="F343">
            <v>14277074.01</v>
          </cell>
          <cell r="G343">
            <v>0</v>
          </cell>
          <cell r="H343">
            <v>0</v>
          </cell>
          <cell r="I343">
            <v>14277074.01</v>
          </cell>
          <cell r="J343">
            <v>63816521.649999999</v>
          </cell>
          <cell r="K343">
            <v>0</v>
          </cell>
          <cell r="L343">
            <v>0</v>
          </cell>
          <cell r="M343">
            <v>63816521.649999999</v>
          </cell>
          <cell r="T343">
            <v>8260</v>
          </cell>
          <cell r="U343">
            <v>0</v>
          </cell>
        </row>
        <row r="344">
          <cell r="D344">
            <v>8290</v>
          </cell>
          <cell r="E344" t="str">
            <v>资本公积_本期增减变动金额</v>
          </cell>
          <cell r="F344">
            <v>0</v>
          </cell>
          <cell r="G344">
            <v>0</v>
          </cell>
          <cell r="H344">
            <v>0</v>
          </cell>
          <cell r="I344">
            <v>0</v>
          </cell>
          <cell r="J344">
            <v>-49539447.640000001</v>
          </cell>
          <cell r="K344">
            <v>0</v>
          </cell>
          <cell r="L344">
            <v>0</v>
          </cell>
          <cell r="M344">
            <v>-49539447.640000001</v>
          </cell>
          <cell r="T344">
            <v>8261</v>
          </cell>
          <cell r="U344">
            <v>0</v>
          </cell>
        </row>
        <row r="345">
          <cell r="D345">
            <v>8221</v>
          </cell>
          <cell r="E345" t="str">
            <v>资本公积_净利润增加权益</v>
          </cell>
          <cell r="F345">
            <v>0</v>
          </cell>
          <cell r="G345">
            <v>0</v>
          </cell>
          <cell r="H345">
            <v>0</v>
          </cell>
          <cell r="I345">
            <v>0</v>
          </cell>
          <cell r="J345">
            <v>0</v>
          </cell>
          <cell r="K345">
            <v>0</v>
          </cell>
          <cell r="L345">
            <v>0</v>
          </cell>
          <cell r="M345">
            <v>0</v>
          </cell>
          <cell r="T345">
            <v>8262</v>
          </cell>
          <cell r="U345">
            <v>0</v>
          </cell>
        </row>
        <row r="346">
          <cell r="D346">
            <v>8230</v>
          </cell>
          <cell r="E346" t="str">
            <v>资本公积_其他综合收益</v>
          </cell>
          <cell r="F346">
            <v>0</v>
          </cell>
          <cell r="G346">
            <v>0</v>
          </cell>
          <cell r="H346">
            <v>0</v>
          </cell>
          <cell r="I346">
            <v>0</v>
          </cell>
          <cell r="J346">
            <v>0</v>
          </cell>
          <cell r="K346">
            <v>0</v>
          </cell>
          <cell r="L346">
            <v>0</v>
          </cell>
          <cell r="M346">
            <v>0</v>
          </cell>
          <cell r="T346">
            <v>8263</v>
          </cell>
          <cell r="U346">
            <v>0</v>
          </cell>
        </row>
        <row r="347">
          <cell r="D347">
            <v>8240</v>
          </cell>
          <cell r="E347" t="str">
            <v>资本公积_综合收益总额增加权益</v>
          </cell>
          <cell r="F347">
            <v>0</v>
          </cell>
          <cell r="G347">
            <v>0</v>
          </cell>
          <cell r="H347">
            <v>0</v>
          </cell>
          <cell r="I347">
            <v>0</v>
          </cell>
          <cell r="J347">
            <v>0</v>
          </cell>
          <cell r="K347">
            <v>0</v>
          </cell>
          <cell r="L347">
            <v>0</v>
          </cell>
          <cell r="M347">
            <v>0</v>
          </cell>
          <cell r="T347">
            <v>8266</v>
          </cell>
          <cell r="U347">
            <v>0</v>
          </cell>
        </row>
        <row r="348">
          <cell r="D348">
            <v>8250</v>
          </cell>
          <cell r="E348" t="str">
            <v>资本公积_所有者投入和减少资本影响权益</v>
          </cell>
          <cell r="F348">
            <v>0</v>
          </cell>
          <cell r="G348">
            <v>0</v>
          </cell>
          <cell r="H348">
            <v>0</v>
          </cell>
          <cell r="I348">
            <v>0</v>
          </cell>
          <cell r="J348">
            <v>160860552.36000001</v>
          </cell>
          <cell r="K348">
            <v>0</v>
          </cell>
          <cell r="L348">
            <v>0</v>
          </cell>
          <cell r="M348">
            <v>160860552.36000001</v>
          </cell>
          <cell r="T348">
            <v>8270</v>
          </cell>
          <cell r="U348">
            <v>-210400000</v>
          </cell>
        </row>
        <row r="349">
          <cell r="D349">
            <v>8251</v>
          </cell>
          <cell r="E349" t="str">
            <v>资本公积_所有者投入资本</v>
          </cell>
          <cell r="F349">
            <v>0</v>
          </cell>
          <cell r="G349">
            <v>0</v>
          </cell>
          <cell r="H349">
            <v>0</v>
          </cell>
          <cell r="I349">
            <v>0</v>
          </cell>
          <cell r="J349">
            <v>155400000</v>
          </cell>
          <cell r="K349">
            <v>0</v>
          </cell>
          <cell r="L349">
            <v>0</v>
          </cell>
          <cell r="M349">
            <v>155400000</v>
          </cell>
          <cell r="T349">
            <v>8271</v>
          </cell>
          <cell r="U349">
            <v>-210400000</v>
          </cell>
        </row>
        <row r="350">
          <cell r="D350">
            <v>8253</v>
          </cell>
          <cell r="E350" t="str">
            <v>资本公积_其他权益工具持有者投入资本</v>
          </cell>
          <cell r="F350">
            <v>0</v>
          </cell>
          <cell r="G350">
            <v>0</v>
          </cell>
          <cell r="H350">
            <v>0</v>
          </cell>
          <cell r="I350">
            <v>0</v>
          </cell>
          <cell r="J350">
            <v>0</v>
          </cell>
          <cell r="K350">
            <v>0</v>
          </cell>
          <cell r="L350">
            <v>0</v>
          </cell>
          <cell r="M350">
            <v>0</v>
          </cell>
          <cell r="T350">
            <v>8272</v>
          </cell>
          <cell r="U350">
            <v>0</v>
          </cell>
        </row>
        <row r="351">
          <cell r="D351">
            <v>8252</v>
          </cell>
          <cell r="E351" t="str">
            <v>资本公积_股份支付</v>
          </cell>
          <cell r="F351">
            <v>0</v>
          </cell>
          <cell r="G351">
            <v>0</v>
          </cell>
          <cell r="H351">
            <v>0</v>
          </cell>
          <cell r="I351">
            <v>0</v>
          </cell>
          <cell r="J351">
            <v>5460552.3600000003</v>
          </cell>
          <cell r="K351">
            <v>0</v>
          </cell>
          <cell r="L351">
            <v>0</v>
          </cell>
          <cell r="M351">
            <v>5460552.3600000003</v>
          </cell>
          <cell r="T351">
            <v>8273</v>
          </cell>
          <cell r="U351">
            <v>0</v>
          </cell>
        </row>
        <row r="352">
          <cell r="D352">
            <v>8256</v>
          </cell>
          <cell r="E352" t="str">
            <v>资本公积_所有者其他投入和减少资本</v>
          </cell>
          <cell r="F352">
            <v>0</v>
          </cell>
          <cell r="G352">
            <v>0</v>
          </cell>
          <cell r="H352">
            <v>0</v>
          </cell>
          <cell r="I352">
            <v>0</v>
          </cell>
          <cell r="J352">
            <v>0</v>
          </cell>
          <cell r="K352">
            <v>0</v>
          </cell>
          <cell r="L352">
            <v>0</v>
          </cell>
          <cell r="M352">
            <v>0</v>
          </cell>
          <cell r="T352">
            <v>8275</v>
          </cell>
          <cell r="U352">
            <v>0</v>
          </cell>
        </row>
        <row r="353">
          <cell r="D353">
            <v>8260</v>
          </cell>
          <cell r="E353" t="str">
            <v>资本公积_利润分配影响权益</v>
          </cell>
          <cell r="F353">
            <v>0</v>
          </cell>
          <cell r="G353">
            <v>0</v>
          </cell>
          <cell r="H353">
            <v>0</v>
          </cell>
          <cell r="I353">
            <v>0</v>
          </cell>
          <cell r="J353">
            <v>0</v>
          </cell>
          <cell r="K353">
            <v>0</v>
          </cell>
          <cell r="L353">
            <v>0</v>
          </cell>
          <cell r="M353">
            <v>0</v>
          </cell>
          <cell r="T353">
            <v>8276</v>
          </cell>
          <cell r="U353">
            <v>0</v>
          </cell>
        </row>
        <row r="354">
          <cell r="D354">
            <v>8261</v>
          </cell>
          <cell r="E354" t="str">
            <v>资本公积_提取盈余公积影响权益</v>
          </cell>
          <cell r="F354">
            <v>0</v>
          </cell>
          <cell r="G354">
            <v>0</v>
          </cell>
          <cell r="H354">
            <v>0</v>
          </cell>
          <cell r="I354">
            <v>0</v>
          </cell>
          <cell r="J354">
            <v>0</v>
          </cell>
          <cell r="K354">
            <v>0</v>
          </cell>
          <cell r="L354">
            <v>0</v>
          </cell>
          <cell r="M354">
            <v>0</v>
          </cell>
          <cell r="T354">
            <v>8280</v>
          </cell>
          <cell r="U354">
            <v>0</v>
          </cell>
        </row>
        <row r="355">
          <cell r="D355">
            <v>8262</v>
          </cell>
          <cell r="E355" t="str">
            <v>资本公积_提取一般风险准备影响权益</v>
          </cell>
          <cell r="F355">
            <v>0</v>
          </cell>
          <cell r="G355">
            <v>0</v>
          </cell>
          <cell r="H355">
            <v>0</v>
          </cell>
          <cell r="I355">
            <v>0</v>
          </cell>
          <cell r="J355">
            <v>0</v>
          </cell>
          <cell r="K355">
            <v>0</v>
          </cell>
          <cell r="L355">
            <v>0</v>
          </cell>
          <cell r="M355">
            <v>0</v>
          </cell>
          <cell r="T355">
            <v>8281</v>
          </cell>
          <cell r="U355">
            <v>0</v>
          </cell>
        </row>
        <row r="356">
          <cell r="D356">
            <v>8263</v>
          </cell>
          <cell r="E356" t="str">
            <v>资本公积_对所有者的分配影响权益</v>
          </cell>
          <cell r="F356">
            <v>0</v>
          </cell>
          <cell r="G356">
            <v>0</v>
          </cell>
          <cell r="H356">
            <v>0</v>
          </cell>
          <cell r="I356">
            <v>0</v>
          </cell>
          <cell r="J356">
            <v>0</v>
          </cell>
          <cell r="K356">
            <v>0</v>
          </cell>
          <cell r="L356">
            <v>0</v>
          </cell>
          <cell r="M356">
            <v>0</v>
          </cell>
          <cell r="T356">
            <v>8282</v>
          </cell>
          <cell r="U356">
            <v>0</v>
          </cell>
        </row>
        <row r="357">
          <cell r="D357">
            <v>8266</v>
          </cell>
          <cell r="E357" t="str">
            <v>资本公积_其他利润分配</v>
          </cell>
          <cell r="F357">
            <v>0</v>
          </cell>
          <cell r="G357">
            <v>0</v>
          </cell>
          <cell r="H357">
            <v>0</v>
          </cell>
          <cell r="I357">
            <v>0</v>
          </cell>
          <cell r="J357">
            <v>0</v>
          </cell>
          <cell r="K357">
            <v>0</v>
          </cell>
          <cell r="L357">
            <v>0</v>
          </cell>
          <cell r="M357">
            <v>0</v>
          </cell>
          <cell r="T357">
            <v>8296</v>
          </cell>
          <cell r="U357">
            <v>0</v>
          </cell>
        </row>
        <row r="358">
          <cell r="D358">
            <v>8270</v>
          </cell>
          <cell r="E358" t="str">
            <v>资本公积_所有者权益内部结转</v>
          </cell>
          <cell r="F358">
            <v>0</v>
          </cell>
          <cell r="G358">
            <v>0</v>
          </cell>
          <cell r="H358">
            <v>0</v>
          </cell>
          <cell r="I358">
            <v>0</v>
          </cell>
          <cell r="J358">
            <v>-210400000</v>
          </cell>
          <cell r="K358">
            <v>0</v>
          </cell>
          <cell r="L358">
            <v>0</v>
          </cell>
          <cell r="M358">
            <v>-210400000</v>
          </cell>
          <cell r="T358">
            <v>8299</v>
          </cell>
          <cell r="U358">
            <v>14277074.01</v>
          </cell>
        </row>
        <row r="359">
          <cell r="D359">
            <v>8271</v>
          </cell>
          <cell r="E359" t="str">
            <v>资本公积_转增资本</v>
          </cell>
          <cell r="F359">
            <v>0</v>
          </cell>
          <cell r="G359">
            <v>0</v>
          </cell>
          <cell r="H359">
            <v>0</v>
          </cell>
          <cell r="I359">
            <v>0</v>
          </cell>
          <cell r="J359">
            <v>-210400000</v>
          </cell>
          <cell r="K359">
            <v>0</v>
          </cell>
          <cell r="L359">
            <v>0</v>
          </cell>
          <cell r="M359">
            <v>-210400000</v>
          </cell>
          <cell r="T359">
            <v>8300</v>
          </cell>
          <cell r="U359">
            <v>0</v>
          </cell>
        </row>
        <row r="360">
          <cell r="D360">
            <v>8272</v>
          </cell>
          <cell r="E360" t="str">
            <v>资本公积_盈余公积转增资本影响权益</v>
          </cell>
          <cell r="F360">
            <v>0</v>
          </cell>
          <cell r="G360">
            <v>0</v>
          </cell>
          <cell r="H360">
            <v>0</v>
          </cell>
          <cell r="I360">
            <v>0</v>
          </cell>
          <cell r="J360">
            <v>0</v>
          </cell>
          <cell r="K360">
            <v>0</v>
          </cell>
          <cell r="L360">
            <v>0</v>
          </cell>
          <cell r="M360">
            <v>0</v>
          </cell>
          <cell r="T360">
            <v>8301</v>
          </cell>
          <cell r="U360">
            <v>0</v>
          </cell>
        </row>
        <row r="361">
          <cell r="D361">
            <v>8273</v>
          </cell>
          <cell r="E361" t="str">
            <v>资本公积_盈余公积弥补亏损影响权益</v>
          </cell>
          <cell r="F361">
            <v>0</v>
          </cell>
          <cell r="G361">
            <v>0</v>
          </cell>
          <cell r="H361">
            <v>0</v>
          </cell>
          <cell r="I361">
            <v>0</v>
          </cell>
          <cell r="J361">
            <v>0</v>
          </cell>
          <cell r="K361">
            <v>0</v>
          </cell>
          <cell r="L361">
            <v>0</v>
          </cell>
          <cell r="M361">
            <v>0</v>
          </cell>
          <cell r="T361">
            <v>8302</v>
          </cell>
          <cell r="U361">
            <v>0</v>
          </cell>
        </row>
        <row r="362">
          <cell r="D362">
            <v>8275</v>
          </cell>
          <cell r="E362" t="str">
            <v>资本公积_设定受益计划变动额结转留存收益</v>
          </cell>
          <cell r="F362">
            <v>0</v>
          </cell>
          <cell r="G362">
            <v>0</v>
          </cell>
          <cell r="H362">
            <v>0</v>
          </cell>
          <cell r="I362">
            <v>0</v>
          </cell>
          <cell r="J362">
            <v>0</v>
          </cell>
          <cell r="K362">
            <v>0</v>
          </cell>
          <cell r="L362">
            <v>0</v>
          </cell>
          <cell r="M362">
            <v>0</v>
          </cell>
          <cell r="T362">
            <v>8303</v>
          </cell>
          <cell r="U362">
            <v>0</v>
          </cell>
        </row>
        <row r="363">
          <cell r="D363">
            <v>8276</v>
          </cell>
          <cell r="E363" t="str">
            <v>资本公积_所有者权益其他内部结转</v>
          </cell>
          <cell r="F363">
            <v>0</v>
          </cell>
          <cell r="G363">
            <v>0</v>
          </cell>
          <cell r="H363">
            <v>0</v>
          </cell>
          <cell r="I363">
            <v>0</v>
          </cell>
          <cell r="J363">
            <v>0</v>
          </cell>
          <cell r="K363">
            <v>0</v>
          </cell>
          <cell r="L363">
            <v>0</v>
          </cell>
          <cell r="M363">
            <v>0</v>
          </cell>
          <cell r="T363">
            <v>8304</v>
          </cell>
          <cell r="U363">
            <v>0</v>
          </cell>
        </row>
        <row r="364">
          <cell r="D364">
            <v>8280</v>
          </cell>
          <cell r="E364" t="str">
            <v>资本公积_专项储备影响权益</v>
          </cell>
          <cell r="F364">
            <v>0</v>
          </cell>
          <cell r="G364">
            <v>0</v>
          </cell>
          <cell r="H364">
            <v>0</v>
          </cell>
          <cell r="I364">
            <v>0</v>
          </cell>
          <cell r="J364">
            <v>0</v>
          </cell>
          <cell r="K364">
            <v>0</v>
          </cell>
          <cell r="L364">
            <v>0</v>
          </cell>
          <cell r="M364">
            <v>0</v>
          </cell>
          <cell r="T364">
            <v>8309</v>
          </cell>
          <cell r="U364">
            <v>0</v>
          </cell>
        </row>
        <row r="365">
          <cell r="D365">
            <v>8281</v>
          </cell>
          <cell r="E365" t="str">
            <v>资本公积_专项储备本期提取</v>
          </cell>
          <cell r="F365">
            <v>0</v>
          </cell>
          <cell r="G365">
            <v>0</v>
          </cell>
          <cell r="H365">
            <v>0</v>
          </cell>
          <cell r="I365">
            <v>0</v>
          </cell>
          <cell r="J365">
            <v>0</v>
          </cell>
          <cell r="K365">
            <v>0</v>
          </cell>
          <cell r="L365">
            <v>0</v>
          </cell>
          <cell r="M365">
            <v>0</v>
          </cell>
          <cell r="T365">
            <v>8310</v>
          </cell>
          <cell r="U365">
            <v>0</v>
          </cell>
        </row>
        <row r="366">
          <cell r="D366">
            <v>8282</v>
          </cell>
          <cell r="E366" t="str">
            <v>资本公积_专项储备本期使用</v>
          </cell>
          <cell r="F366">
            <v>0</v>
          </cell>
          <cell r="G366">
            <v>0</v>
          </cell>
          <cell r="H366">
            <v>0</v>
          </cell>
          <cell r="I366">
            <v>0</v>
          </cell>
          <cell r="J366">
            <v>0</v>
          </cell>
          <cell r="K366">
            <v>0</v>
          </cell>
          <cell r="L366">
            <v>0</v>
          </cell>
          <cell r="M366">
            <v>0</v>
          </cell>
          <cell r="T366">
            <v>8390</v>
          </cell>
          <cell r="U366">
            <v>0</v>
          </cell>
        </row>
        <row r="367">
          <cell r="D367">
            <v>8296</v>
          </cell>
          <cell r="E367" t="str">
            <v>资本公积_本期其他增减变动</v>
          </cell>
          <cell r="F367">
            <v>0</v>
          </cell>
          <cell r="G367">
            <v>0</v>
          </cell>
          <cell r="H367">
            <v>0</v>
          </cell>
          <cell r="I367">
            <v>0</v>
          </cell>
          <cell r="J367">
            <v>0</v>
          </cell>
          <cell r="K367">
            <v>0</v>
          </cell>
          <cell r="L367">
            <v>0</v>
          </cell>
          <cell r="M367">
            <v>0</v>
          </cell>
          <cell r="T367">
            <v>8321</v>
          </cell>
          <cell r="U367">
            <v>0</v>
          </cell>
        </row>
        <row r="368">
          <cell r="D368">
            <v>8299</v>
          </cell>
          <cell r="E368" t="str">
            <v>资本公积_本期期末余额</v>
          </cell>
          <cell r="F368">
            <v>14277074.01</v>
          </cell>
          <cell r="G368">
            <v>0</v>
          </cell>
          <cell r="H368">
            <v>0</v>
          </cell>
          <cell r="I368">
            <v>14277074.01</v>
          </cell>
          <cell r="J368">
            <v>14277074.01</v>
          </cell>
          <cell r="K368">
            <v>0</v>
          </cell>
          <cell r="L368">
            <v>0</v>
          </cell>
          <cell r="M368">
            <v>14277074.01</v>
          </cell>
          <cell r="T368">
            <v>8330</v>
          </cell>
          <cell r="U368">
            <v>0</v>
          </cell>
        </row>
        <row r="369">
          <cell r="D369">
            <v>8300</v>
          </cell>
          <cell r="E369" t="str">
            <v>库存股增减变动</v>
          </cell>
          <cell r="F369">
            <v>0</v>
          </cell>
          <cell r="G369">
            <v>0</v>
          </cell>
          <cell r="H369">
            <v>0</v>
          </cell>
          <cell r="I369">
            <v>0</v>
          </cell>
          <cell r="J369">
            <v>0</v>
          </cell>
          <cell r="K369">
            <v>0</v>
          </cell>
          <cell r="L369">
            <v>0</v>
          </cell>
          <cell r="M369">
            <v>0</v>
          </cell>
          <cell r="T369">
            <v>8340</v>
          </cell>
          <cell r="U369">
            <v>0</v>
          </cell>
        </row>
        <row r="370">
          <cell r="D370">
            <v>8301</v>
          </cell>
          <cell r="E370" t="str">
            <v>库存股_上年年末余额</v>
          </cell>
          <cell r="F370">
            <v>0</v>
          </cell>
          <cell r="G370">
            <v>0</v>
          </cell>
          <cell r="H370">
            <v>0</v>
          </cell>
          <cell r="I370">
            <v>0</v>
          </cell>
          <cell r="J370">
            <v>0</v>
          </cell>
          <cell r="K370">
            <v>0</v>
          </cell>
          <cell r="L370">
            <v>0</v>
          </cell>
          <cell r="M370">
            <v>0</v>
          </cell>
          <cell r="T370">
            <v>8350</v>
          </cell>
          <cell r="U370">
            <v>0</v>
          </cell>
        </row>
        <row r="371">
          <cell r="D371">
            <v>8302</v>
          </cell>
          <cell r="E371" t="str">
            <v>库存股_会计政策变更调整上年年末余额</v>
          </cell>
          <cell r="F371">
            <v>0</v>
          </cell>
          <cell r="G371">
            <v>0</v>
          </cell>
          <cell r="H371">
            <v>0</v>
          </cell>
          <cell r="I371">
            <v>0</v>
          </cell>
          <cell r="J371">
            <v>0</v>
          </cell>
          <cell r="K371">
            <v>0</v>
          </cell>
          <cell r="L371">
            <v>0</v>
          </cell>
          <cell r="M371">
            <v>0</v>
          </cell>
          <cell r="T371">
            <v>8351</v>
          </cell>
          <cell r="U371">
            <v>0</v>
          </cell>
        </row>
        <row r="372">
          <cell r="D372">
            <v>8303</v>
          </cell>
          <cell r="E372" t="str">
            <v>库存股_前期差错更正调整上年年末余额</v>
          </cell>
          <cell r="F372">
            <v>0</v>
          </cell>
          <cell r="G372">
            <v>0</v>
          </cell>
          <cell r="H372">
            <v>0</v>
          </cell>
          <cell r="I372">
            <v>0</v>
          </cell>
          <cell r="J372">
            <v>0</v>
          </cell>
          <cell r="K372">
            <v>0</v>
          </cell>
          <cell r="L372">
            <v>0</v>
          </cell>
          <cell r="M372">
            <v>0</v>
          </cell>
          <cell r="T372">
            <v>8353</v>
          </cell>
          <cell r="U372">
            <v>0</v>
          </cell>
        </row>
        <row r="373">
          <cell r="D373">
            <v>8304</v>
          </cell>
          <cell r="E373" t="str">
            <v>库存股_同一控制下企业合并调整上年年末余额</v>
          </cell>
          <cell r="F373">
            <v>0</v>
          </cell>
          <cell r="G373">
            <v>0</v>
          </cell>
          <cell r="H373">
            <v>0</v>
          </cell>
          <cell r="I373">
            <v>0</v>
          </cell>
          <cell r="J373">
            <v>0</v>
          </cell>
          <cell r="K373">
            <v>0</v>
          </cell>
          <cell r="L373">
            <v>0</v>
          </cell>
          <cell r="M373">
            <v>0</v>
          </cell>
          <cell r="T373">
            <v>8352</v>
          </cell>
          <cell r="U373">
            <v>0</v>
          </cell>
        </row>
        <row r="374">
          <cell r="D374">
            <v>8309</v>
          </cell>
          <cell r="E374" t="str">
            <v>库存股_其他原因调整上年年末余额</v>
          </cell>
          <cell r="F374">
            <v>0</v>
          </cell>
          <cell r="G374">
            <v>0</v>
          </cell>
          <cell r="H374">
            <v>0</v>
          </cell>
          <cell r="I374">
            <v>0</v>
          </cell>
          <cell r="J374">
            <v>0</v>
          </cell>
          <cell r="K374">
            <v>0</v>
          </cell>
          <cell r="L374">
            <v>0</v>
          </cell>
          <cell r="M374">
            <v>0</v>
          </cell>
          <cell r="T374">
            <v>8356</v>
          </cell>
          <cell r="U374">
            <v>0</v>
          </cell>
        </row>
        <row r="375">
          <cell r="D375">
            <v>8310</v>
          </cell>
          <cell r="E375" t="str">
            <v>库存股_本年年初余额</v>
          </cell>
          <cell r="F375">
            <v>0</v>
          </cell>
          <cell r="G375">
            <v>0</v>
          </cell>
          <cell r="H375">
            <v>0</v>
          </cell>
          <cell r="I375">
            <v>0</v>
          </cell>
          <cell r="J375">
            <v>0</v>
          </cell>
          <cell r="K375">
            <v>0</v>
          </cell>
          <cell r="L375">
            <v>0</v>
          </cell>
          <cell r="M375">
            <v>0</v>
          </cell>
          <cell r="T375">
            <v>8360</v>
          </cell>
          <cell r="U375">
            <v>0</v>
          </cell>
        </row>
        <row r="376">
          <cell r="D376">
            <v>8390</v>
          </cell>
          <cell r="E376" t="str">
            <v>库存股_本期增减变动金额</v>
          </cell>
          <cell r="F376">
            <v>0</v>
          </cell>
          <cell r="G376">
            <v>0</v>
          </cell>
          <cell r="H376">
            <v>0</v>
          </cell>
          <cell r="I376">
            <v>0</v>
          </cell>
          <cell r="J376">
            <v>0</v>
          </cell>
          <cell r="K376">
            <v>0</v>
          </cell>
          <cell r="L376">
            <v>0</v>
          </cell>
          <cell r="M376">
            <v>0</v>
          </cell>
          <cell r="T376">
            <v>8361</v>
          </cell>
          <cell r="U376">
            <v>0</v>
          </cell>
        </row>
        <row r="377">
          <cell r="D377">
            <v>8321</v>
          </cell>
          <cell r="E377" t="str">
            <v>库存股_净利润增加权益</v>
          </cell>
          <cell r="F377">
            <v>0</v>
          </cell>
          <cell r="G377">
            <v>0</v>
          </cell>
          <cell r="H377">
            <v>0</v>
          </cell>
          <cell r="I377">
            <v>0</v>
          </cell>
          <cell r="J377">
            <v>0</v>
          </cell>
          <cell r="K377">
            <v>0</v>
          </cell>
          <cell r="L377">
            <v>0</v>
          </cell>
          <cell r="M377">
            <v>0</v>
          </cell>
          <cell r="T377">
            <v>8362</v>
          </cell>
          <cell r="U377">
            <v>0</v>
          </cell>
        </row>
        <row r="378">
          <cell r="D378">
            <v>8330</v>
          </cell>
          <cell r="E378" t="str">
            <v>库存股_其他综合收益增加权益</v>
          </cell>
          <cell r="F378">
            <v>0</v>
          </cell>
          <cell r="G378">
            <v>0</v>
          </cell>
          <cell r="H378">
            <v>0</v>
          </cell>
          <cell r="I378">
            <v>0</v>
          </cell>
          <cell r="J378">
            <v>0</v>
          </cell>
          <cell r="K378">
            <v>0</v>
          </cell>
          <cell r="L378">
            <v>0</v>
          </cell>
          <cell r="M378">
            <v>0</v>
          </cell>
          <cell r="T378">
            <v>8363</v>
          </cell>
          <cell r="U378">
            <v>0</v>
          </cell>
        </row>
        <row r="379">
          <cell r="D379">
            <v>8340</v>
          </cell>
          <cell r="E379" t="str">
            <v>库存股_综合收益总额增加权益</v>
          </cell>
          <cell r="F379">
            <v>0</v>
          </cell>
          <cell r="G379">
            <v>0</v>
          </cell>
          <cell r="H379">
            <v>0</v>
          </cell>
          <cell r="I379">
            <v>0</v>
          </cell>
          <cell r="J379">
            <v>0</v>
          </cell>
          <cell r="K379">
            <v>0</v>
          </cell>
          <cell r="L379">
            <v>0</v>
          </cell>
          <cell r="M379">
            <v>0</v>
          </cell>
          <cell r="T379">
            <v>8366</v>
          </cell>
          <cell r="U379">
            <v>0</v>
          </cell>
        </row>
        <row r="380">
          <cell r="D380">
            <v>8350</v>
          </cell>
          <cell r="E380" t="str">
            <v>库存股_所有者投入和减少资本影响权益</v>
          </cell>
          <cell r="F380">
            <v>0</v>
          </cell>
          <cell r="G380">
            <v>0</v>
          </cell>
          <cell r="H380">
            <v>0</v>
          </cell>
          <cell r="I380">
            <v>0</v>
          </cell>
          <cell r="J380">
            <v>0</v>
          </cell>
          <cell r="K380">
            <v>0</v>
          </cell>
          <cell r="L380">
            <v>0</v>
          </cell>
          <cell r="M380">
            <v>0</v>
          </cell>
          <cell r="T380">
            <v>8370</v>
          </cell>
          <cell r="U380">
            <v>0</v>
          </cell>
        </row>
        <row r="381">
          <cell r="D381">
            <v>8351</v>
          </cell>
          <cell r="E381" t="str">
            <v>库存股_所有者投入资本</v>
          </cell>
          <cell r="F381">
            <v>0</v>
          </cell>
          <cell r="G381">
            <v>0</v>
          </cell>
          <cell r="H381">
            <v>0</v>
          </cell>
          <cell r="I381">
            <v>0</v>
          </cell>
          <cell r="J381">
            <v>0</v>
          </cell>
          <cell r="K381">
            <v>0</v>
          </cell>
          <cell r="L381">
            <v>0</v>
          </cell>
          <cell r="M381">
            <v>0</v>
          </cell>
          <cell r="T381">
            <v>8371</v>
          </cell>
          <cell r="U381">
            <v>0</v>
          </cell>
        </row>
        <row r="382">
          <cell r="D382">
            <v>8353</v>
          </cell>
          <cell r="E382" t="str">
            <v>库存股_其他权益工具持有者投入资本</v>
          </cell>
          <cell r="F382">
            <v>0</v>
          </cell>
          <cell r="G382">
            <v>0</v>
          </cell>
          <cell r="H382">
            <v>0</v>
          </cell>
          <cell r="I382">
            <v>0</v>
          </cell>
          <cell r="J382">
            <v>0</v>
          </cell>
          <cell r="K382">
            <v>0</v>
          </cell>
          <cell r="L382">
            <v>0</v>
          </cell>
          <cell r="M382">
            <v>0</v>
          </cell>
          <cell r="T382">
            <v>8372</v>
          </cell>
          <cell r="U382">
            <v>0</v>
          </cell>
        </row>
        <row r="383">
          <cell r="D383">
            <v>8352</v>
          </cell>
          <cell r="E383" t="str">
            <v>库存股_股份支付</v>
          </cell>
          <cell r="F383">
            <v>0</v>
          </cell>
          <cell r="G383">
            <v>0</v>
          </cell>
          <cell r="H383">
            <v>0</v>
          </cell>
          <cell r="I383">
            <v>0</v>
          </cell>
          <cell r="J383">
            <v>0</v>
          </cell>
          <cell r="K383">
            <v>0</v>
          </cell>
          <cell r="L383">
            <v>0</v>
          </cell>
          <cell r="M383">
            <v>0</v>
          </cell>
          <cell r="T383">
            <v>8373</v>
          </cell>
          <cell r="U383">
            <v>0</v>
          </cell>
        </row>
        <row r="384">
          <cell r="D384">
            <v>8356</v>
          </cell>
          <cell r="E384" t="str">
            <v>库存股_所有者其他投入和减少资本</v>
          </cell>
          <cell r="F384">
            <v>0</v>
          </cell>
          <cell r="G384">
            <v>0</v>
          </cell>
          <cell r="H384">
            <v>0</v>
          </cell>
          <cell r="I384">
            <v>0</v>
          </cell>
          <cell r="J384">
            <v>0</v>
          </cell>
          <cell r="K384">
            <v>0</v>
          </cell>
          <cell r="L384">
            <v>0</v>
          </cell>
          <cell r="M384">
            <v>0</v>
          </cell>
          <cell r="T384">
            <v>8375</v>
          </cell>
          <cell r="U384">
            <v>0</v>
          </cell>
        </row>
        <row r="385">
          <cell r="D385">
            <v>8360</v>
          </cell>
          <cell r="E385" t="str">
            <v>库存股_利润分配影响权益</v>
          </cell>
          <cell r="F385">
            <v>0</v>
          </cell>
          <cell r="G385">
            <v>0</v>
          </cell>
          <cell r="H385">
            <v>0</v>
          </cell>
          <cell r="I385">
            <v>0</v>
          </cell>
          <cell r="J385">
            <v>0</v>
          </cell>
          <cell r="K385">
            <v>0</v>
          </cell>
          <cell r="L385">
            <v>0</v>
          </cell>
          <cell r="M385">
            <v>0</v>
          </cell>
          <cell r="T385">
            <v>8376</v>
          </cell>
          <cell r="U385">
            <v>0</v>
          </cell>
        </row>
        <row r="386">
          <cell r="D386">
            <v>8361</v>
          </cell>
          <cell r="E386" t="str">
            <v>库存股_提取盈余公积影响权益</v>
          </cell>
          <cell r="F386">
            <v>0</v>
          </cell>
          <cell r="G386">
            <v>0</v>
          </cell>
          <cell r="H386">
            <v>0</v>
          </cell>
          <cell r="I386">
            <v>0</v>
          </cell>
          <cell r="J386">
            <v>0</v>
          </cell>
          <cell r="K386">
            <v>0</v>
          </cell>
          <cell r="L386">
            <v>0</v>
          </cell>
          <cell r="M386">
            <v>0</v>
          </cell>
          <cell r="T386">
            <v>8380</v>
          </cell>
          <cell r="U386">
            <v>0</v>
          </cell>
        </row>
        <row r="387">
          <cell r="D387">
            <v>8362</v>
          </cell>
          <cell r="E387" t="str">
            <v>库存股_提取一般风险准备影响权益</v>
          </cell>
          <cell r="F387">
            <v>0</v>
          </cell>
          <cell r="G387">
            <v>0</v>
          </cell>
          <cell r="H387">
            <v>0</v>
          </cell>
          <cell r="I387">
            <v>0</v>
          </cell>
          <cell r="J387">
            <v>0</v>
          </cell>
          <cell r="K387">
            <v>0</v>
          </cell>
          <cell r="L387">
            <v>0</v>
          </cell>
          <cell r="M387">
            <v>0</v>
          </cell>
          <cell r="T387">
            <v>8381</v>
          </cell>
          <cell r="U387">
            <v>0</v>
          </cell>
        </row>
        <row r="388">
          <cell r="D388">
            <v>8363</v>
          </cell>
          <cell r="E388" t="str">
            <v>库存股_对所有者的分配</v>
          </cell>
          <cell r="F388">
            <v>0</v>
          </cell>
          <cell r="G388">
            <v>0</v>
          </cell>
          <cell r="H388">
            <v>0</v>
          </cell>
          <cell r="I388">
            <v>0</v>
          </cell>
          <cell r="J388">
            <v>0</v>
          </cell>
          <cell r="K388">
            <v>0</v>
          </cell>
          <cell r="L388">
            <v>0</v>
          </cell>
          <cell r="M388">
            <v>0</v>
          </cell>
          <cell r="T388">
            <v>8382</v>
          </cell>
          <cell r="U388">
            <v>0</v>
          </cell>
        </row>
        <row r="389">
          <cell r="D389">
            <v>8366</v>
          </cell>
          <cell r="E389" t="str">
            <v>库存股_其他利润分配</v>
          </cell>
          <cell r="F389">
            <v>0</v>
          </cell>
          <cell r="G389">
            <v>0</v>
          </cell>
          <cell r="H389">
            <v>0</v>
          </cell>
          <cell r="I389">
            <v>0</v>
          </cell>
          <cell r="J389">
            <v>0</v>
          </cell>
          <cell r="K389">
            <v>0</v>
          </cell>
          <cell r="L389">
            <v>0</v>
          </cell>
          <cell r="M389">
            <v>0</v>
          </cell>
          <cell r="T389">
            <v>8396</v>
          </cell>
          <cell r="U389">
            <v>0</v>
          </cell>
        </row>
        <row r="390">
          <cell r="D390">
            <v>8370</v>
          </cell>
          <cell r="E390" t="str">
            <v>库存股_所有者权益内部结转</v>
          </cell>
          <cell r="F390">
            <v>0</v>
          </cell>
          <cell r="G390">
            <v>0</v>
          </cell>
          <cell r="H390">
            <v>0</v>
          </cell>
          <cell r="I390">
            <v>0</v>
          </cell>
          <cell r="J390">
            <v>0</v>
          </cell>
          <cell r="K390">
            <v>0</v>
          </cell>
          <cell r="L390">
            <v>0</v>
          </cell>
          <cell r="M390">
            <v>0</v>
          </cell>
          <cell r="T390">
            <v>8399</v>
          </cell>
          <cell r="U390">
            <v>0</v>
          </cell>
        </row>
        <row r="391">
          <cell r="D391">
            <v>8371</v>
          </cell>
          <cell r="E391" t="str">
            <v>库存股_资本公积转增资本影响权益</v>
          </cell>
          <cell r="F391">
            <v>0</v>
          </cell>
          <cell r="G391">
            <v>0</v>
          </cell>
          <cell r="H391">
            <v>0</v>
          </cell>
          <cell r="I391">
            <v>0</v>
          </cell>
          <cell r="J391">
            <v>0</v>
          </cell>
          <cell r="K391">
            <v>0</v>
          </cell>
          <cell r="L391">
            <v>0</v>
          </cell>
          <cell r="M391">
            <v>0</v>
          </cell>
          <cell r="T391" t="str">
            <v>8g00</v>
          </cell>
        </row>
        <row r="392">
          <cell r="D392">
            <v>8372</v>
          </cell>
          <cell r="E392" t="str">
            <v>库存股_盈余公积转增资本影响权益</v>
          </cell>
          <cell r="F392">
            <v>0</v>
          </cell>
          <cell r="G392">
            <v>0</v>
          </cell>
          <cell r="H392">
            <v>0</v>
          </cell>
          <cell r="I392">
            <v>0</v>
          </cell>
          <cell r="J392">
            <v>0</v>
          </cell>
          <cell r="K392">
            <v>0</v>
          </cell>
          <cell r="L392">
            <v>0</v>
          </cell>
          <cell r="M392">
            <v>0</v>
          </cell>
          <cell r="T392" t="str">
            <v>8g01</v>
          </cell>
          <cell r="U392">
            <v>0</v>
          </cell>
        </row>
        <row r="393">
          <cell r="D393">
            <v>8373</v>
          </cell>
          <cell r="E393" t="str">
            <v>库存股_盈余公积弥补亏损影响权益</v>
          </cell>
          <cell r="F393">
            <v>0</v>
          </cell>
          <cell r="G393">
            <v>0</v>
          </cell>
          <cell r="H393">
            <v>0</v>
          </cell>
          <cell r="I393">
            <v>0</v>
          </cell>
          <cell r="J393">
            <v>0</v>
          </cell>
          <cell r="K393">
            <v>0</v>
          </cell>
          <cell r="L393">
            <v>0</v>
          </cell>
          <cell r="M393">
            <v>0</v>
          </cell>
          <cell r="T393" t="str">
            <v>8g02</v>
          </cell>
          <cell r="U393">
            <v>0</v>
          </cell>
        </row>
        <row r="394">
          <cell r="D394">
            <v>8375</v>
          </cell>
          <cell r="E394" t="str">
            <v>库存股_设定受益计划变动额结转留存收益</v>
          </cell>
          <cell r="F394">
            <v>0</v>
          </cell>
          <cell r="G394">
            <v>0</v>
          </cell>
          <cell r="H394">
            <v>0</v>
          </cell>
          <cell r="I394">
            <v>0</v>
          </cell>
          <cell r="J394">
            <v>0</v>
          </cell>
          <cell r="K394">
            <v>0</v>
          </cell>
          <cell r="L394">
            <v>0</v>
          </cell>
          <cell r="M394">
            <v>0</v>
          </cell>
          <cell r="T394" t="str">
            <v>8g03</v>
          </cell>
          <cell r="U394">
            <v>0</v>
          </cell>
        </row>
        <row r="395">
          <cell r="D395">
            <v>8376</v>
          </cell>
          <cell r="E395" t="str">
            <v>库存股_所有者权益其他内部结转</v>
          </cell>
          <cell r="F395">
            <v>0</v>
          </cell>
          <cell r="G395">
            <v>0</v>
          </cell>
          <cell r="H395">
            <v>0</v>
          </cell>
          <cell r="I395">
            <v>0</v>
          </cell>
          <cell r="J395">
            <v>0</v>
          </cell>
          <cell r="K395">
            <v>0</v>
          </cell>
          <cell r="L395">
            <v>0</v>
          </cell>
          <cell r="M395">
            <v>0</v>
          </cell>
          <cell r="T395" t="str">
            <v>8g04</v>
          </cell>
          <cell r="U395">
            <v>0</v>
          </cell>
        </row>
        <row r="396">
          <cell r="D396">
            <v>8380</v>
          </cell>
          <cell r="E396" t="str">
            <v>库存股_专项储备影响权益</v>
          </cell>
          <cell r="F396">
            <v>0</v>
          </cell>
          <cell r="G396">
            <v>0</v>
          </cell>
          <cell r="H396">
            <v>0</v>
          </cell>
          <cell r="I396">
            <v>0</v>
          </cell>
          <cell r="J396">
            <v>0</v>
          </cell>
          <cell r="K396">
            <v>0</v>
          </cell>
          <cell r="L396">
            <v>0</v>
          </cell>
          <cell r="M396">
            <v>0</v>
          </cell>
          <cell r="T396" t="str">
            <v>8g09</v>
          </cell>
          <cell r="U396">
            <v>0</v>
          </cell>
        </row>
        <row r="397">
          <cell r="D397">
            <v>8381</v>
          </cell>
          <cell r="E397" t="str">
            <v>库存股_专项储备本期提取</v>
          </cell>
          <cell r="F397">
            <v>0</v>
          </cell>
          <cell r="G397">
            <v>0</v>
          </cell>
          <cell r="H397">
            <v>0</v>
          </cell>
          <cell r="I397">
            <v>0</v>
          </cell>
          <cell r="J397">
            <v>0</v>
          </cell>
          <cell r="K397">
            <v>0</v>
          </cell>
          <cell r="L397">
            <v>0</v>
          </cell>
          <cell r="M397">
            <v>0</v>
          </cell>
          <cell r="T397" t="str">
            <v>8g10</v>
          </cell>
          <cell r="U397">
            <v>0</v>
          </cell>
        </row>
        <row r="398">
          <cell r="D398">
            <v>8382</v>
          </cell>
          <cell r="E398" t="str">
            <v>库存股_专项储备本期使用</v>
          </cell>
          <cell r="F398">
            <v>0</v>
          </cell>
          <cell r="G398">
            <v>0</v>
          </cell>
          <cell r="H398">
            <v>0</v>
          </cell>
          <cell r="I398">
            <v>0</v>
          </cell>
          <cell r="J398">
            <v>0</v>
          </cell>
          <cell r="K398">
            <v>0</v>
          </cell>
          <cell r="L398">
            <v>0</v>
          </cell>
          <cell r="M398">
            <v>0</v>
          </cell>
          <cell r="T398" t="str">
            <v>8g90</v>
          </cell>
          <cell r="U398">
            <v>0</v>
          </cell>
        </row>
        <row r="399">
          <cell r="D399">
            <v>8396</v>
          </cell>
          <cell r="E399" t="str">
            <v>库存股_本期其他增减变动</v>
          </cell>
          <cell r="F399">
            <v>0</v>
          </cell>
          <cell r="G399">
            <v>0</v>
          </cell>
          <cell r="H399">
            <v>0</v>
          </cell>
          <cell r="I399">
            <v>0</v>
          </cell>
          <cell r="J399">
            <v>0</v>
          </cell>
          <cell r="K399">
            <v>0</v>
          </cell>
          <cell r="L399">
            <v>0</v>
          </cell>
          <cell r="M399">
            <v>0</v>
          </cell>
          <cell r="T399" t="str">
            <v>8g40</v>
          </cell>
          <cell r="U399">
            <v>0</v>
          </cell>
        </row>
        <row r="400">
          <cell r="D400">
            <v>8399</v>
          </cell>
          <cell r="E400" t="str">
            <v>库存股_本期期末余额</v>
          </cell>
          <cell r="F400">
            <v>0</v>
          </cell>
          <cell r="G400">
            <v>0</v>
          </cell>
          <cell r="H400">
            <v>0</v>
          </cell>
          <cell r="I400">
            <v>0</v>
          </cell>
          <cell r="J400">
            <v>0</v>
          </cell>
          <cell r="K400">
            <v>0</v>
          </cell>
          <cell r="L400">
            <v>0</v>
          </cell>
          <cell r="M400">
            <v>0</v>
          </cell>
          <cell r="T400" t="str">
            <v>8g50</v>
          </cell>
          <cell r="U400">
            <v>0</v>
          </cell>
        </row>
        <row r="401">
          <cell r="D401" t="str">
            <v>8g00</v>
          </cell>
          <cell r="E401" t="str">
            <v>其他综合收益增减变动</v>
          </cell>
          <cell r="T401" t="str">
            <v>8g51</v>
          </cell>
          <cell r="U401">
            <v>0</v>
          </cell>
        </row>
        <row r="402">
          <cell r="D402" t="str">
            <v>8g01</v>
          </cell>
          <cell r="E402" t="str">
            <v>其他综合收益_上年年末余额</v>
          </cell>
          <cell r="F402">
            <v>0</v>
          </cell>
          <cell r="G402">
            <v>0</v>
          </cell>
          <cell r="H402">
            <v>0</v>
          </cell>
          <cell r="I402">
            <v>0</v>
          </cell>
          <cell r="J402">
            <v>0</v>
          </cell>
          <cell r="K402">
            <v>0</v>
          </cell>
          <cell r="L402">
            <v>0</v>
          </cell>
          <cell r="M402">
            <v>0</v>
          </cell>
          <cell r="T402" t="str">
            <v>8g53</v>
          </cell>
          <cell r="U402">
            <v>0</v>
          </cell>
        </row>
        <row r="403">
          <cell r="D403" t="str">
            <v>8g02</v>
          </cell>
          <cell r="E403" t="str">
            <v>其他综合收益_会计政策变更调整上年年末余额</v>
          </cell>
          <cell r="F403">
            <v>0</v>
          </cell>
          <cell r="G403">
            <v>0</v>
          </cell>
          <cell r="H403">
            <v>0</v>
          </cell>
          <cell r="I403">
            <v>0</v>
          </cell>
          <cell r="J403">
            <v>0</v>
          </cell>
          <cell r="K403">
            <v>0</v>
          </cell>
          <cell r="L403">
            <v>0</v>
          </cell>
          <cell r="M403">
            <v>0</v>
          </cell>
          <cell r="T403" t="str">
            <v>8g52</v>
          </cell>
          <cell r="U403">
            <v>0</v>
          </cell>
        </row>
        <row r="404">
          <cell r="D404" t="str">
            <v>8g03</v>
          </cell>
          <cell r="E404" t="str">
            <v>其他综合收益_前期差错更正调整上年年末余额</v>
          </cell>
          <cell r="F404">
            <v>0</v>
          </cell>
          <cell r="G404">
            <v>0</v>
          </cell>
          <cell r="H404">
            <v>0</v>
          </cell>
          <cell r="I404">
            <v>0</v>
          </cell>
          <cell r="J404">
            <v>0</v>
          </cell>
          <cell r="K404">
            <v>0</v>
          </cell>
          <cell r="L404">
            <v>0</v>
          </cell>
          <cell r="M404">
            <v>0</v>
          </cell>
          <cell r="T404" t="str">
            <v>8g56</v>
          </cell>
          <cell r="U404">
            <v>0</v>
          </cell>
        </row>
        <row r="405">
          <cell r="D405" t="str">
            <v>8g04</v>
          </cell>
          <cell r="E405" t="str">
            <v>其他综合收益_同一控制下企业合并调整上年年末余额</v>
          </cell>
          <cell r="F405">
            <v>0</v>
          </cell>
          <cell r="G405">
            <v>0</v>
          </cell>
          <cell r="H405">
            <v>0</v>
          </cell>
          <cell r="I405">
            <v>0</v>
          </cell>
          <cell r="J405">
            <v>0</v>
          </cell>
          <cell r="K405">
            <v>0</v>
          </cell>
          <cell r="L405">
            <v>0</v>
          </cell>
          <cell r="M405">
            <v>0</v>
          </cell>
          <cell r="T405" t="str">
            <v>8g60</v>
          </cell>
          <cell r="U405">
            <v>0</v>
          </cell>
        </row>
        <row r="406">
          <cell r="D406" t="str">
            <v>8g09</v>
          </cell>
          <cell r="E406" t="str">
            <v>其他综合收益_其他原因调整上年年末余额</v>
          </cell>
          <cell r="F406">
            <v>0</v>
          </cell>
          <cell r="G406">
            <v>0</v>
          </cell>
          <cell r="H406">
            <v>0</v>
          </cell>
          <cell r="I406">
            <v>0</v>
          </cell>
          <cell r="J406">
            <v>0</v>
          </cell>
          <cell r="K406">
            <v>0</v>
          </cell>
          <cell r="L406">
            <v>0</v>
          </cell>
          <cell r="M406">
            <v>0</v>
          </cell>
          <cell r="T406" t="str">
            <v>8g61</v>
          </cell>
          <cell r="U406">
            <v>0</v>
          </cell>
        </row>
        <row r="407">
          <cell r="D407" t="str">
            <v>8g10</v>
          </cell>
          <cell r="E407" t="str">
            <v>其他综合收益_本年年初余额</v>
          </cell>
          <cell r="F407">
            <v>0</v>
          </cell>
          <cell r="G407">
            <v>0</v>
          </cell>
          <cell r="H407">
            <v>0</v>
          </cell>
          <cell r="I407">
            <v>0</v>
          </cell>
          <cell r="J407">
            <v>0</v>
          </cell>
          <cell r="K407">
            <v>0</v>
          </cell>
          <cell r="L407">
            <v>0</v>
          </cell>
          <cell r="M407">
            <v>0</v>
          </cell>
          <cell r="T407" t="str">
            <v>8g62</v>
          </cell>
          <cell r="U407">
            <v>0</v>
          </cell>
        </row>
        <row r="408">
          <cell r="D408" t="str">
            <v>8g90</v>
          </cell>
          <cell r="E408" t="str">
            <v>其他综合收益_本期增减变动金额</v>
          </cell>
          <cell r="F408">
            <v>0</v>
          </cell>
          <cell r="G408">
            <v>0</v>
          </cell>
          <cell r="H408">
            <v>0</v>
          </cell>
          <cell r="I408">
            <v>0</v>
          </cell>
          <cell r="J408">
            <v>0</v>
          </cell>
          <cell r="K408">
            <v>0</v>
          </cell>
          <cell r="L408">
            <v>0</v>
          </cell>
          <cell r="M408">
            <v>0</v>
          </cell>
          <cell r="T408" t="str">
            <v>8g63</v>
          </cell>
          <cell r="U408">
            <v>0</v>
          </cell>
        </row>
        <row r="409">
          <cell r="D409" t="str">
            <v>8g40</v>
          </cell>
          <cell r="E409" t="str">
            <v>其他综合收益_综合收益总额增加权益</v>
          </cell>
          <cell r="F409">
            <v>0</v>
          </cell>
          <cell r="G409">
            <v>0</v>
          </cell>
          <cell r="H409">
            <v>0</v>
          </cell>
          <cell r="I409">
            <v>0</v>
          </cell>
          <cell r="J409">
            <v>0</v>
          </cell>
          <cell r="K409">
            <v>0</v>
          </cell>
          <cell r="L409">
            <v>0</v>
          </cell>
          <cell r="M409">
            <v>0</v>
          </cell>
          <cell r="T409" t="str">
            <v>8g66</v>
          </cell>
          <cell r="U409">
            <v>0</v>
          </cell>
        </row>
        <row r="410">
          <cell r="D410" t="str">
            <v>8g50</v>
          </cell>
          <cell r="E410" t="str">
            <v>其他综合收益_所有者投入和减少资本影响权益</v>
          </cell>
          <cell r="F410">
            <v>0</v>
          </cell>
          <cell r="G410">
            <v>0</v>
          </cell>
          <cell r="H410">
            <v>0</v>
          </cell>
          <cell r="I410">
            <v>0</v>
          </cell>
          <cell r="J410">
            <v>0</v>
          </cell>
          <cell r="K410">
            <v>0</v>
          </cell>
          <cell r="L410">
            <v>0</v>
          </cell>
          <cell r="M410">
            <v>0</v>
          </cell>
          <cell r="T410" t="str">
            <v>8g70</v>
          </cell>
          <cell r="U410">
            <v>0</v>
          </cell>
        </row>
        <row r="411">
          <cell r="D411" t="str">
            <v>8g51</v>
          </cell>
          <cell r="E411" t="str">
            <v>其他综合收益_所有者投入资本</v>
          </cell>
          <cell r="F411">
            <v>0</v>
          </cell>
          <cell r="G411">
            <v>0</v>
          </cell>
          <cell r="H411">
            <v>0</v>
          </cell>
          <cell r="I411">
            <v>0</v>
          </cell>
          <cell r="J411">
            <v>0</v>
          </cell>
          <cell r="K411">
            <v>0</v>
          </cell>
          <cell r="L411">
            <v>0</v>
          </cell>
          <cell r="M411">
            <v>0</v>
          </cell>
          <cell r="T411" t="str">
            <v>8g71</v>
          </cell>
          <cell r="U411">
            <v>0</v>
          </cell>
        </row>
        <row r="412">
          <cell r="D412" t="str">
            <v>8g53</v>
          </cell>
          <cell r="E412" t="str">
            <v>其他综合收益_其他权益工具持有者投入资本</v>
          </cell>
          <cell r="F412">
            <v>0</v>
          </cell>
          <cell r="G412">
            <v>0</v>
          </cell>
          <cell r="H412">
            <v>0</v>
          </cell>
          <cell r="I412">
            <v>0</v>
          </cell>
          <cell r="J412">
            <v>0</v>
          </cell>
          <cell r="K412">
            <v>0</v>
          </cell>
          <cell r="L412">
            <v>0</v>
          </cell>
          <cell r="M412">
            <v>0</v>
          </cell>
          <cell r="T412" t="str">
            <v>8g72</v>
          </cell>
          <cell r="U412">
            <v>0</v>
          </cell>
        </row>
        <row r="413">
          <cell r="D413" t="str">
            <v>8g52</v>
          </cell>
          <cell r="E413" t="str">
            <v>其他综合收益_股份支付</v>
          </cell>
          <cell r="F413">
            <v>0</v>
          </cell>
          <cell r="G413">
            <v>0</v>
          </cell>
          <cell r="H413">
            <v>0</v>
          </cell>
          <cell r="I413">
            <v>0</v>
          </cell>
          <cell r="J413">
            <v>0</v>
          </cell>
          <cell r="K413">
            <v>0</v>
          </cell>
          <cell r="L413">
            <v>0</v>
          </cell>
          <cell r="M413">
            <v>0</v>
          </cell>
          <cell r="T413" t="str">
            <v>8g73</v>
          </cell>
          <cell r="U413">
            <v>0</v>
          </cell>
        </row>
        <row r="414">
          <cell r="D414" t="str">
            <v>8g56</v>
          </cell>
          <cell r="E414" t="str">
            <v>其他综合收益_所有者其他投入和减少资本</v>
          </cell>
          <cell r="F414">
            <v>0</v>
          </cell>
          <cell r="G414">
            <v>0</v>
          </cell>
          <cell r="H414">
            <v>0</v>
          </cell>
          <cell r="I414">
            <v>0</v>
          </cell>
          <cell r="J414">
            <v>0</v>
          </cell>
          <cell r="K414">
            <v>0</v>
          </cell>
          <cell r="L414">
            <v>0</v>
          </cell>
          <cell r="M414">
            <v>0</v>
          </cell>
          <cell r="T414" t="str">
            <v>8g75</v>
          </cell>
          <cell r="U414">
            <v>0</v>
          </cell>
        </row>
        <row r="415">
          <cell r="D415" t="str">
            <v>8g60</v>
          </cell>
          <cell r="E415" t="str">
            <v>其他综合收益_利润分配影响权益</v>
          </cell>
          <cell r="F415">
            <v>0</v>
          </cell>
          <cell r="G415">
            <v>0</v>
          </cell>
          <cell r="H415">
            <v>0</v>
          </cell>
          <cell r="I415">
            <v>0</v>
          </cell>
          <cell r="J415">
            <v>0</v>
          </cell>
          <cell r="K415">
            <v>0</v>
          </cell>
          <cell r="L415">
            <v>0</v>
          </cell>
          <cell r="M415">
            <v>0</v>
          </cell>
          <cell r="T415" t="str">
            <v>8g76</v>
          </cell>
          <cell r="U415">
            <v>0</v>
          </cell>
        </row>
        <row r="416">
          <cell r="D416" t="str">
            <v>8g61</v>
          </cell>
          <cell r="E416" t="str">
            <v>其他综合收益_提取盈余公积</v>
          </cell>
          <cell r="F416">
            <v>0</v>
          </cell>
          <cell r="G416">
            <v>0</v>
          </cell>
          <cell r="H416">
            <v>0</v>
          </cell>
          <cell r="I416">
            <v>0</v>
          </cell>
          <cell r="J416">
            <v>0</v>
          </cell>
          <cell r="K416">
            <v>0</v>
          </cell>
          <cell r="L416">
            <v>0</v>
          </cell>
          <cell r="M416">
            <v>0</v>
          </cell>
          <cell r="T416" t="str">
            <v>8g80</v>
          </cell>
          <cell r="U416">
            <v>0</v>
          </cell>
        </row>
        <row r="417">
          <cell r="D417" t="str">
            <v>8g62</v>
          </cell>
          <cell r="E417" t="str">
            <v>其他综合收益_提取一般风险准备</v>
          </cell>
          <cell r="F417">
            <v>0</v>
          </cell>
          <cell r="G417">
            <v>0</v>
          </cell>
          <cell r="H417">
            <v>0</v>
          </cell>
          <cell r="I417">
            <v>0</v>
          </cell>
          <cell r="J417">
            <v>0</v>
          </cell>
          <cell r="K417">
            <v>0</v>
          </cell>
          <cell r="L417">
            <v>0</v>
          </cell>
          <cell r="M417">
            <v>0</v>
          </cell>
          <cell r="T417" t="str">
            <v>8g81</v>
          </cell>
          <cell r="U417">
            <v>0</v>
          </cell>
        </row>
        <row r="418">
          <cell r="D418" t="str">
            <v>8g63</v>
          </cell>
          <cell r="E418" t="str">
            <v>其他综合收益_对所有者的分配</v>
          </cell>
          <cell r="F418">
            <v>0</v>
          </cell>
          <cell r="G418">
            <v>0</v>
          </cell>
          <cell r="H418">
            <v>0</v>
          </cell>
          <cell r="I418">
            <v>0</v>
          </cell>
          <cell r="J418">
            <v>0</v>
          </cell>
          <cell r="K418">
            <v>0</v>
          </cell>
          <cell r="L418">
            <v>0</v>
          </cell>
          <cell r="M418">
            <v>0</v>
          </cell>
          <cell r="T418" t="str">
            <v>8g82</v>
          </cell>
          <cell r="U418">
            <v>0</v>
          </cell>
        </row>
        <row r="419">
          <cell r="D419" t="str">
            <v>8g66</v>
          </cell>
          <cell r="E419" t="str">
            <v>其他综合收益_其他利润分配</v>
          </cell>
          <cell r="F419">
            <v>0</v>
          </cell>
          <cell r="G419">
            <v>0</v>
          </cell>
          <cell r="H419">
            <v>0</v>
          </cell>
          <cell r="I419">
            <v>0</v>
          </cell>
          <cell r="J419">
            <v>0</v>
          </cell>
          <cell r="K419">
            <v>0</v>
          </cell>
          <cell r="L419">
            <v>0</v>
          </cell>
          <cell r="M419">
            <v>0</v>
          </cell>
          <cell r="T419" t="str">
            <v>8g96</v>
          </cell>
          <cell r="U419">
            <v>0</v>
          </cell>
        </row>
        <row r="420">
          <cell r="D420" t="str">
            <v>8g70</v>
          </cell>
          <cell r="E420" t="str">
            <v>其他综合收益_所有者权益内部结转</v>
          </cell>
          <cell r="F420">
            <v>0</v>
          </cell>
          <cell r="G420">
            <v>0</v>
          </cell>
          <cell r="H420">
            <v>0</v>
          </cell>
          <cell r="I420">
            <v>0</v>
          </cell>
          <cell r="J420">
            <v>0</v>
          </cell>
          <cell r="K420">
            <v>0</v>
          </cell>
          <cell r="L420">
            <v>0</v>
          </cell>
          <cell r="M420">
            <v>0</v>
          </cell>
          <cell r="T420" t="str">
            <v>8g99</v>
          </cell>
          <cell r="U420">
            <v>0</v>
          </cell>
        </row>
        <row r="421">
          <cell r="D421" t="str">
            <v>8g71</v>
          </cell>
          <cell r="E421" t="str">
            <v>其他综合收益_资本公积转增资本</v>
          </cell>
          <cell r="F421">
            <v>0</v>
          </cell>
          <cell r="G421">
            <v>0</v>
          </cell>
          <cell r="H421">
            <v>0</v>
          </cell>
          <cell r="I421">
            <v>0</v>
          </cell>
          <cell r="J421">
            <v>0</v>
          </cell>
          <cell r="K421">
            <v>0</v>
          </cell>
          <cell r="L421">
            <v>0</v>
          </cell>
          <cell r="M421">
            <v>0</v>
          </cell>
          <cell r="T421">
            <v>8400</v>
          </cell>
          <cell r="U421">
            <v>0</v>
          </cell>
        </row>
        <row r="422">
          <cell r="D422" t="str">
            <v>8g72</v>
          </cell>
          <cell r="E422" t="str">
            <v>其他综合收益_盈余公积转增资本</v>
          </cell>
          <cell r="F422">
            <v>0</v>
          </cell>
          <cell r="G422">
            <v>0</v>
          </cell>
          <cell r="H422">
            <v>0</v>
          </cell>
          <cell r="I422">
            <v>0</v>
          </cell>
          <cell r="J422">
            <v>0</v>
          </cell>
          <cell r="K422">
            <v>0</v>
          </cell>
          <cell r="L422">
            <v>0</v>
          </cell>
          <cell r="M422">
            <v>0</v>
          </cell>
          <cell r="T422">
            <v>8401</v>
          </cell>
          <cell r="U422">
            <v>3000082.45</v>
          </cell>
        </row>
        <row r="423">
          <cell r="D423" t="str">
            <v>8g73</v>
          </cell>
          <cell r="E423" t="str">
            <v>其他综合收益_盈余公积弥补亏损</v>
          </cell>
          <cell r="F423">
            <v>0</v>
          </cell>
          <cell r="G423">
            <v>0</v>
          </cell>
          <cell r="H423">
            <v>0</v>
          </cell>
          <cell r="I423">
            <v>0</v>
          </cell>
          <cell r="J423">
            <v>0</v>
          </cell>
          <cell r="K423">
            <v>0</v>
          </cell>
          <cell r="L423">
            <v>0</v>
          </cell>
          <cell r="M423">
            <v>0</v>
          </cell>
          <cell r="T423">
            <v>8402</v>
          </cell>
          <cell r="U423">
            <v>0</v>
          </cell>
        </row>
        <row r="424">
          <cell r="D424" t="str">
            <v>8g75</v>
          </cell>
          <cell r="E424" t="str">
            <v>其他综合收益_设定受益计划变动额结转留存收益</v>
          </cell>
          <cell r="F424">
            <v>0</v>
          </cell>
          <cell r="G424">
            <v>0</v>
          </cell>
          <cell r="H424">
            <v>0</v>
          </cell>
          <cell r="I424">
            <v>0</v>
          </cell>
          <cell r="J424">
            <v>0</v>
          </cell>
          <cell r="K424">
            <v>0</v>
          </cell>
          <cell r="L424">
            <v>0</v>
          </cell>
          <cell r="M424">
            <v>0</v>
          </cell>
          <cell r="T424">
            <v>8403</v>
          </cell>
          <cell r="U424">
            <v>0</v>
          </cell>
        </row>
        <row r="425">
          <cell r="D425" t="str">
            <v>8g76</v>
          </cell>
          <cell r="E425" t="str">
            <v>其他综合收益_所有者权益其他内部结转</v>
          </cell>
          <cell r="F425">
            <v>0</v>
          </cell>
          <cell r="G425">
            <v>0</v>
          </cell>
          <cell r="H425">
            <v>0</v>
          </cell>
          <cell r="I425">
            <v>0</v>
          </cell>
          <cell r="J425">
            <v>0</v>
          </cell>
          <cell r="K425">
            <v>0</v>
          </cell>
          <cell r="L425">
            <v>0</v>
          </cell>
          <cell r="M425">
            <v>0</v>
          </cell>
          <cell r="T425">
            <v>8404</v>
          </cell>
          <cell r="U425">
            <v>0</v>
          </cell>
        </row>
        <row r="426">
          <cell r="D426" t="str">
            <v>8g80</v>
          </cell>
          <cell r="E426" t="str">
            <v>其他综合收益_专项储备影响权益</v>
          </cell>
          <cell r="F426">
            <v>0</v>
          </cell>
          <cell r="G426">
            <v>0</v>
          </cell>
          <cell r="H426">
            <v>0</v>
          </cell>
          <cell r="I426">
            <v>0</v>
          </cell>
          <cell r="J426">
            <v>0</v>
          </cell>
          <cell r="K426">
            <v>0</v>
          </cell>
          <cell r="L426">
            <v>0</v>
          </cell>
          <cell r="M426">
            <v>0</v>
          </cell>
          <cell r="T426">
            <v>8409</v>
          </cell>
          <cell r="U426">
            <v>0</v>
          </cell>
        </row>
        <row r="427">
          <cell r="D427" t="str">
            <v>8g81</v>
          </cell>
          <cell r="E427" t="str">
            <v>其他综合收益_专项储备本期提取</v>
          </cell>
          <cell r="F427">
            <v>0</v>
          </cell>
          <cell r="G427">
            <v>0</v>
          </cell>
          <cell r="H427">
            <v>0</v>
          </cell>
          <cell r="I427">
            <v>0</v>
          </cell>
          <cell r="J427">
            <v>0</v>
          </cell>
          <cell r="K427">
            <v>0</v>
          </cell>
          <cell r="L427">
            <v>0</v>
          </cell>
          <cell r="M427">
            <v>0</v>
          </cell>
          <cell r="T427">
            <v>8410</v>
          </cell>
          <cell r="U427">
            <v>3000082.45</v>
          </cell>
        </row>
        <row r="428">
          <cell r="D428" t="str">
            <v>8g82</v>
          </cell>
          <cell r="E428" t="str">
            <v>其他综合收益_专项储备本期使用</v>
          </cell>
          <cell r="F428">
            <v>0</v>
          </cell>
          <cell r="G428">
            <v>0</v>
          </cell>
          <cell r="H428">
            <v>0</v>
          </cell>
          <cell r="I428">
            <v>0</v>
          </cell>
          <cell r="J428">
            <v>0</v>
          </cell>
          <cell r="K428">
            <v>0</v>
          </cell>
          <cell r="L428">
            <v>0</v>
          </cell>
          <cell r="M428">
            <v>0</v>
          </cell>
          <cell r="T428">
            <v>8490</v>
          </cell>
          <cell r="U428">
            <v>1254520.9099999999</v>
          </cell>
        </row>
        <row r="429">
          <cell r="D429" t="str">
            <v>8g96</v>
          </cell>
          <cell r="E429" t="str">
            <v>其他综合收益_本期其他增减变动</v>
          </cell>
          <cell r="F429">
            <v>0</v>
          </cell>
          <cell r="G429">
            <v>0</v>
          </cell>
          <cell r="H429">
            <v>0</v>
          </cell>
          <cell r="I429">
            <v>0</v>
          </cell>
          <cell r="J429">
            <v>0</v>
          </cell>
          <cell r="K429">
            <v>0</v>
          </cell>
          <cell r="L429">
            <v>0</v>
          </cell>
          <cell r="M429">
            <v>0</v>
          </cell>
          <cell r="T429">
            <v>8421</v>
          </cell>
          <cell r="U429">
            <v>0</v>
          </cell>
        </row>
        <row r="430">
          <cell r="D430" t="str">
            <v>8g99</v>
          </cell>
          <cell r="E430" t="str">
            <v>其他综合收益_本期期末余额</v>
          </cell>
          <cell r="F430">
            <v>0</v>
          </cell>
          <cell r="G430">
            <v>0</v>
          </cell>
          <cell r="H430">
            <v>0</v>
          </cell>
          <cell r="I430">
            <v>0</v>
          </cell>
          <cell r="J430">
            <v>0</v>
          </cell>
          <cell r="K430">
            <v>0</v>
          </cell>
          <cell r="L430">
            <v>0</v>
          </cell>
          <cell r="M430">
            <v>0</v>
          </cell>
          <cell r="T430">
            <v>8430</v>
          </cell>
          <cell r="U430">
            <v>0</v>
          </cell>
        </row>
        <row r="431">
          <cell r="D431">
            <v>8400</v>
          </cell>
          <cell r="E431" t="str">
            <v>专项储备增减变动</v>
          </cell>
          <cell r="F431">
            <v>0</v>
          </cell>
          <cell r="G431">
            <v>0</v>
          </cell>
          <cell r="H431">
            <v>0</v>
          </cell>
          <cell r="I431">
            <v>0</v>
          </cell>
          <cell r="J431">
            <v>0</v>
          </cell>
          <cell r="K431">
            <v>0</v>
          </cell>
          <cell r="L431">
            <v>0</v>
          </cell>
          <cell r="M431">
            <v>0</v>
          </cell>
          <cell r="T431">
            <v>8440</v>
          </cell>
          <cell r="U431">
            <v>0</v>
          </cell>
        </row>
        <row r="432">
          <cell r="D432">
            <v>8401</v>
          </cell>
          <cell r="E432" t="str">
            <v>专项储备_上年年末余额</v>
          </cell>
          <cell r="F432">
            <v>4386355.09</v>
          </cell>
          <cell r="G432">
            <v>0</v>
          </cell>
          <cell r="H432">
            <v>-131751.73000000001</v>
          </cell>
          <cell r="I432">
            <v>4254603.3600000003</v>
          </cell>
          <cell r="J432">
            <v>3000082.45</v>
          </cell>
          <cell r="K432">
            <v>0</v>
          </cell>
          <cell r="L432">
            <v>0</v>
          </cell>
          <cell r="M432">
            <v>3000082.45</v>
          </cell>
          <cell r="T432">
            <v>8450</v>
          </cell>
          <cell r="U432">
            <v>0</v>
          </cell>
        </row>
        <row r="433">
          <cell r="D433">
            <v>8402</v>
          </cell>
          <cell r="E433" t="str">
            <v>专项储备_会计政策变更调整上年年末余额</v>
          </cell>
          <cell r="F433">
            <v>0</v>
          </cell>
          <cell r="G433">
            <v>0</v>
          </cell>
          <cell r="H433">
            <v>0</v>
          </cell>
          <cell r="I433">
            <v>0</v>
          </cell>
          <cell r="J433">
            <v>0</v>
          </cell>
          <cell r="K433">
            <v>0</v>
          </cell>
          <cell r="L433">
            <v>0</v>
          </cell>
          <cell r="M433">
            <v>0</v>
          </cell>
          <cell r="T433">
            <v>8451</v>
          </cell>
          <cell r="U433">
            <v>0</v>
          </cell>
        </row>
        <row r="434">
          <cell r="D434">
            <v>8403</v>
          </cell>
          <cell r="E434" t="str">
            <v>专项储备_前期差错更正调整上年年末余额</v>
          </cell>
          <cell r="F434">
            <v>0</v>
          </cell>
          <cell r="G434">
            <v>0</v>
          </cell>
          <cell r="H434">
            <v>0</v>
          </cell>
          <cell r="I434">
            <v>0</v>
          </cell>
          <cell r="J434">
            <v>0</v>
          </cell>
          <cell r="K434">
            <v>0</v>
          </cell>
          <cell r="L434">
            <v>0</v>
          </cell>
          <cell r="M434">
            <v>0</v>
          </cell>
          <cell r="T434">
            <v>8453</v>
          </cell>
          <cell r="U434">
            <v>0</v>
          </cell>
        </row>
        <row r="435">
          <cell r="D435">
            <v>8404</v>
          </cell>
          <cell r="E435" t="str">
            <v>专项储备_同一控制下企业合并调整上年年末余额</v>
          </cell>
          <cell r="F435">
            <v>0</v>
          </cell>
          <cell r="G435">
            <v>0</v>
          </cell>
          <cell r="H435">
            <v>0</v>
          </cell>
          <cell r="I435">
            <v>0</v>
          </cell>
          <cell r="J435">
            <v>0</v>
          </cell>
          <cell r="K435">
            <v>0</v>
          </cell>
          <cell r="L435">
            <v>0</v>
          </cell>
          <cell r="M435">
            <v>0</v>
          </cell>
          <cell r="T435">
            <v>8452</v>
          </cell>
          <cell r="U435">
            <v>0</v>
          </cell>
        </row>
        <row r="436">
          <cell r="D436">
            <v>8409</v>
          </cell>
          <cell r="E436" t="str">
            <v>专项储备_其他原因调整上年年末余额</v>
          </cell>
          <cell r="F436">
            <v>0</v>
          </cell>
          <cell r="G436">
            <v>0</v>
          </cell>
          <cell r="H436">
            <v>0</v>
          </cell>
          <cell r="I436">
            <v>0</v>
          </cell>
          <cell r="J436">
            <v>0</v>
          </cell>
          <cell r="K436">
            <v>0</v>
          </cell>
          <cell r="L436">
            <v>0</v>
          </cell>
          <cell r="M436">
            <v>0</v>
          </cell>
          <cell r="T436">
            <v>8456</v>
          </cell>
          <cell r="U436">
            <v>0</v>
          </cell>
        </row>
        <row r="437">
          <cell r="D437">
            <v>8410</v>
          </cell>
          <cell r="E437" t="str">
            <v>专项储备_本年年初余额</v>
          </cell>
          <cell r="F437">
            <v>4386355.09</v>
          </cell>
          <cell r="G437">
            <v>0</v>
          </cell>
          <cell r="H437">
            <v>-131751.73000000001</v>
          </cell>
          <cell r="I437">
            <v>4254603.3600000003</v>
          </cell>
          <cell r="J437">
            <v>3000082.45</v>
          </cell>
          <cell r="K437">
            <v>0</v>
          </cell>
          <cell r="L437">
            <v>0</v>
          </cell>
          <cell r="M437">
            <v>3000082.45</v>
          </cell>
          <cell r="T437">
            <v>8460</v>
          </cell>
          <cell r="U437">
            <v>0</v>
          </cell>
        </row>
        <row r="438">
          <cell r="D438">
            <v>8490</v>
          </cell>
          <cell r="E438" t="str">
            <v>专项储备_本期增减变动金额</v>
          </cell>
          <cell r="F438">
            <v>1391136.6</v>
          </cell>
          <cell r="G438">
            <v>0</v>
          </cell>
          <cell r="H438">
            <v>-94664.51</v>
          </cell>
          <cell r="I438">
            <v>1296472.0900000001</v>
          </cell>
          <cell r="J438">
            <v>1254520.9099999999</v>
          </cell>
          <cell r="K438">
            <v>0</v>
          </cell>
          <cell r="L438">
            <v>0</v>
          </cell>
          <cell r="M438">
            <v>1254520.9099999999</v>
          </cell>
          <cell r="T438">
            <v>8461</v>
          </cell>
          <cell r="U438">
            <v>0</v>
          </cell>
        </row>
        <row r="439">
          <cell r="D439">
            <v>8421</v>
          </cell>
          <cell r="E439" t="str">
            <v>专项储备_净利润增加权益</v>
          </cell>
          <cell r="F439">
            <v>0</v>
          </cell>
          <cell r="G439">
            <v>0</v>
          </cell>
          <cell r="H439">
            <v>0</v>
          </cell>
          <cell r="I439">
            <v>0</v>
          </cell>
          <cell r="J439">
            <v>0</v>
          </cell>
          <cell r="K439">
            <v>0</v>
          </cell>
          <cell r="L439">
            <v>0</v>
          </cell>
          <cell r="M439">
            <v>0</v>
          </cell>
          <cell r="T439">
            <v>8462</v>
          </cell>
          <cell r="U439">
            <v>0</v>
          </cell>
        </row>
        <row r="440">
          <cell r="D440">
            <v>8430</v>
          </cell>
          <cell r="E440" t="str">
            <v>专项储备_其他综合收益增加权益</v>
          </cell>
          <cell r="F440">
            <v>0</v>
          </cell>
          <cell r="G440">
            <v>0</v>
          </cell>
          <cell r="H440">
            <v>0</v>
          </cell>
          <cell r="I440">
            <v>0</v>
          </cell>
          <cell r="J440">
            <v>0</v>
          </cell>
          <cell r="K440">
            <v>0</v>
          </cell>
          <cell r="L440">
            <v>0</v>
          </cell>
          <cell r="M440">
            <v>0</v>
          </cell>
          <cell r="T440">
            <v>8463</v>
          </cell>
          <cell r="U440">
            <v>0</v>
          </cell>
        </row>
        <row r="441">
          <cell r="D441">
            <v>8440</v>
          </cell>
          <cell r="E441" t="str">
            <v>专项储备_综合收益总额增加权益</v>
          </cell>
          <cell r="F441">
            <v>0</v>
          </cell>
          <cell r="G441">
            <v>0</v>
          </cell>
          <cell r="H441">
            <v>0</v>
          </cell>
          <cell r="I441">
            <v>0</v>
          </cell>
          <cell r="J441">
            <v>0</v>
          </cell>
          <cell r="K441">
            <v>0</v>
          </cell>
          <cell r="L441">
            <v>0</v>
          </cell>
          <cell r="M441">
            <v>0</v>
          </cell>
          <cell r="T441">
            <v>8466</v>
          </cell>
          <cell r="U441">
            <v>0</v>
          </cell>
        </row>
        <row r="442">
          <cell r="D442">
            <v>8450</v>
          </cell>
          <cell r="E442" t="str">
            <v>专项储备_所有者投入和减少资本影响权益</v>
          </cell>
          <cell r="F442">
            <v>0</v>
          </cell>
          <cell r="G442">
            <v>0</v>
          </cell>
          <cell r="H442">
            <v>0</v>
          </cell>
          <cell r="I442">
            <v>0</v>
          </cell>
          <cell r="J442">
            <v>0</v>
          </cell>
          <cell r="K442">
            <v>0</v>
          </cell>
          <cell r="L442">
            <v>0</v>
          </cell>
          <cell r="M442">
            <v>0</v>
          </cell>
          <cell r="T442">
            <v>8470</v>
          </cell>
          <cell r="U442">
            <v>0</v>
          </cell>
        </row>
        <row r="443">
          <cell r="D443">
            <v>8451</v>
          </cell>
          <cell r="E443" t="str">
            <v>专项储备_所有者投入资本增加权益</v>
          </cell>
          <cell r="F443">
            <v>0</v>
          </cell>
          <cell r="G443">
            <v>0</v>
          </cell>
          <cell r="H443">
            <v>0</v>
          </cell>
          <cell r="I443">
            <v>0</v>
          </cell>
          <cell r="J443">
            <v>0</v>
          </cell>
          <cell r="K443">
            <v>0</v>
          </cell>
          <cell r="L443">
            <v>0</v>
          </cell>
          <cell r="M443">
            <v>0</v>
          </cell>
          <cell r="T443">
            <v>8471</v>
          </cell>
          <cell r="U443">
            <v>0</v>
          </cell>
        </row>
        <row r="444">
          <cell r="D444">
            <v>8453</v>
          </cell>
          <cell r="E444" t="str">
            <v>专项储备_其他权益工具持有者投入资本</v>
          </cell>
          <cell r="F444">
            <v>0</v>
          </cell>
          <cell r="G444">
            <v>0</v>
          </cell>
          <cell r="H444">
            <v>0</v>
          </cell>
          <cell r="I444">
            <v>0</v>
          </cell>
          <cell r="J444">
            <v>0</v>
          </cell>
          <cell r="K444">
            <v>0</v>
          </cell>
          <cell r="L444">
            <v>0</v>
          </cell>
          <cell r="M444">
            <v>0</v>
          </cell>
          <cell r="T444">
            <v>8472</v>
          </cell>
          <cell r="U444">
            <v>0</v>
          </cell>
        </row>
        <row r="445">
          <cell r="D445">
            <v>8452</v>
          </cell>
          <cell r="E445" t="str">
            <v>专项储备_股份支付计入所有者权益的金额</v>
          </cell>
          <cell r="F445">
            <v>0</v>
          </cell>
          <cell r="G445">
            <v>0</v>
          </cell>
          <cell r="H445">
            <v>0</v>
          </cell>
          <cell r="I445">
            <v>0</v>
          </cell>
          <cell r="J445">
            <v>0</v>
          </cell>
          <cell r="K445">
            <v>0</v>
          </cell>
          <cell r="L445">
            <v>0</v>
          </cell>
          <cell r="M445">
            <v>0</v>
          </cell>
          <cell r="T445">
            <v>8473</v>
          </cell>
          <cell r="U445">
            <v>0</v>
          </cell>
        </row>
        <row r="446">
          <cell r="D446">
            <v>8456</v>
          </cell>
          <cell r="E446" t="str">
            <v>专项储备_所有者其他投入和减少资本</v>
          </cell>
          <cell r="F446">
            <v>0</v>
          </cell>
          <cell r="G446">
            <v>0</v>
          </cell>
          <cell r="H446">
            <v>0</v>
          </cell>
          <cell r="I446">
            <v>0</v>
          </cell>
          <cell r="J446">
            <v>0</v>
          </cell>
          <cell r="K446">
            <v>0</v>
          </cell>
          <cell r="L446">
            <v>0</v>
          </cell>
          <cell r="M446">
            <v>0</v>
          </cell>
          <cell r="T446">
            <v>8475</v>
          </cell>
          <cell r="U446">
            <v>0</v>
          </cell>
        </row>
        <row r="447">
          <cell r="D447">
            <v>8460</v>
          </cell>
          <cell r="E447" t="str">
            <v>专项储备_利润分配影响权益</v>
          </cell>
          <cell r="F447">
            <v>0</v>
          </cell>
          <cell r="G447">
            <v>0</v>
          </cell>
          <cell r="H447">
            <v>0</v>
          </cell>
          <cell r="I447">
            <v>0</v>
          </cell>
          <cell r="J447">
            <v>0</v>
          </cell>
          <cell r="K447">
            <v>0</v>
          </cell>
          <cell r="L447">
            <v>0</v>
          </cell>
          <cell r="M447">
            <v>0</v>
          </cell>
          <cell r="T447">
            <v>8476</v>
          </cell>
          <cell r="U447">
            <v>0</v>
          </cell>
        </row>
        <row r="448">
          <cell r="D448">
            <v>8461</v>
          </cell>
          <cell r="E448" t="str">
            <v>专项储备_提取盈余公积影响权益</v>
          </cell>
          <cell r="F448">
            <v>0</v>
          </cell>
          <cell r="G448">
            <v>0</v>
          </cell>
          <cell r="H448">
            <v>0</v>
          </cell>
          <cell r="I448">
            <v>0</v>
          </cell>
          <cell r="J448">
            <v>0</v>
          </cell>
          <cell r="K448">
            <v>0</v>
          </cell>
          <cell r="L448">
            <v>0</v>
          </cell>
          <cell r="M448">
            <v>0</v>
          </cell>
          <cell r="T448">
            <v>8480</v>
          </cell>
          <cell r="U448">
            <v>1254520.9099999999</v>
          </cell>
        </row>
        <row r="449">
          <cell r="D449">
            <v>8462</v>
          </cell>
          <cell r="E449" t="str">
            <v>专项储备_提取一般风险准备影响权益</v>
          </cell>
          <cell r="F449">
            <v>0</v>
          </cell>
          <cell r="G449">
            <v>0</v>
          </cell>
          <cell r="H449">
            <v>0</v>
          </cell>
          <cell r="I449">
            <v>0</v>
          </cell>
          <cell r="J449">
            <v>0</v>
          </cell>
          <cell r="K449">
            <v>0</v>
          </cell>
          <cell r="L449">
            <v>0</v>
          </cell>
          <cell r="M449">
            <v>0</v>
          </cell>
          <cell r="T449">
            <v>8481</v>
          </cell>
          <cell r="U449">
            <v>1254520.9099999999</v>
          </cell>
        </row>
        <row r="450">
          <cell r="D450">
            <v>8463</v>
          </cell>
          <cell r="E450" t="str">
            <v>专项储备_对所有者的分配影响权益</v>
          </cell>
          <cell r="F450">
            <v>0</v>
          </cell>
          <cell r="G450">
            <v>0</v>
          </cell>
          <cell r="H450">
            <v>0</v>
          </cell>
          <cell r="I450">
            <v>0</v>
          </cell>
          <cell r="J450">
            <v>0</v>
          </cell>
          <cell r="K450">
            <v>0</v>
          </cell>
          <cell r="L450">
            <v>0</v>
          </cell>
          <cell r="M450">
            <v>0</v>
          </cell>
          <cell r="T450">
            <v>8482</v>
          </cell>
          <cell r="U450">
            <v>0</v>
          </cell>
        </row>
        <row r="451">
          <cell r="D451">
            <v>8466</v>
          </cell>
          <cell r="E451" t="str">
            <v>专项储备_其他利润分配影响权益</v>
          </cell>
          <cell r="F451">
            <v>0</v>
          </cell>
          <cell r="G451">
            <v>0</v>
          </cell>
          <cell r="H451">
            <v>0</v>
          </cell>
          <cell r="I451">
            <v>0</v>
          </cell>
          <cell r="J451">
            <v>0</v>
          </cell>
          <cell r="K451">
            <v>0</v>
          </cell>
          <cell r="L451">
            <v>0</v>
          </cell>
          <cell r="M451">
            <v>0</v>
          </cell>
          <cell r="T451">
            <v>8496</v>
          </cell>
          <cell r="U451">
            <v>0</v>
          </cell>
        </row>
        <row r="452">
          <cell r="D452">
            <v>8470</v>
          </cell>
          <cell r="E452" t="str">
            <v>专项储备_所有者权益内部结转</v>
          </cell>
          <cell r="F452">
            <v>0</v>
          </cell>
          <cell r="G452">
            <v>0</v>
          </cell>
          <cell r="H452">
            <v>0</v>
          </cell>
          <cell r="I452">
            <v>0</v>
          </cell>
          <cell r="J452">
            <v>0</v>
          </cell>
          <cell r="K452">
            <v>0</v>
          </cell>
          <cell r="L452">
            <v>0</v>
          </cell>
          <cell r="M452">
            <v>0</v>
          </cell>
          <cell r="T452">
            <v>8499</v>
          </cell>
          <cell r="U452">
            <v>4254603.3600000003</v>
          </cell>
        </row>
        <row r="453">
          <cell r="D453">
            <v>8471</v>
          </cell>
          <cell r="E453" t="str">
            <v>专项储备_资本公积转增资本影响权益</v>
          </cell>
          <cell r="F453">
            <v>0</v>
          </cell>
          <cell r="G453">
            <v>0</v>
          </cell>
          <cell r="H453">
            <v>0</v>
          </cell>
          <cell r="I453">
            <v>0</v>
          </cell>
          <cell r="J453">
            <v>0</v>
          </cell>
          <cell r="K453">
            <v>0</v>
          </cell>
          <cell r="L453">
            <v>0</v>
          </cell>
          <cell r="M453">
            <v>0</v>
          </cell>
          <cell r="T453">
            <v>8500</v>
          </cell>
          <cell r="U453">
            <v>0</v>
          </cell>
        </row>
        <row r="454">
          <cell r="D454">
            <v>8472</v>
          </cell>
          <cell r="E454" t="str">
            <v>专项储备_盈余公积转增资本影响权益</v>
          </cell>
          <cell r="F454">
            <v>0</v>
          </cell>
          <cell r="G454">
            <v>0</v>
          </cell>
          <cell r="H454">
            <v>0</v>
          </cell>
          <cell r="I454">
            <v>0</v>
          </cell>
          <cell r="J454">
            <v>0</v>
          </cell>
          <cell r="K454">
            <v>0</v>
          </cell>
          <cell r="L454">
            <v>0</v>
          </cell>
          <cell r="M454">
            <v>0</v>
          </cell>
          <cell r="T454">
            <v>8501</v>
          </cell>
          <cell r="U454">
            <v>8203046.8300000001</v>
          </cell>
        </row>
        <row r="455">
          <cell r="D455">
            <v>8473</v>
          </cell>
          <cell r="E455" t="str">
            <v>专项储备_盈余公积弥补亏损影响权益</v>
          </cell>
          <cell r="F455">
            <v>0</v>
          </cell>
          <cell r="G455">
            <v>0</v>
          </cell>
          <cell r="H455">
            <v>0</v>
          </cell>
          <cell r="I455">
            <v>0</v>
          </cell>
          <cell r="J455">
            <v>0</v>
          </cell>
          <cell r="K455">
            <v>0</v>
          </cell>
          <cell r="L455">
            <v>0</v>
          </cell>
          <cell r="M455">
            <v>0</v>
          </cell>
          <cell r="T455">
            <v>8502</v>
          </cell>
          <cell r="U455">
            <v>0</v>
          </cell>
        </row>
        <row r="456">
          <cell r="D456">
            <v>8475</v>
          </cell>
          <cell r="E456" t="str">
            <v>专项储备_设定受益计划变动额结转留存收益</v>
          </cell>
          <cell r="F456">
            <v>0</v>
          </cell>
          <cell r="G456">
            <v>0</v>
          </cell>
          <cell r="H456">
            <v>0</v>
          </cell>
          <cell r="I456">
            <v>0</v>
          </cell>
          <cell r="J456">
            <v>0</v>
          </cell>
          <cell r="K456">
            <v>0</v>
          </cell>
          <cell r="L456">
            <v>0</v>
          </cell>
          <cell r="M456">
            <v>0</v>
          </cell>
          <cell r="T456">
            <v>8503</v>
          </cell>
          <cell r="U456">
            <v>0</v>
          </cell>
        </row>
        <row r="457">
          <cell r="D457">
            <v>8476</v>
          </cell>
          <cell r="E457" t="str">
            <v>专项储备_所有者权益其他内部结转</v>
          </cell>
          <cell r="F457">
            <v>0</v>
          </cell>
          <cell r="G457">
            <v>0</v>
          </cell>
          <cell r="H457">
            <v>0</v>
          </cell>
          <cell r="I457">
            <v>0</v>
          </cell>
          <cell r="J457">
            <v>0</v>
          </cell>
          <cell r="K457">
            <v>0</v>
          </cell>
          <cell r="L457">
            <v>0</v>
          </cell>
          <cell r="M457">
            <v>0</v>
          </cell>
          <cell r="T457">
            <v>8504</v>
          </cell>
          <cell r="U457">
            <v>0</v>
          </cell>
        </row>
        <row r="458">
          <cell r="D458">
            <v>8480</v>
          </cell>
          <cell r="E458" t="str">
            <v>专项储备_专项储备影响权益</v>
          </cell>
          <cell r="F458">
            <v>1391136.6</v>
          </cell>
          <cell r="G458">
            <v>0</v>
          </cell>
          <cell r="H458">
            <v>-94664.51</v>
          </cell>
          <cell r="I458">
            <v>1296472.0900000001</v>
          </cell>
          <cell r="J458">
            <v>1254520.9099999999</v>
          </cell>
          <cell r="K458">
            <v>0</v>
          </cell>
          <cell r="L458">
            <v>0</v>
          </cell>
          <cell r="M458">
            <v>1254520.9099999999</v>
          </cell>
          <cell r="T458">
            <v>8509</v>
          </cell>
          <cell r="U458">
            <v>0</v>
          </cell>
        </row>
        <row r="459">
          <cell r="D459">
            <v>8481</v>
          </cell>
          <cell r="E459" t="str">
            <v>专项储备_本期提取</v>
          </cell>
          <cell r="F459">
            <v>1613136.6</v>
          </cell>
          <cell r="G459">
            <v>0</v>
          </cell>
          <cell r="H459">
            <v>-94664.51</v>
          </cell>
          <cell r="I459">
            <v>1518472.09</v>
          </cell>
          <cell r="J459">
            <v>1254520.9099999999</v>
          </cell>
          <cell r="K459">
            <v>0</v>
          </cell>
          <cell r="L459">
            <v>0</v>
          </cell>
          <cell r="M459">
            <v>1254520.9099999999</v>
          </cell>
          <cell r="T459">
            <v>8510</v>
          </cell>
          <cell r="U459">
            <v>8203046.8300000001</v>
          </cell>
        </row>
        <row r="460">
          <cell r="D460">
            <v>8482</v>
          </cell>
          <cell r="E460" t="str">
            <v>专项储备_本期使用</v>
          </cell>
          <cell r="F460">
            <v>-222000</v>
          </cell>
          <cell r="G460">
            <v>0</v>
          </cell>
          <cell r="H460">
            <v>0</v>
          </cell>
          <cell r="I460">
            <v>-222000</v>
          </cell>
          <cell r="J460">
            <v>0</v>
          </cell>
          <cell r="K460">
            <v>0</v>
          </cell>
          <cell r="L460">
            <v>0</v>
          </cell>
          <cell r="M460">
            <v>0</v>
          </cell>
          <cell r="T460">
            <v>8590</v>
          </cell>
          <cell r="U460">
            <v>909324.45</v>
          </cell>
        </row>
        <row r="461">
          <cell r="D461">
            <v>8496</v>
          </cell>
          <cell r="E461" t="str">
            <v>专项储备_本期其他增减变动</v>
          </cell>
          <cell r="F461">
            <v>0</v>
          </cell>
          <cell r="G461">
            <v>0</v>
          </cell>
          <cell r="H461">
            <v>0</v>
          </cell>
          <cell r="I461">
            <v>0</v>
          </cell>
          <cell r="J461">
            <v>0</v>
          </cell>
          <cell r="K461">
            <v>0</v>
          </cell>
          <cell r="L461">
            <v>0</v>
          </cell>
          <cell r="M461">
            <v>0</v>
          </cell>
          <cell r="T461">
            <v>8521</v>
          </cell>
          <cell r="U461">
            <v>0</v>
          </cell>
        </row>
        <row r="462">
          <cell r="D462">
            <v>8499</v>
          </cell>
          <cell r="E462" t="str">
            <v>专项储备_本期期末余额</v>
          </cell>
          <cell r="F462">
            <v>5777491.6900000004</v>
          </cell>
          <cell r="G462">
            <v>0</v>
          </cell>
          <cell r="H462">
            <v>-226416.24</v>
          </cell>
          <cell r="I462">
            <v>5551075.4500000002</v>
          </cell>
          <cell r="J462">
            <v>4254603.3600000003</v>
          </cell>
          <cell r="K462">
            <v>0</v>
          </cell>
          <cell r="L462">
            <v>0</v>
          </cell>
          <cell r="M462">
            <v>4254603.3600000003</v>
          </cell>
          <cell r="T462">
            <v>8530</v>
          </cell>
          <cell r="U462">
            <v>0</v>
          </cell>
        </row>
        <row r="463">
          <cell r="D463">
            <v>8500</v>
          </cell>
          <cell r="E463" t="str">
            <v>盈余公积增减变动</v>
          </cell>
          <cell r="F463">
            <v>0</v>
          </cell>
          <cell r="G463">
            <v>0</v>
          </cell>
          <cell r="H463">
            <v>0</v>
          </cell>
          <cell r="I463">
            <v>0</v>
          </cell>
          <cell r="J463">
            <v>0</v>
          </cell>
          <cell r="K463">
            <v>0</v>
          </cell>
          <cell r="L463">
            <v>0</v>
          </cell>
          <cell r="M463">
            <v>0</v>
          </cell>
          <cell r="T463">
            <v>8540</v>
          </cell>
          <cell r="U463">
            <v>0</v>
          </cell>
        </row>
        <row r="464">
          <cell r="D464">
            <v>8501</v>
          </cell>
          <cell r="E464" t="str">
            <v>盈余公积_上年年末余额</v>
          </cell>
          <cell r="F464">
            <v>9409317.25</v>
          </cell>
          <cell r="G464">
            <v>0</v>
          </cell>
          <cell r="H464">
            <v>-296945.96999999997</v>
          </cell>
          <cell r="I464">
            <v>9112371.2799999993</v>
          </cell>
          <cell r="J464">
            <v>8203046.8300000001</v>
          </cell>
          <cell r="K464">
            <v>0</v>
          </cell>
          <cell r="L464">
            <v>0</v>
          </cell>
          <cell r="M464">
            <v>8203046.8300000001</v>
          </cell>
          <cell r="T464">
            <v>8550</v>
          </cell>
          <cell r="U464">
            <v>0</v>
          </cell>
        </row>
        <row r="465">
          <cell r="D465">
            <v>8502</v>
          </cell>
          <cell r="E465" t="str">
            <v>盈余公积_会计政策变更调整上年年末余额</v>
          </cell>
          <cell r="F465">
            <v>0</v>
          </cell>
          <cell r="G465">
            <v>0</v>
          </cell>
          <cell r="H465">
            <v>0</v>
          </cell>
          <cell r="I465">
            <v>0</v>
          </cell>
          <cell r="J465">
            <v>0</v>
          </cell>
          <cell r="K465">
            <v>0</v>
          </cell>
          <cell r="L465">
            <v>0</v>
          </cell>
          <cell r="M465">
            <v>0</v>
          </cell>
          <cell r="T465">
            <v>8551</v>
          </cell>
          <cell r="U465">
            <v>0</v>
          </cell>
        </row>
        <row r="466">
          <cell r="D466">
            <v>8503</v>
          </cell>
          <cell r="E466" t="str">
            <v>盈余公积_前期差错更正调整上年年末余额</v>
          </cell>
          <cell r="F466">
            <v>1474268.99</v>
          </cell>
          <cell r="G466">
            <v>0</v>
          </cell>
          <cell r="H466">
            <v>-1474268.99</v>
          </cell>
          <cell r="I466">
            <v>0</v>
          </cell>
          <cell r="J466">
            <v>0</v>
          </cell>
          <cell r="K466">
            <v>0</v>
          </cell>
          <cell r="L466">
            <v>0</v>
          </cell>
          <cell r="M466">
            <v>0</v>
          </cell>
          <cell r="T466">
            <v>8553</v>
          </cell>
          <cell r="U466">
            <v>0</v>
          </cell>
        </row>
        <row r="467">
          <cell r="D467">
            <v>8504</v>
          </cell>
          <cell r="E467" t="str">
            <v>盈余公积_同一控制下企业合并调整上年年末余额</v>
          </cell>
          <cell r="F467">
            <v>0</v>
          </cell>
          <cell r="G467">
            <v>0</v>
          </cell>
          <cell r="H467">
            <v>0</v>
          </cell>
          <cell r="I467">
            <v>0</v>
          </cell>
          <cell r="J467">
            <v>0</v>
          </cell>
          <cell r="K467">
            <v>0</v>
          </cell>
          <cell r="L467">
            <v>0</v>
          </cell>
          <cell r="M467">
            <v>0</v>
          </cell>
          <cell r="T467">
            <v>8552</v>
          </cell>
          <cell r="U467">
            <v>0</v>
          </cell>
        </row>
        <row r="468">
          <cell r="D468">
            <v>8509</v>
          </cell>
          <cell r="E468" t="str">
            <v>盈余公积_其他原因调整上年年末余额</v>
          </cell>
          <cell r="F468">
            <v>0</v>
          </cell>
          <cell r="G468">
            <v>0</v>
          </cell>
          <cell r="H468">
            <v>0</v>
          </cell>
          <cell r="I468">
            <v>0</v>
          </cell>
          <cell r="J468">
            <v>0</v>
          </cell>
          <cell r="K468">
            <v>0</v>
          </cell>
          <cell r="L468">
            <v>0</v>
          </cell>
          <cell r="M468">
            <v>0</v>
          </cell>
          <cell r="T468">
            <v>8556</v>
          </cell>
          <cell r="U468">
            <v>0</v>
          </cell>
        </row>
        <row r="469">
          <cell r="D469">
            <v>8510</v>
          </cell>
          <cell r="E469" t="str">
            <v>盈余公积_本年年初余额</v>
          </cell>
          <cell r="F469">
            <v>10883586.24</v>
          </cell>
          <cell r="G469">
            <v>0</v>
          </cell>
          <cell r="H469">
            <v>-1771214.96</v>
          </cell>
          <cell r="I469">
            <v>9112371.2799999993</v>
          </cell>
          <cell r="J469">
            <v>8203046.8300000001</v>
          </cell>
          <cell r="K469">
            <v>0</v>
          </cell>
          <cell r="L469">
            <v>0</v>
          </cell>
          <cell r="M469">
            <v>8203046.8300000001</v>
          </cell>
          <cell r="T469">
            <v>8560</v>
          </cell>
          <cell r="U469">
            <v>909324.45</v>
          </cell>
        </row>
        <row r="470">
          <cell r="D470">
            <v>8590</v>
          </cell>
          <cell r="E470" t="str">
            <v>盈余公积_本期增减变动金额</v>
          </cell>
          <cell r="F470">
            <v>0</v>
          </cell>
          <cell r="G470">
            <v>0</v>
          </cell>
          <cell r="H470">
            <v>4662087.58</v>
          </cell>
          <cell r="I470">
            <v>4662087.58</v>
          </cell>
          <cell r="J470">
            <v>909324.45</v>
          </cell>
          <cell r="K470">
            <v>0</v>
          </cell>
          <cell r="L470">
            <v>0</v>
          </cell>
          <cell r="M470">
            <v>909324.45</v>
          </cell>
          <cell r="T470">
            <v>8561</v>
          </cell>
          <cell r="U470">
            <v>909324.45</v>
          </cell>
        </row>
        <row r="471">
          <cell r="D471">
            <v>8521</v>
          </cell>
          <cell r="E471" t="str">
            <v>盈余公积_净利润增加权益</v>
          </cell>
          <cell r="F471">
            <v>0</v>
          </cell>
          <cell r="G471">
            <v>0</v>
          </cell>
          <cell r="H471">
            <v>0</v>
          </cell>
          <cell r="I471">
            <v>0</v>
          </cell>
          <cell r="J471">
            <v>0</v>
          </cell>
          <cell r="K471">
            <v>0</v>
          </cell>
          <cell r="L471">
            <v>0</v>
          </cell>
          <cell r="M471">
            <v>0</v>
          </cell>
          <cell r="T471">
            <v>8562</v>
          </cell>
          <cell r="U471">
            <v>0</v>
          </cell>
        </row>
        <row r="472">
          <cell r="D472">
            <v>8530</v>
          </cell>
          <cell r="E472" t="str">
            <v>盈余公积_其他综合收益增加权益</v>
          </cell>
          <cell r="F472">
            <v>0</v>
          </cell>
          <cell r="G472">
            <v>0</v>
          </cell>
          <cell r="H472">
            <v>0</v>
          </cell>
          <cell r="I472">
            <v>0</v>
          </cell>
          <cell r="J472">
            <v>0</v>
          </cell>
          <cell r="K472">
            <v>0</v>
          </cell>
          <cell r="L472">
            <v>0</v>
          </cell>
          <cell r="M472">
            <v>0</v>
          </cell>
          <cell r="T472">
            <v>8563</v>
          </cell>
          <cell r="U472">
            <v>0</v>
          </cell>
        </row>
        <row r="473">
          <cell r="D473">
            <v>8540</v>
          </cell>
          <cell r="E473" t="str">
            <v>盈余公积_综合收益总额增加权益</v>
          </cell>
          <cell r="F473">
            <v>0</v>
          </cell>
          <cell r="G473">
            <v>0</v>
          </cell>
          <cell r="H473">
            <v>0</v>
          </cell>
          <cell r="I473">
            <v>0</v>
          </cell>
          <cell r="J473">
            <v>0</v>
          </cell>
          <cell r="K473">
            <v>0</v>
          </cell>
          <cell r="L473">
            <v>0</v>
          </cell>
          <cell r="M473">
            <v>0</v>
          </cell>
          <cell r="T473">
            <v>8566</v>
          </cell>
          <cell r="U473">
            <v>0</v>
          </cell>
        </row>
        <row r="474">
          <cell r="D474">
            <v>8550</v>
          </cell>
          <cell r="E474" t="str">
            <v>盈余公积_所有者投入和减少资本影响权益</v>
          </cell>
          <cell r="F474">
            <v>0</v>
          </cell>
          <cell r="G474">
            <v>0</v>
          </cell>
          <cell r="H474">
            <v>0</v>
          </cell>
          <cell r="I474">
            <v>0</v>
          </cell>
          <cell r="J474">
            <v>0</v>
          </cell>
          <cell r="K474">
            <v>0</v>
          </cell>
          <cell r="L474">
            <v>0</v>
          </cell>
          <cell r="M474">
            <v>0</v>
          </cell>
          <cell r="T474">
            <v>8570</v>
          </cell>
          <cell r="U474">
            <v>0</v>
          </cell>
        </row>
        <row r="475">
          <cell r="D475">
            <v>8551</v>
          </cell>
          <cell r="E475" t="str">
            <v>盈余公积_所有者投入资本增加权益</v>
          </cell>
          <cell r="F475">
            <v>0</v>
          </cell>
          <cell r="G475">
            <v>0</v>
          </cell>
          <cell r="H475">
            <v>0</v>
          </cell>
          <cell r="I475">
            <v>0</v>
          </cell>
          <cell r="J475">
            <v>0</v>
          </cell>
          <cell r="K475">
            <v>0</v>
          </cell>
          <cell r="L475">
            <v>0</v>
          </cell>
          <cell r="M475">
            <v>0</v>
          </cell>
          <cell r="T475">
            <v>8571</v>
          </cell>
          <cell r="U475">
            <v>0</v>
          </cell>
        </row>
        <row r="476">
          <cell r="D476">
            <v>8553</v>
          </cell>
          <cell r="E476" t="str">
            <v>盈余公积_其他权益工具持有者投入资本</v>
          </cell>
          <cell r="F476">
            <v>0</v>
          </cell>
          <cell r="G476">
            <v>0</v>
          </cell>
          <cell r="H476">
            <v>0</v>
          </cell>
          <cell r="I476">
            <v>0</v>
          </cell>
          <cell r="J476">
            <v>0</v>
          </cell>
          <cell r="K476">
            <v>0</v>
          </cell>
          <cell r="L476">
            <v>0</v>
          </cell>
          <cell r="M476">
            <v>0</v>
          </cell>
          <cell r="T476">
            <v>8572</v>
          </cell>
          <cell r="U476">
            <v>0</v>
          </cell>
        </row>
        <row r="477">
          <cell r="D477">
            <v>8552</v>
          </cell>
          <cell r="E477" t="str">
            <v>盈余公积_股份支付计入所有者权益的金额</v>
          </cell>
          <cell r="F477">
            <v>0</v>
          </cell>
          <cell r="G477">
            <v>0</v>
          </cell>
          <cell r="H477">
            <v>0</v>
          </cell>
          <cell r="I477">
            <v>0</v>
          </cell>
          <cell r="J477">
            <v>0</v>
          </cell>
          <cell r="K477">
            <v>0</v>
          </cell>
          <cell r="L477">
            <v>0</v>
          </cell>
          <cell r="M477">
            <v>0</v>
          </cell>
          <cell r="T477">
            <v>8573</v>
          </cell>
          <cell r="U477">
            <v>0</v>
          </cell>
        </row>
        <row r="478">
          <cell r="D478">
            <v>8556</v>
          </cell>
          <cell r="E478" t="str">
            <v>盈余公积_所有者其他投入和减少资本</v>
          </cell>
          <cell r="F478">
            <v>0</v>
          </cell>
          <cell r="G478">
            <v>0</v>
          </cell>
          <cell r="H478">
            <v>0</v>
          </cell>
          <cell r="I478">
            <v>0</v>
          </cell>
          <cell r="J478">
            <v>0</v>
          </cell>
          <cell r="K478">
            <v>0</v>
          </cell>
          <cell r="L478">
            <v>0</v>
          </cell>
          <cell r="M478">
            <v>0</v>
          </cell>
          <cell r="T478">
            <v>8575</v>
          </cell>
          <cell r="U478">
            <v>0</v>
          </cell>
        </row>
        <row r="479">
          <cell r="D479">
            <v>8560</v>
          </cell>
          <cell r="E479" t="str">
            <v>盈余公积_利润分配影响权益</v>
          </cell>
          <cell r="F479">
            <v>0</v>
          </cell>
          <cell r="G479">
            <v>0</v>
          </cell>
          <cell r="H479">
            <v>4662087.58</v>
          </cell>
          <cell r="I479">
            <v>4662087.58</v>
          </cell>
          <cell r="J479">
            <v>909324.45</v>
          </cell>
          <cell r="K479">
            <v>0</v>
          </cell>
          <cell r="L479">
            <v>0</v>
          </cell>
          <cell r="M479">
            <v>909324.45</v>
          </cell>
          <cell r="T479">
            <v>8576</v>
          </cell>
          <cell r="U479">
            <v>0</v>
          </cell>
        </row>
        <row r="480">
          <cell r="D480">
            <v>8561</v>
          </cell>
          <cell r="E480" t="str">
            <v>盈余公积_提取</v>
          </cell>
          <cell r="F480">
            <v>0</v>
          </cell>
          <cell r="G480">
            <v>0</v>
          </cell>
          <cell r="H480">
            <v>4662087.58</v>
          </cell>
          <cell r="I480">
            <v>4662087.58</v>
          </cell>
          <cell r="J480">
            <v>909324.45</v>
          </cell>
          <cell r="K480">
            <v>0</v>
          </cell>
          <cell r="L480">
            <v>0</v>
          </cell>
          <cell r="M480">
            <v>909324.45</v>
          </cell>
          <cell r="T480">
            <v>8580</v>
          </cell>
          <cell r="U480">
            <v>0</v>
          </cell>
        </row>
        <row r="481">
          <cell r="D481">
            <v>8562</v>
          </cell>
          <cell r="E481" t="str">
            <v>盈余公积_提取一般风险准备影响权益</v>
          </cell>
          <cell r="F481">
            <v>0</v>
          </cell>
          <cell r="G481">
            <v>0</v>
          </cell>
          <cell r="H481">
            <v>0</v>
          </cell>
          <cell r="I481">
            <v>0</v>
          </cell>
          <cell r="J481">
            <v>0</v>
          </cell>
          <cell r="K481">
            <v>0</v>
          </cell>
          <cell r="L481">
            <v>0</v>
          </cell>
          <cell r="M481">
            <v>0</v>
          </cell>
          <cell r="T481">
            <v>8581</v>
          </cell>
          <cell r="U481">
            <v>0</v>
          </cell>
        </row>
        <row r="482">
          <cell r="D482">
            <v>8563</v>
          </cell>
          <cell r="E482" t="str">
            <v>盈余公积_对所有者的分配</v>
          </cell>
          <cell r="F482">
            <v>0</v>
          </cell>
          <cell r="G482">
            <v>0</v>
          </cell>
          <cell r="H482">
            <v>0</v>
          </cell>
          <cell r="I482">
            <v>0</v>
          </cell>
          <cell r="J482">
            <v>0</v>
          </cell>
          <cell r="K482">
            <v>0</v>
          </cell>
          <cell r="L482">
            <v>0</v>
          </cell>
          <cell r="M482">
            <v>0</v>
          </cell>
          <cell r="T482">
            <v>8582</v>
          </cell>
          <cell r="U482">
            <v>0</v>
          </cell>
        </row>
        <row r="483">
          <cell r="D483">
            <v>8566</v>
          </cell>
          <cell r="E483" t="str">
            <v>盈余公积_其他利润分配</v>
          </cell>
          <cell r="F483">
            <v>0</v>
          </cell>
          <cell r="G483">
            <v>0</v>
          </cell>
          <cell r="H483">
            <v>0</v>
          </cell>
          <cell r="I483">
            <v>0</v>
          </cell>
          <cell r="J483">
            <v>0</v>
          </cell>
          <cell r="K483">
            <v>0</v>
          </cell>
          <cell r="L483">
            <v>0</v>
          </cell>
          <cell r="M483">
            <v>0</v>
          </cell>
          <cell r="T483">
            <v>8596</v>
          </cell>
          <cell r="U483">
            <v>0</v>
          </cell>
        </row>
        <row r="484">
          <cell r="D484">
            <v>8570</v>
          </cell>
          <cell r="E484" t="str">
            <v>盈余公积_所有者权益内部结转</v>
          </cell>
          <cell r="F484">
            <v>0</v>
          </cell>
          <cell r="G484">
            <v>0</v>
          </cell>
          <cell r="H484">
            <v>0</v>
          </cell>
          <cell r="I484">
            <v>0</v>
          </cell>
          <cell r="J484">
            <v>0</v>
          </cell>
          <cell r="K484">
            <v>0</v>
          </cell>
          <cell r="L484">
            <v>0</v>
          </cell>
          <cell r="M484">
            <v>0</v>
          </cell>
          <cell r="T484">
            <v>8599</v>
          </cell>
          <cell r="U484">
            <v>9112371.2799999993</v>
          </cell>
        </row>
        <row r="485">
          <cell r="D485">
            <v>8571</v>
          </cell>
          <cell r="E485" t="str">
            <v>盈余公积_资本公积转增资本影响权益</v>
          </cell>
          <cell r="F485">
            <v>0</v>
          </cell>
          <cell r="G485">
            <v>0</v>
          </cell>
          <cell r="H485">
            <v>0</v>
          </cell>
          <cell r="I485">
            <v>0</v>
          </cell>
          <cell r="J485">
            <v>0</v>
          </cell>
          <cell r="K485">
            <v>0</v>
          </cell>
          <cell r="L485">
            <v>0</v>
          </cell>
          <cell r="M485">
            <v>0</v>
          </cell>
          <cell r="T485">
            <v>8600</v>
          </cell>
          <cell r="U485">
            <v>0</v>
          </cell>
        </row>
        <row r="486">
          <cell r="D486">
            <v>8572</v>
          </cell>
          <cell r="E486" t="str">
            <v>盈余公积_转增资本</v>
          </cell>
          <cell r="F486">
            <v>0</v>
          </cell>
          <cell r="G486">
            <v>0</v>
          </cell>
          <cell r="H486">
            <v>0</v>
          </cell>
          <cell r="I486">
            <v>0</v>
          </cell>
          <cell r="J486">
            <v>0</v>
          </cell>
          <cell r="K486">
            <v>0</v>
          </cell>
          <cell r="L486">
            <v>0</v>
          </cell>
          <cell r="M486">
            <v>0</v>
          </cell>
          <cell r="T486">
            <v>8601</v>
          </cell>
          <cell r="U486">
            <v>0</v>
          </cell>
        </row>
        <row r="487">
          <cell r="D487">
            <v>8573</v>
          </cell>
          <cell r="E487" t="str">
            <v>盈余公积_弥补亏损</v>
          </cell>
          <cell r="F487">
            <v>0</v>
          </cell>
          <cell r="G487">
            <v>0</v>
          </cell>
          <cell r="H487">
            <v>0</v>
          </cell>
          <cell r="I487">
            <v>0</v>
          </cell>
          <cell r="J487">
            <v>0</v>
          </cell>
          <cell r="K487">
            <v>0</v>
          </cell>
          <cell r="L487">
            <v>0</v>
          </cell>
          <cell r="M487">
            <v>0</v>
          </cell>
          <cell r="T487">
            <v>8602</v>
          </cell>
          <cell r="U487">
            <v>0</v>
          </cell>
        </row>
        <row r="488">
          <cell r="D488">
            <v>8575</v>
          </cell>
          <cell r="E488" t="str">
            <v>盈余公积_设定受益计划变动额结转留存收益</v>
          </cell>
          <cell r="F488">
            <v>0</v>
          </cell>
          <cell r="G488">
            <v>0</v>
          </cell>
          <cell r="H488">
            <v>0</v>
          </cell>
          <cell r="I488">
            <v>0</v>
          </cell>
          <cell r="J488">
            <v>0</v>
          </cell>
          <cell r="K488">
            <v>0</v>
          </cell>
          <cell r="L488">
            <v>0</v>
          </cell>
          <cell r="M488">
            <v>0</v>
          </cell>
          <cell r="T488">
            <v>8603</v>
          </cell>
          <cell r="U488">
            <v>0</v>
          </cell>
        </row>
        <row r="489">
          <cell r="D489">
            <v>8576</v>
          </cell>
          <cell r="E489" t="str">
            <v>盈余公积_所有者权益其他内部结转</v>
          </cell>
          <cell r="F489">
            <v>0</v>
          </cell>
          <cell r="G489">
            <v>0</v>
          </cell>
          <cell r="H489">
            <v>0</v>
          </cell>
          <cell r="I489">
            <v>0</v>
          </cell>
          <cell r="J489">
            <v>0</v>
          </cell>
          <cell r="K489">
            <v>0</v>
          </cell>
          <cell r="L489">
            <v>0</v>
          </cell>
          <cell r="M489">
            <v>0</v>
          </cell>
          <cell r="T489">
            <v>8604</v>
          </cell>
          <cell r="U489">
            <v>0</v>
          </cell>
        </row>
        <row r="490">
          <cell r="D490">
            <v>8580</v>
          </cell>
          <cell r="E490" t="str">
            <v>盈余公积_专项储备影响权益</v>
          </cell>
          <cell r="F490">
            <v>0</v>
          </cell>
          <cell r="G490">
            <v>0</v>
          </cell>
          <cell r="H490">
            <v>0</v>
          </cell>
          <cell r="I490">
            <v>0</v>
          </cell>
          <cell r="J490">
            <v>0</v>
          </cell>
          <cell r="K490">
            <v>0</v>
          </cell>
          <cell r="L490">
            <v>0</v>
          </cell>
          <cell r="M490">
            <v>0</v>
          </cell>
          <cell r="T490">
            <v>8609</v>
          </cell>
          <cell r="U490">
            <v>0</v>
          </cell>
        </row>
        <row r="491">
          <cell r="D491">
            <v>8581</v>
          </cell>
          <cell r="E491" t="str">
            <v>盈余公积_专项储备本期提取</v>
          </cell>
          <cell r="F491">
            <v>0</v>
          </cell>
          <cell r="G491">
            <v>0</v>
          </cell>
          <cell r="H491">
            <v>0</v>
          </cell>
          <cell r="I491">
            <v>0</v>
          </cell>
          <cell r="J491">
            <v>0</v>
          </cell>
          <cell r="K491">
            <v>0</v>
          </cell>
          <cell r="L491">
            <v>0</v>
          </cell>
          <cell r="M491">
            <v>0</v>
          </cell>
          <cell r="T491">
            <v>8610</v>
          </cell>
          <cell r="U491">
            <v>0</v>
          </cell>
        </row>
        <row r="492">
          <cell r="D492">
            <v>8582</v>
          </cell>
          <cell r="E492" t="str">
            <v>盈余公积_专项储备本期使用</v>
          </cell>
          <cell r="F492">
            <v>0</v>
          </cell>
          <cell r="G492">
            <v>0</v>
          </cell>
          <cell r="H492">
            <v>0</v>
          </cell>
          <cell r="I492">
            <v>0</v>
          </cell>
          <cell r="J492">
            <v>0</v>
          </cell>
          <cell r="K492">
            <v>0</v>
          </cell>
          <cell r="L492">
            <v>0</v>
          </cell>
          <cell r="M492">
            <v>0</v>
          </cell>
          <cell r="T492">
            <v>8690</v>
          </cell>
          <cell r="U492">
            <v>0</v>
          </cell>
        </row>
        <row r="493">
          <cell r="D493">
            <v>8596</v>
          </cell>
          <cell r="E493" t="str">
            <v>盈余公积_本期其他增减变动</v>
          </cell>
          <cell r="F493">
            <v>0</v>
          </cell>
          <cell r="G493">
            <v>0</v>
          </cell>
          <cell r="H493">
            <v>0</v>
          </cell>
          <cell r="I493">
            <v>0</v>
          </cell>
          <cell r="J493">
            <v>0</v>
          </cell>
          <cell r="K493">
            <v>0</v>
          </cell>
          <cell r="L493">
            <v>0</v>
          </cell>
          <cell r="M493">
            <v>0</v>
          </cell>
          <cell r="T493">
            <v>8621</v>
          </cell>
          <cell r="U493">
            <v>0</v>
          </cell>
        </row>
        <row r="494">
          <cell r="D494">
            <v>8599</v>
          </cell>
          <cell r="E494" t="str">
            <v>盈余公积_本期期末余额</v>
          </cell>
          <cell r="F494">
            <v>10883586.24</v>
          </cell>
          <cell r="G494">
            <v>0</v>
          </cell>
          <cell r="H494">
            <v>2890872.62</v>
          </cell>
          <cell r="I494">
            <v>13774458.859999999</v>
          </cell>
          <cell r="J494">
            <v>9112371.2799999993</v>
          </cell>
          <cell r="K494">
            <v>0</v>
          </cell>
          <cell r="L494">
            <v>0</v>
          </cell>
          <cell r="M494">
            <v>9112371.2799999993</v>
          </cell>
          <cell r="T494">
            <v>8630</v>
          </cell>
          <cell r="U494">
            <v>0</v>
          </cell>
        </row>
        <row r="495">
          <cell r="D495">
            <v>8600</v>
          </cell>
          <cell r="E495" t="str">
            <v>一般风险准备增减变动</v>
          </cell>
          <cell r="F495">
            <v>0</v>
          </cell>
          <cell r="G495">
            <v>0</v>
          </cell>
          <cell r="H495">
            <v>0</v>
          </cell>
          <cell r="I495">
            <v>0</v>
          </cell>
          <cell r="J495">
            <v>0</v>
          </cell>
          <cell r="K495">
            <v>0</v>
          </cell>
          <cell r="L495">
            <v>0</v>
          </cell>
          <cell r="M495">
            <v>0</v>
          </cell>
          <cell r="T495">
            <v>8640</v>
          </cell>
          <cell r="U495">
            <v>0</v>
          </cell>
        </row>
        <row r="496">
          <cell r="D496">
            <v>8601</v>
          </cell>
          <cell r="E496" t="str">
            <v>一般风险准备_上年年末余额</v>
          </cell>
          <cell r="F496">
            <v>0</v>
          </cell>
          <cell r="G496">
            <v>0</v>
          </cell>
          <cell r="H496">
            <v>0</v>
          </cell>
          <cell r="I496">
            <v>0</v>
          </cell>
          <cell r="J496">
            <v>0</v>
          </cell>
          <cell r="K496">
            <v>0</v>
          </cell>
          <cell r="L496">
            <v>0</v>
          </cell>
          <cell r="M496">
            <v>0</v>
          </cell>
          <cell r="T496">
            <v>8650</v>
          </cell>
          <cell r="U496">
            <v>0</v>
          </cell>
        </row>
        <row r="497">
          <cell r="D497">
            <v>8602</v>
          </cell>
          <cell r="E497" t="str">
            <v>一般风险准备_会计政策变更调整上年年末余额</v>
          </cell>
          <cell r="F497">
            <v>0</v>
          </cell>
          <cell r="G497">
            <v>0</v>
          </cell>
          <cell r="H497">
            <v>0</v>
          </cell>
          <cell r="I497">
            <v>0</v>
          </cell>
          <cell r="J497">
            <v>0</v>
          </cell>
          <cell r="K497">
            <v>0</v>
          </cell>
          <cell r="L497">
            <v>0</v>
          </cell>
          <cell r="M497">
            <v>0</v>
          </cell>
          <cell r="T497">
            <v>8651</v>
          </cell>
          <cell r="U497">
            <v>0</v>
          </cell>
        </row>
        <row r="498">
          <cell r="D498">
            <v>8603</v>
          </cell>
          <cell r="E498" t="str">
            <v>一般风险准备_前期差错更正调整上年年末余额</v>
          </cell>
          <cell r="F498">
            <v>0</v>
          </cell>
          <cell r="G498">
            <v>0</v>
          </cell>
          <cell r="H498">
            <v>0</v>
          </cell>
          <cell r="I498">
            <v>0</v>
          </cell>
          <cell r="J498">
            <v>0</v>
          </cell>
          <cell r="K498">
            <v>0</v>
          </cell>
          <cell r="L498">
            <v>0</v>
          </cell>
          <cell r="M498">
            <v>0</v>
          </cell>
          <cell r="T498">
            <v>8653</v>
          </cell>
          <cell r="U498">
            <v>0</v>
          </cell>
        </row>
        <row r="499">
          <cell r="D499">
            <v>8604</v>
          </cell>
          <cell r="E499" t="str">
            <v>一般风险准备_同一控制下企业合并调整上年年末余额</v>
          </cell>
          <cell r="F499">
            <v>0</v>
          </cell>
          <cell r="G499">
            <v>0</v>
          </cell>
          <cell r="H499">
            <v>0</v>
          </cell>
          <cell r="I499">
            <v>0</v>
          </cell>
          <cell r="J499">
            <v>0</v>
          </cell>
          <cell r="K499">
            <v>0</v>
          </cell>
          <cell r="L499">
            <v>0</v>
          </cell>
          <cell r="M499">
            <v>0</v>
          </cell>
          <cell r="T499">
            <v>8652</v>
          </cell>
          <cell r="U499">
            <v>0</v>
          </cell>
        </row>
        <row r="500">
          <cell r="D500">
            <v>8609</v>
          </cell>
          <cell r="E500" t="str">
            <v>一般风险准备_其他原因调整上年年末余额</v>
          </cell>
          <cell r="F500">
            <v>0</v>
          </cell>
          <cell r="G500">
            <v>0</v>
          </cell>
          <cell r="H500">
            <v>0</v>
          </cell>
          <cell r="I500">
            <v>0</v>
          </cell>
          <cell r="J500">
            <v>0</v>
          </cell>
          <cell r="K500">
            <v>0</v>
          </cell>
          <cell r="L500">
            <v>0</v>
          </cell>
          <cell r="M500">
            <v>0</v>
          </cell>
          <cell r="T500">
            <v>8656</v>
          </cell>
          <cell r="U500">
            <v>0</v>
          </cell>
        </row>
        <row r="501">
          <cell r="D501">
            <v>8610</v>
          </cell>
          <cell r="E501" t="str">
            <v>一般风险准备_本年年初余额</v>
          </cell>
          <cell r="F501">
            <v>0</v>
          </cell>
          <cell r="G501">
            <v>0</v>
          </cell>
          <cell r="H501">
            <v>0</v>
          </cell>
          <cell r="I501">
            <v>0</v>
          </cell>
          <cell r="J501">
            <v>0</v>
          </cell>
          <cell r="K501">
            <v>0</v>
          </cell>
          <cell r="L501">
            <v>0</v>
          </cell>
          <cell r="M501">
            <v>0</v>
          </cell>
          <cell r="T501">
            <v>8660</v>
          </cell>
          <cell r="U501">
            <v>0</v>
          </cell>
        </row>
        <row r="502">
          <cell r="D502">
            <v>8690</v>
          </cell>
          <cell r="E502" t="str">
            <v>一般风险准备_本期增减变动金额</v>
          </cell>
          <cell r="F502">
            <v>0</v>
          </cell>
          <cell r="G502">
            <v>0</v>
          </cell>
          <cell r="H502">
            <v>0</v>
          </cell>
          <cell r="I502">
            <v>0</v>
          </cell>
          <cell r="J502">
            <v>0</v>
          </cell>
          <cell r="K502">
            <v>0</v>
          </cell>
          <cell r="L502">
            <v>0</v>
          </cell>
          <cell r="M502">
            <v>0</v>
          </cell>
          <cell r="T502">
            <v>8661</v>
          </cell>
          <cell r="U502">
            <v>0</v>
          </cell>
        </row>
        <row r="503">
          <cell r="D503">
            <v>8621</v>
          </cell>
          <cell r="E503" t="str">
            <v>一般风险准备_净利润增加权益</v>
          </cell>
          <cell r="F503">
            <v>0</v>
          </cell>
          <cell r="G503">
            <v>0</v>
          </cell>
          <cell r="H503">
            <v>0</v>
          </cell>
          <cell r="I503">
            <v>0</v>
          </cell>
          <cell r="J503">
            <v>0</v>
          </cell>
          <cell r="K503">
            <v>0</v>
          </cell>
          <cell r="L503">
            <v>0</v>
          </cell>
          <cell r="M503">
            <v>0</v>
          </cell>
          <cell r="T503">
            <v>8662</v>
          </cell>
          <cell r="U503">
            <v>0</v>
          </cell>
        </row>
        <row r="504">
          <cell r="D504">
            <v>8630</v>
          </cell>
          <cell r="E504" t="str">
            <v>一般风险准备_其他综合收益增加权益</v>
          </cell>
          <cell r="F504">
            <v>0</v>
          </cell>
          <cell r="G504">
            <v>0</v>
          </cell>
          <cell r="H504">
            <v>0</v>
          </cell>
          <cell r="I504">
            <v>0</v>
          </cell>
          <cell r="J504">
            <v>0</v>
          </cell>
          <cell r="K504">
            <v>0</v>
          </cell>
          <cell r="L504">
            <v>0</v>
          </cell>
          <cell r="M504">
            <v>0</v>
          </cell>
          <cell r="T504">
            <v>8663</v>
          </cell>
          <cell r="U504">
            <v>0</v>
          </cell>
        </row>
        <row r="505">
          <cell r="D505">
            <v>8640</v>
          </cell>
          <cell r="E505" t="str">
            <v>一般风险准备_综合收益总额增加权益</v>
          </cell>
          <cell r="F505">
            <v>0</v>
          </cell>
          <cell r="G505">
            <v>0</v>
          </cell>
          <cell r="H505">
            <v>0</v>
          </cell>
          <cell r="I505">
            <v>0</v>
          </cell>
          <cell r="J505">
            <v>0</v>
          </cell>
          <cell r="K505">
            <v>0</v>
          </cell>
          <cell r="L505">
            <v>0</v>
          </cell>
          <cell r="M505">
            <v>0</v>
          </cell>
          <cell r="T505">
            <v>8666</v>
          </cell>
          <cell r="U505">
            <v>0</v>
          </cell>
        </row>
        <row r="506">
          <cell r="D506">
            <v>8650</v>
          </cell>
          <cell r="E506" t="str">
            <v>一般风险准备_所有者投入和减少资本影响权益</v>
          </cell>
          <cell r="F506">
            <v>0</v>
          </cell>
          <cell r="G506">
            <v>0</v>
          </cell>
          <cell r="H506">
            <v>0</v>
          </cell>
          <cell r="I506">
            <v>0</v>
          </cell>
          <cell r="J506">
            <v>0</v>
          </cell>
          <cell r="K506">
            <v>0</v>
          </cell>
          <cell r="L506">
            <v>0</v>
          </cell>
          <cell r="M506">
            <v>0</v>
          </cell>
          <cell r="T506">
            <v>8670</v>
          </cell>
          <cell r="U506">
            <v>0</v>
          </cell>
        </row>
        <row r="507">
          <cell r="D507">
            <v>8651</v>
          </cell>
          <cell r="E507" t="str">
            <v>一般风险准备_所有者投入资本增加权益</v>
          </cell>
          <cell r="F507">
            <v>0</v>
          </cell>
          <cell r="G507">
            <v>0</v>
          </cell>
          <cell r="H507">
            <v>0</v>
          </cell>
          <cell r="I507">
            <v>0</v>
          </cell>
          <cell r="J507">
            <v>0</v>
          </cell>
          <cell r="K507">
            <v>0</v>
          </cell>
          <cell r="L507">
            <v>0</v>
          </cell>
          <cell r="M507">
            <v>0</v>
          </cell>
          <cell r="T507">
            <v>8671</v>
          </cell>
          <cell r="U507">
            <v>0</v>
          </cell>
        </row>
        <row r="508">
          <cell r="D508">
            <v>8653</v>
          </cell>
          <cell r="E508" t="str">
            <v>一般风险准备_其他权益工具持有者投入资本</v>
          </cell>
          <cell r="F508">
            <v>0</v>
          </cell>
          <cell r="G508">
            <v>0</v>
          </cell>
          <cell r="H508">
            <v>0</v>
          </cell>
          <cell r="I508">
            <v>0</v>
          </cell>
          <cell r="J508">
            <v>0</v>
          </cell>
          <cell r="K508">
            <v>0</v>
          </cell>
          <cell r="L508">
            <v>0</v>
          </cell>
          <cell r="M508">
            <v>0</v>
          </cell>
          <cell r="T508">
            <v>8672</v>
          </cell>
          <cell r="U508">
            <v>0</v>
          </cell>
        </row>
        <row r="509">
          <cell r="D509">
            <v>8652</v>
          </cell>
          <cell r="E509" t="str">
            <v>一般风险准备_股份支付计入所有者权益的金额</v>
          </cell>
          <cell r="F509">
            <v>0</v>
          </cell>
          <cell r="G509">
            <v>0</v>
          </cell>
          <cell r="H509">
            <v>0</v>
          </cell>
          <cell r="I509">
            <v>0</v>
          </cell>
          <cell r="J509">
            <v>0</v>
          </cell>
          <cell r="K509">
            <v>0</v>
          </cell>
          <cell r="L509">
            <v>0</v>
          </cell>
          <cell r="M509">
            <v>0</v>
          </cell>
          <cell r="T509">
            <v>8673</v>
          </cell>
          <cell r="U509">
            <v>0</v>
          </cell>
        </row>
        <row r="510">
          <cell r="D510">
            <v>8656</v>
          </cell>
          <cell r="E510" t="str">
            <v>一般风险准备_所有者其他投入和减少资本</v>
          </cell>
          <cell r="F510">
            <v>0</v>
          </cell>
          <cell r="G510">
            <v>0</v>
          </cell>
          <cell r="H510">
            <v>0</v>
          </cell>
          <cell r="I510">
            <v>0</v>
          </cell>
          <cell r="J510">
            <v>0</v>
          </cell>
          <cell r="K510">
            <v>0</v>
          </cell>
          <cell r="L510">
            <v>0</v>
          </cell>
          <cell r="M510">
            <v>0</v>
          </cell>
          <cell r="T510">
            <v>8675</v>
          </cell>
          <cell r="U510">
            <v>0</v>
          </cell>
        </row>
        <row r="511">
          <cell r="D511">
            <v>8660</v>
          </cell>
          <cell r="E511" t="str">
            <v>一般风险准备_利润分配影响权益</v>
          </cell>
          <cell r="F511">
            <v>0</v>
          </cell>
          <cell r="G511">
            <v>0</v>
          </cell>
          <cell r="H511">
            <v>0</v>
          </cell>
          <cell r="I511">
            <v>0</v>
          </cell>
          <cell r="J511">
            <v>0</v>
          </cell>
          <cell r="K511">
            <v>0</v>
          </cell>
          <cell r="L511">
            <v>0</v>
          </cell>
          <cell r="M511">
            <v>0</v>
          </cell>
          <cell r="T511">
            <v>8676</v>
          </cell>
          <cell r="U511">
            <v>0</v>
          </cell>
        </row>
        <row r="512">
          <cell r="D512">
            <v>8661</v>
          </cell>
          <cell r="E512" t="str">
            <v>一般风险准备_提取盈余公积影响权益</v>
          </cell>
          <cell r="F512">
            <v>0</v>
          </cell>
          <cell r="G512">
            <v>0</v>
          </cell>
          <cell r="H512">
            <v>0</v>
          </cell>
          <cell r="I512">
            <v>0</v>
          </cell>
          <cell r="J512">
            <v>0</v>
          </cell>
          <cell r="K512">
            <v>0</v>
          </cell>
          <cell r="L512">
            <v>0</v>
          </cell>
          <cell r="M512">
            <v>0</v>
          </cell>
          <cell r="T512">
            <v>8680</v>
          </cell>
          <cell r="U512">
            <v>0</v>
          </cell>
        </row>
        <row r="513">
          <cell r="D513">
            <v>8662</v>
          </cell>
          <cell r="E513" t="str">
            <v>一般风险准备_提取</v>
          </cell>
          <cell r="F513">
            <v>0</v>
          </cell>
          <cell r="G513">
            <v>0</v>
          </cell>
          <cell r="H513">
            <v>0</v>
          </cell>
          <cell r="I513">
            <v>0</v>
          </cell>
          <cell r="J513">
            <v>0</v>
          </cell>
          <cell r="K513">
            <v>0</v>
          </cell>
          <cell r="L513">
            <v>0</v>
          </cell>
          <cell r="M513">
            <v>0</v>
          </cell>
          <cell r="T513">
            <v>8681</v>
          </cell>
          <cell r="U513">
            <v>0</v>
          </cell>
        </row>
        <row r="514">
          <cell r="D514">
            <v>8663</v>
          </cell>
          <cell r="E514" t="str">
            <v>一般风险准备_对所有者的分配影响权益</v>
          </cell>
          <cell r="F514">
            <v>0</v>
          </cell>
          <cell r="G514">
            <v>0</v>
          </cell>
          <cell r="H514">
            <v>0</v>
          </cell>
          <cell r="I514">
            <v>0</v>
          </cell>
          <cell r="J514">
            <v>0</v>
          </cell>
          <cell r="K514">
            <v>0</v>
          </cell>
          <cell r="L514">
            <v>0</v>
          </cell>
          <cell r="M514">
            <v>0</v>
          </cell>
          <cell r="T514">
            <v>8682</v>
          </cell>
          <cell r="U514">
            <v>0</v>
          </cell>
        </row>
        <row r="515">
          <cell r="D515">
            <v>8666</v>
          </cell>
          <cell r="E515" t="str">
            <v>一般风险准备_其他利润分配</v>
          </cell>
          <cell r="F515">
            <v>0</v>
          </cell>
          <cell r="G515">
            <v>0</v>
          </cell>
          <cell r="H515">
            <v>0</v>
          </cell>
          <cell r="I515">
            <v>0</v>
          </cell>
          <cell r="J515">
            <v>0</v>
          </cell>
          <cell r="K515">
            <v>0</v>
          </cell>
          <cell r="L515">
            <v>0</v>
          </cell>
          <cell r="M515">
            <v>0</v>
          </cell>
          <cell r="T515">
            <v>8696</v>
          </cell>
          <cell r="U515">
            <v>0</v>
          </cell>
        </row>
        <row r="516">
          <cell r="D516">
            <v>8670</v>
          </cell>
          <cell r="E516" t="str">
            <v>一般风险准备_所有者权益内部结转</v>
          </cell>
          <cell r="F516">
            <v>0</v>
          </cell>
          <cell r="G516">
            <v>0</v>
          </cell>
          <cell r="H516">
            <v>0</v>
          </cell>
          <cell r="I516">
            <v>0</v>
          </cell>
          <cell r="J516">
            <v>0</v>
          </cell>
          <cell r="K516">
            <v>0</v>
          </cell>
          <cell r="L516">
            <v>0</v>
          </cell>
          <cell r="M516">
            <v>0</v>
          </cell>
          <cell r="T516">
            <v>8699</v>
          </cell>
          <cell r="U516">
            <v>0</v>
          </cell>
        </row>
        <row r="517">
          <cell r="D517">
            <v>8671</v>
          </cell>
          <cell r="E517" t="str">
            <v>一般风险准备_资本公积转增资本影响权益</v>
          </cell>
          <cell r="F517">
            <v>0</v>
          </cell>
          <cell r="G517">
            <v>0</v>
          </cell>
          <cell r="H517">
            <v>0</v>
          </cell>
          <cell r="I517">
            <v>0</v>
          </cell>
          <cell r="J517">
            <v>0</v>
          </cell>
          <cell r="K517">
            <v>0</v>
          </cell>
          <cell r="L517">
            <v>0</v>
          </cell>
          <cell r="M517">
            <v>0</v>
          </cell>
          <cell r="T517">
            <v>8700</v>
          </cell>
          <cell r="U517">
            <v>0</v>
          </cell>
        </row>
        <row r="518">
          <cell r="D518">
            <v>8672</v>
          </cell>
          <cell r="E518" t="str">
            <v>一般风险准备_盈余公积转增资本影响权益</v>
          </cell>
          <cell r="F518">
            <v>0</v>
          </cell>
          <cell r="G518">
            <v>0</v>
          </cell>
          <cell r="H518">
            <v>0</v>
          </cell>
          <cell r="I518">
            <v>0</v>
          </cell>
          <cell r="J518">
            <v>0</v>
          </cell>
          <cell r="K518">
            <v>0</v>
          </cell>
          <cell r="L518">
            <v>0</v>
          </cell>
          <cell r="M518">
            <v>0</v>
          </cell>
          <cell r="T518">
            <v>8701</v>
          </cell>
          <cell r="U518">
            <v>-10256775.470000001</v>
          </cell>
        </row>
        <row r="519">
          <cell r="D519">
            <v>8673</v>
          </cell>
          <cell r="E519" t="str">
            <v>一般风险准备_盈余公积弥补亏损影响权益</v>
          </cell>
          <cell r="F519">
            <v>0</v>
          </cell>
          <cell r="G519">
            <v>0</v>
          </cell>
          <cell r="H519">
            <v>0</v>
          </cell>
          <cell r="I519">
            <v>0</v>
          </cell>
          <cell r="J519">
            <v>0</v>
          </cell>
          <cell r="K519">
            <v>0</v>
          </cell>
          <cell r="L519">
            <v>0</v>
          </cell>
          <cell r="M519">
            <v>0</v>
          </cell>
          <cell r="T519">
            <v>8702</v>
          </cell>
          <cell r="U519">
            <v>0</v>
          </cell>
        </row>
        <row r="520">
          <cell r="D520">
            <v>8675</v>
          </cell>
          <cell r="E520" t="str">
            <v>一般风险准备_设定受益计划变动额结转留存收益</v>
          </cell>
          <cell r="F520">
            <v>0</v>
          </cell>
          <cell r="G520">
            <v>0</v>
          </cell>
          <cell r="H520">
            <v>0</v>
          </cell>
          <cell r="I520">
            <v>0</v>
          </cell>
          <cell r="J520">
            <v>0</v>
          </cell>
          <cell r="K520">
            <v>0</v>
          </cell>
          <cell r="L520">
            <v>0</v>
          </cell>
          <cell r="M520">
            <v>0</v>
          </cell>
          <cell r="T520">
            <v>8703</v>
          </cell>
          <cell r="U520">
            <v>0</v>
          </cell>
        </row>
        <row r="521">
          <cell r="D521">
            <v>8676</v>
          </cell>
          <cell r="E521" t="str">
            <v>一般风险准备_所有者权益其他内部结转</v>
          </cell>
          <cell r="F521">
            <v>0</v>
          </cell>
          <cell r="G521">
            <v>0</v>
          </cell>
          <cell r="H521">
            <v>0</v>
          </cell>
          <cell r="I521">
            <v>0</v>
          </cell>
          <cell r="J521">
            <v>0</v>
          </cell>
          <cell r="K521">
            <v>0</v>
          </cell>
          <cell r="L521">
            <v>0</v>
          </cell>
          <cell r="M521">
            <v>0</v>
          </cell>
          <cell r="T521">
            <v>8704</v>
          </cell>
          <cell r="U521">
            <v>0</v>
          </cell>
        </row>
        <row r="522">
          <cell r="D522">
            <v>8680</v>
          </cell>
          <cell r="E522" t="str">
            <v>一般风险准备_专项储备影响权益</v>
          </cell>
          <cell r="F522">
            <v>0</v>
          </cell>
          <cell r="G522">
            <v>0</v>
          </cell>
          <cell r="H522">
            <v>0</v>
          </cell>
          <cell r="I522">
            <v>0</v>
          </cell>
          <cell r="J522">
            <v>0</v>
          </cell>
          <cell r="K522">
            <v>0</v>
          </cell>
          <cell r="L522">
            <v>0</v>
          </cell>
          <cell r="M522">
            <v>0</v>
          </cell>
          <cell r="T522">
            <v>8709</v>
          </cell>
          <cell r="U522">
            <v>0</v>
          </cell>
        </row>
        <row r="523">
          <cell r="D523">
            <v>8681</v>
          </cell>
          <cell r="E523" t="str">
            <v>一般风险准备_专项储备本期提取</v>
          </cell>
          <cell r="F523">
            <v>0</v>
          </cell>
          <cell r="G523">
            <v>0</v>
          </cell>
          <cell r="H523">
            <v>0</v>
          </cell>
          <cell r="I523">
            <v>0</v>
          </cell>
          <cell r="J523">
            <v>0</v>
          </cell>
          <cell r="K523">
            <v>0</v>
          </cell>
          <cell r="L523">
            <v>0</v>
          </cell>
          <cell r="M523">
            <v>0</v>
          </cell>
          <cell r="T523">
            <v>8710</v>
          </cell>
          <cell r="U523">
            <v>-10256775.470000001</v>
          </cell>
        </row>
        <row r="524">
          <cell r="D524">
            <v>8682</v>
          </cell>
          <cell r="E524" t="str">
            <v>一般风险准备_专项储备本期使用</v>
          </cell>
          <cell r="F524">
            <v>0</v>
          </cell>
          <cell r="G524">
            <v>0</v>
          </cell>
          <cell r="H524">
            <v>0</v>
          </cell>
          <cell r="I524">
            <v>0</v>
          </cell>
          <cell r="J524">
            <v>0</v>
          </cell>
          <cell r="K524">
            <v>0</v>
          </cell>
          <cell r="L524">
            <v>0</v>
          </cell>
          <cell r="M524">
            <v>0</v>
          </cell>
          <cell r="T524">
            <v>8790</v>
          </cell>
          <cell r="U524">
            <v>8183920.0800000001</v>
          </cell>
        </row>
        <row r="525">
          <cell r="D525">
            <v>8696</v>
          </cell>
          <cell r="E525" t="str">
            <v>一般风险准备_本期其他增减变动</v>
          </cell>
          <cell r="F525">
            <v>0</v>
          </cell>
          <cell r="G525">
            <v>0</v>
          </cell>
          <cell r="H525">
            <v>0</v>
          </cell>
          <cell r="I525">
            <v>0</v>
          </cell>
          <cell r="J525">
            <v>0</v>
          </cell>
          <cell r="K525">
            <v>0</v>
          </cell>
          <cell r="L525">
            <v>0</v>
          </cell>
          <cell r="M525">
            <v>0</v>
          </cell>
          <cell r="T525">
            <v>8721</v>
          </cell>
          <cell r="U525">
            <v>9093244.5299999993</v>
          </cell>
        </row>
        <row r="526">
          <cell r="D526">
            <v>8699</v>
          </cell>
          <cell r="E526" t="str">
            <v>一般风险准备_本期期末余额</v>
          </cell>
          <cell r="F526">
            <v>0</v>
          </cell>
          <cell r="G526">
            <v>0</v>
          </cell>
          <cell r="H526">
            <v>0</v>
          </cell>
          <cell r="I526">
            <v>0</v>
          </cell>
          <cell r="J526">
            <v>0</v>
          </cell>
          <cell r="K526">
            <v>0</v>
          </cell>
          <cell r="L526">
            <v>0</v>
          </cell>
          <cell r="M526">
            <v>0</v>
          </cell>
          <cell r="T526">
            <v>8730</v>
          </cell>
        </row>
        <row r="527">
          <cell r="D527">
            <v>8700</v>
          </cell>
          <cell r="E527" t="str">
            <v>未分配利润增减变动</v>
          </cell>
          <cell r="F527">
            <v>0</v>
          </cell>
          <cell r="G527">
            <v>0</v>
          </cell>
          <cell r="H527">
            <v>0</v>
          </cell>
          <cell r="I527">
            <v>0</v>
          </cell>
          <cell r="J527">
            <v>0</v>
          </cell>
          <cell r="K527">
            <v>0</v>
          </cell>
          <cell r="L527">
            <v>0</v>
          </cell>
          <cell r="M527">
            <v>0</v>
          </cell>
          <cell r="T527">
            <v>8740</v>
          </cell>
          <cell r="U527">
            <v>9093244.5299999993</v>
          </cell>
        </row>
        <row r="528">
          <cell r="D528">
            <v>8701</v>
          </cell>
          <cell r="E528" t="str">
            <v>未分配利润_上年年末余额</v>
          </cell>
          <cell r="F528">
            <v>106903960.44</v>
          </cell>
          <cell r="G528">
            <v>24459272.120000001</v>
          </cell>
          <cell r="H528">
            <v>-84517543.709999993</v>
          </cell>
          <cell r="I528">
            <v>-2072855.39</v>
          </cell>
          <cell r="J528">
            <v>-10256775.470000001</v>
          </cell>
          <cell r="K528">
            <v>0</v>
          </cell>
          <cell r="L528">
            <v>0</v>
          </cell>
          <cell r="M528">
            <v>-10256775.470000001</v>
          </cell>
          <cell r="T528">
            <v>8750</v>
          </cell>
          <cell r="U528">
            <v>0</v>
          </cell>
        </row>
        <row r="529">
          <cell r="D529">
            <v>8702</v>
          </cell>
          <cell r="E529" t="str">
            <v>未分配利润_会计政策变更调整上年年末余额</v>
          </cell>
          <cell r="F529">
            <v>0</v>
          </cell>
          <cell r="G529">
            <v>0</v>
          </cell>
          <cell r="H529">
            <v>0</v>
          </cell>
          <cell r="I529">
            <v>0</v>
          </cell>
          <cell r="J529">
            <v>0</v>
          </cell>
          <cell r="K529">
            <v>0</v>
          </cell>
          <cell r="L529">
            <v>0</v>
          </cell>
          <cell r="M529">
            <v>0</v>
          </cell>
          <cell r="T529">
            <v>8751</v>
          </cell>
          <cell r="U529">
            <v>0</v>
          </cell>
        </row>
        <row r="530">
          <cell r="D530">
            <v>8703</v>
          </cell>
          <cell r="E530" t="str">
            <v>未分配利润_前期差错更正调整上年年末余额</v>
          </cell>
          <cell r="F530">
            <v>-7239397.5599999996</v>
          </cell>
          <cell r="G530">
            <v>-7239397.5599999996</v>
          </cell>
          <cell r="H530">
            <v>0</v>
          </cell>
          <cell r="I530">
            <v>0</v>
          </cell>
          <cell r="J530">
            <v>0</v>
          </cell>
          <cell r="K530">
            <v>0</v>
          </cell>
          <cell r="L530">
            <v>0</v>
          </cell>
          <cell r="M530">
            <v>0</v>
          </cell>
          <cell r="T530">
            <v>8753</v>
          </cell>
          <cell r="U530">
            <v>0</v>
          </cell>
        </row>
        <row r="531">
          <cell r="D531">
            <v>8704</v>
          </cell>
          <cell r="E531" t="str">
            <v>未分配利润_同一控制下企业合并调整上年年末余额</v>
          </cell>
          <cell r="F531">
            <v>0</v>
          </cell>
          <cell r="G531">
            <v>0</v>
          </cell>
          <cell r="H531">
            <v>0</v>
          </cell>
          <cell r="I531">
            <v>0</v>
          </cell>
          <cell r="J531">
            <v>0</v>
          </cell>
          <cell r="K531">
            <v>0</v>
          </cell>
          <cell r="L531">
            <v>0</v>
          </cell>
          <cell r="M531">
            <v>0</v>
          </cell>
          <cell r="T531">
            <v>8752</v>
          </cell>
          <cell r="U531">
            <v>0</v>
          </cell>
        </row>
        <row r="532">
          <cell r="D532">
            <v>8709</v>
          </cell>
          <cell r="E532" t="str">
            <v>未分配利润_其他原因调整上年年末余额</v>
          </cell>
          <cell r="F532">
            <v>0</v>
          </cell>
          <cell r="G532">
            <v>0</v>
          </cell>
          <cell r="H532">
            <v>0</v>
          </cell>
          <cell r="I532">
            <v>0</v>
          </cell>
          <cell r="J532">
            <v>0</v>
          </cell>
          <cell r="K532">
            <v>0</v>
          </cell>
          <cell r="L532">
            <v>0</v>
          </cell>
          <cell r="M532">
            <v>0</v>
          </cell>
          <cell r="T532">
            <v>8756</v>
          </cell>
          <cell r="U532">
            <v>0</v>
          </cell>
        </row>
        <row r="533">
          <cell r="D533">
            <v>8710</v>
          </cell>
          <cell r="E533" t="str">
            <v>未分配利润_本年年初余额</v>
          </cell>
          <cell r="F533">
            <v>99664562.879999995</v>
          </cell>
          <cell r="G533">
            <v>17219874.559999999</v>
          </cell>
          <cell r="H533">
            <v>-84517543.709999993</v>
          </cell>
          <cell r="I533">
            <v>-2072855.39</v>
          </cell>
          <cell r="J533">
            <v>-10256775.470000001</v>
          </cell>
          <cell r="K533">
            <v>0</v>
          </cell>
          <cell r="L533">
            <v>0</v>
          </cell>
          <cell r="M533">
            <v>-10256775.470000001</v>
          </cell>
          <cell r="T533">
            <v>8760</v>
          </cell>
          <cell r="U533">
            <v>-909324.45</v>
          </cell>
        </row>
        <row r="534">
          <cell r="D534">
            <v>8790</v>
          </cell>
          <cell r="E534" t="str">
            <v>未分配利润_本期增减变动金额</v>
          </cell>
          <cell r="F534">
            <v>41500779.109999999</v>
          </cell>
          <cell r="G534">
            <v>59900058.200000003</v>
          </cell>
          <cell r="H534">
            <v>60358067.340000004</v>
          </cell>
          <cell r="I534">
            <v>41958788.25</v>
          </cell>
          <cell r="J534">
            <v>8183920.0800000001</v>
          </cell>
          <cell r="K534">
            <v>0</v>
          </cell>
          <cell r="L534">
            <v>0</v>
          </cell>
          <cell r="M534">
            <v>8183920.0800000001</v>
          </cell>
          <cell r="T534">
            <v>8761</v>
          </cell>
          <cell r="U534">
            <v>-909324.45</v>
          </cell>
        </row>
        <row r="535">
          <cell r="D535">
            <v>8721</v>
          </cell>
          <cell r="E535" t="str">
            <v>未分配利润_净利润增加权益</v>
          </cell>
          <cell r="F535">
            <v>41500779.109999999</v>
          </cell>
          <cell r="G535">
            <v>55237970.619999997</v>
          </cell>
          <cell r="H535">
            <v>60358067.340000004</v>
          </cell>
          <cell r="I535">
            <v>46620875.829999998</v>
          </cell>
          <cell r="J535">
            <v>9093244.5299999993</v>
          </cell>
          <cell r="K535">
            <v>0</v>
          </cell>
          <cell r="L535">
            <v>0</v>
          </cell>
          <cell r="M535">
            <v>9093244.5299999993</v>
          </cell>
          <cell r="T535">
            <v>8762</v>
          </cell>
          <cell r="U535">
            <v>0</v>
          </cell>
        </row>
        <row r="536">
          <cell r="D536">
            <v>8730</v>
          </cell>
          <cell r="E536" t="str">
            <v>未分配利润_其他综合收益增加权益</v>
          </cell>
          <cell r="T536">
            <v>8763</v>
          </cell>
          <cell r="U536">
            <v>0</v>
          </cell>
        </row>
        <row r="537">
          <cell r="D537">
            <v>8740</v>
          </cell>
          <cell r="E537" t="str">
            <v>未分配利润_综合收益总额增加权益</v>
          </cell>
          <cell r="F537">
            <v>41500779.109999999</v>
          </cell>
          <cell r="G537">
            <v>55237970.619999997</v>
          </cell>
          <cell r="H537">
            <v>60358067.340000004</v>
          </cell>
          <cell r="I537">
            <v>46620875.829999998</v>
          </cell>
          <cell r="J537">
            <v>9093244.5299999993</v>
          </cell>
          <cell r="K537">
            <v>0</v>
          </cell>
          <cell r="L537">
            <v>0</v>
          </cell>
          <cell r="M537">
            <v>9093244.5299999993</v>
          </cell>
          <cell r="T537">
            <v>8766</v>
          </cell>
          <cell r="U537">
            <v>0</v>
          </cell>
        </row>
        <row r="538">
          <cell r="D538">
            <v>8750</v>
          </cell>
          <cell r="E538" t="str">
            <v>未分配利润_所有者投入和减少资本影响权益</v>
          </cell>
          <cell r="F538">
            <v>0</v>
          </cell>
          <cell r="G538">
            <v>0</v>
          </cell>
          <cell r="H538">
            <v>0</v>
          </cell>
          <cell r="I538">
            <v>0</v>
          </cell>
          <cell r="J538">
            <v>0</v>
          </cell>
          <cell r="K538">
            <v>0</v>
          </cell>
          <cell r="L538">
            <v>0</v>
          </cell>
          <cell r="M538">
            <v>0</v>
          </cell>
          <cell r="T538">
            <v>8770</v>
          </cell>
          <cell r="U538">
            <v>0</v>
          </cell>
        </row>
        <row r="539">
          <cell r="D539">
            <v>8751</v>
          </cell>
          <cell r="E539" t="str">
            <v>未分配利润_所有者投入资本增加权益</v>
          </cell>
          <cell r="F539">
            <v>0</v>
          </cell>
          <cell r="G539">
            <v>0</v>
          </cell>
          <cell r="H539">
            <v>0</v>
          </cell>
          <cell r="I539">
            <v>0</v>
          </cell>
          <cell r="J539">
            <v>0</v>
          </cell>
          <cell r="K539">
            <v>0</v>
          </cell>
          <cell r="L539">
            <v>0</v>
          </cell>
          <cell r="M539">
            <v>0</v>
          </cell>
          <cell r="T539">
            <v>8771</v>
          </cell>
          <cell r="U539">
            <v>0</v>
          </cell>
        </row>
        <row r="540">
          <cell r="D540">
            <v>8753</v>
          </cell>
          <cell r="E540" t="str">
            <v>未分配利润_其他权益工具持有者投入资本</v>
          </cell>
          <cell r="F540">
            <v>0</v>
          </cell>
          <cell r="G540">
            <v>0</v>
          </cell>
          <cell r="H540">
            <v>0</v>
          </cell>
          <cell r="I540">
            <v>0</v>
          </cell>
          <cell r="J540">
            <v>0</v>
          </cell>
          <cell r="K540">
            <v>0</v>
          </cell>
          <cell r="L540">
            <v>0</v>
          </cell>
          <cell r="M540">
            <v>0</v>
          </cell>
          <cell r="T540">
            <v>8772</v>
          </cell>
          <cell r="U540">
            <v>0</v>
          </cell>
        </row>
        <row r="541">
          <cell r="D541">
            <v>8752</v>
          </cell>
          <cell r="E541" t="str">
            <v>未分配利润_股份支付计入所有者权益的金额</v>
          </cell>
          <cell r="F541">
            <v>0</v>
          </cell>
          <cell r="G541">
            <v>0</v>
          </cell>
          <cell r="H541">
            <v>0</v>
          </cell>
          <cell r="I541">
            <v>0</v>
          </cell>
          <cell r="J541">
            <v>0</v>
          </cell>
          <cell r="K541">
            <v>0</v>
          </cell>
          <cell r="L541">
            <v>0</v>
          </cell>
          <cell r="M541">
            <v>0</v>
          </cell>
          <cell r="T541">
            <v>8773</v>
          </cell>
          <cell r="U541">
            <v>0</v>
          </cell>
        </row>
        <row r="542">
          <cell r="D542">
            <v>8756</v>
          </cell>
          <cell r="E542" t="str">
            <v>未分配利润_所有者其他投入和减少资本</v>
          </cell>
          <cell r="F542">
            <v>0</v>
          </cell>
          <cell r="G542">
            <v>0</v>
          </cell>
          <cell r="H542">
            <v>0</v>
          </cell>
          <cell r="I542">
            <v>0</v>
          </cell>
          <cell r="J542">
            <v>0</v>
          </cell>
          <cell r="K542">
            <v>0</v>
          </cell>
          <cell r="L542">
            <v>0</v>
          </cell>
          <cell r="M542">
            <v>0</v>
          </cell>
          <cell r="T542">
            <v>8775</v>
          </cell>
          <cell r="U542">
            <v>0</v>
          </cell>
        </row>
        <row r="543">
          <cell r="D543">
            <v>8760</v>
          </cell>
          <cell r="E543" t="str">
            <v>未分配利润_利润分配影响权益</v>
          </cell>
          <cell r="F543">
            <v>0</v>
          </cell>
          <cell r="G543">
            <v>4662087.58</v>
          </cell>
          <cell r="H543">
            <v>0</v>
          </cell>
          <cell r="I543">
            <v>-4662087.58</v>
          </cell>
          <cell r="J543">
            <v>-909324.45</v>
          </cell>
          <cell r="K543">
            <v>0</v>
          </cell>
          <cell r="L543">
            <v>0</v>
          </cell>
          <cell r="M543">
            <v>-909324.45</v>
          </cell>
          <cell r="T543">
            <v>8776</v>
          </cell>
          <cell r="U543">
            <v>0</v>
          </cell>
        </row>
        <row r="544">
          <cell r="D544">
            <v>8761</v>
          </cell>
          <cell r="E544" t="str">
            <v>未分配利润_提取盈余公积</v>
          </cell>
          <cell r="F544">
            <v>0</v>
          </cell>
          <cell r="G544">
            <v>4662087.58</v>
          </cell>
          <cell r="H544">
            <v>0</v>
          </cell>
          <cell r="I544">
            <v>-4662087.58</v>
          </cell>
          <cell r="J544">
            <v>-909324.45</v>
          </cell>
          <cell r="K544">
            <v>0</v>
          </cell>
          <cell r="L544">
            <v>0</v>
          </cell>
          <cell r="M544">
            <v>-909324.45</v>
          </cell>
          <cell r="T544">
            <v>8780</v>
          </cell>
          <cell r="U544">
            <v>0</v>
          </cell>
        </row>
        <row r="545">
          <cell r="D545">
            <v>8762</v>
          </cell>
          <cell r="E545" t="str">
            <v>未分配利润_提取一般风险准备</v>
          </cell>
          <cell r="F545">
            <v>0</v>
          </cell>
          <cell r="G545">
            <v>0</v>
          </cell>
          <cell r="H545">
            <v>0</v>
          </cell>
          <cell r="I545">
            <v>0</v>
          </cell>
          <cell r="J545">
            <v>0</v>
          </cell>
          <cell r="K545">
            <v>0</v>
          </cell>
          <cell r="L545">
            <v>0</v>
          </cell>
          <cell r="M545">
            <v>0</v>
          </cell>
          <cell r="T545">
            <v>8781</v>
          </cell>
          <cell r="U545">
            <v>0</v>
          </cell>
        </row>
        <row r="546">
          <cell r="D546">
            <v>8763</v>
          </cell>
          <cell r="E546" t="str">
            <v>未分配利润_对所有者的分配</v>
          </cell>
          <cell r="F546">
            <v>0</v>
          </cell>
          <cell r="G546">
            <v>0</v>
          </cell>
          <cell r="H546">
            <v>0</v>
          </cell>
          <cell r="I546">
            <v>0</v>
          </cell>
          <cell r="J546">
            <v>0</v>
          </cell>
          <cell r="K546">
            <v>0</v>
          </cell>
          <cell r="L546">
            <v>0</v>
          </cell>
          <cell r="M546">
            <v>0</v>
          </cell>
          <cell r="T546">
            <v>8782</v>
          </cell>
          <cell r="U546">
            <v>0</v>
          </cell>
        </row>
        <row r="547">
          <cell r="D547">
            <v>8766</v>
          </cell>
          <cell r="E547" t="str">
            <v>未分配利润_其他利润分配</v>
          </cell>
          <cell r="F547">
            <v>0</v>
          </cell>
          <cell r="G547">
            <v>0</v>
          </cell>
          <cell r="H547">
            <v>0</v>
          </cell>
          <cell r="I547">
            <v>0</v>
          </cell>
          <cell r="J547">
            <v>0</v>
          </cell>
          <cell r="K547">
            <v>0</v>
          </cell>
          <cell r="L547">
            <v>0</v>
          </cell>
          <cell r="M547">
            <v>0</v>
          </cell>
          <cell r="T547">
            <v>8796</v>
          </cell>
          <cell r="U547">
            <v>0</v>
          </cell>
        </row>
        <row r="548">
          <cell r="D548">
            <v>8770</v>
          </cell>
          <cell r="E548" t="str">
            <v>未分配利润_所有者权益内部结转</v>
          </cell>
          <cell r="F548">
            <v>0</v>
          </cell>
          <cell r="G548">
            <v>0</v>
          </cell>
          <cell r="H548">
            <v>0</v>
          </cell>
          <cell r="I548">
            <v>0</v>
          </cell>
          <cell r="J548">
            <v>0</v>
          </cell>
          <cell r="K548">
            <v>0</v>
          </cell>
          <cell r="L548">
            <v>0</v>
          </cell>
          <cell r="M548">
            <v>0</v>
          </cell>
          <cell r="T548">
            <v>8799</v>
          </cell>
          <cell r="U548">
            <v>-2072855.39</v>
          </cell>
        </row>
        <row r="549">
          <cell r="D549">
            <v>8771</v>
          </cell>
          <cell r="E549" t="str">
            <v>未分配利润_资本公积转增资本影响权益</v>
          </cell>
          <cell r="F549">
            <v>0</v>
          </cell>
          <cell r="G549">
            <v>0</v>
          </cell>
          <cell r="H549">
            <v>0</v>
          </cell>
          <cell r="I549">
            <v>0</v>
          </cell>
          <cell r="J549">
            <v>0</v>
          </cell>
          <cell r="K549">
            <v>0</v>
          </cell>
          <cell r="L549">
            <v>0</v>
          </cell>
          <cell r="M549">
            <v>0</v>
          </cell>
          <cell r="T549">
            <v>8800</v>
          </cell>
          <cell r="U549">
            <v>0</v>
          </cell>
        </row>
        <row r="550">
          <cell r="D550">
            <v>8772</v>
          </cell>
          <cell r="E550" t="str">
            <v>未分配利润_盈余公积转增资本影响权益</v>
          </cell>
          <cell r="F550">
            <v>0</v>
          </cell>
          <cell r="G550">
            <v>0</v>
          </cell>
          <cell r="H550">
            <v>0</v>
          </cell>
          <cell r="I550">
            <v>0</v>
          </cell>
          <cell r="J550">
            <v>0</v>
          </cell>
          <cell r="K550">
            <v>0</v>
          </cell>
          <cell r="L550">
            <v>0</v>
          </cell>
          <cell r="M550">
            <v>0</v>
          </cell>
          <cell r="T550">
            <v>8801</v>
          </cell>
          <cell r="U550">
            <v>0</v>
          </cell>
        </row>
        <row r="551">
          <cell r="D551">
            <v>8773</v>
          </cell>
          <cell r="E551" t="str">
            <v>未分配利润_盈余公积弥补亏损</v>
          </cell>
          <cell r="F551">
            <v>0</v>
          </cell>
          <cell r="G551">
            <v>0</v>
          </cell>
          <cell r="H551">
            <v>0</v>
          </cell>
          <cell r="I551">
            <v>0</v>
          </cell>
          <cell r="J551">
            <v>0</v>
          </cell>
          <cell r="K551">
            <v>0</v>
          </cell>
          <cell r="L551">
            <v>0</v>
          </cell>
          <cell r="M551">
            <v>0</v>
          </cell>
          <cell r="T551">
            <v>8802</v>
          </cell>
          <cell r="U551">
            <v>0</v>
          </cell>
        </row>
        <row r="552">
          <cell r="D552">
            <v>8775</v>
          </cell>
          <cell r="E552" t="str">
            <v>未分配利润_设定受益计划变动额结转留存收益</v>
          </cell>
          <cell r="F552">
            <v>0</v>
          </cell>
          <cell r="G552">
            <v>0</v>
          </cell>
          <cell r="H552">
            <v>0</v>
          </cell>
          <cell r="I552">
            <v>0</v>
          </cell>
          <cell r="J552">
            <v>0</v>
          </cell>
          <cell r="K552">
            <v>0</v>
          </cell>
          <cell r="L552">
            <v>0</v>
          </cell>
          <cell r="M552">
            <v>0</v>
          </cell>
          <cell r="T552">
            <v>8803</v>
          </cell>
          <cell r="U552">
            <v>0</v>
          </cell>
        </row>
        <row r="553">
          <cell r="D553">
            <v>8776</v>
          </cell>
          <cell r="E553" t="str">
            <v>未分配利润_所有者权益其他内部结转</v>
          </cell>
          <cell r="F553">
            <v>0</v>
          </cell>
          <cell r="G553">
            <v>0</v>
          </cell>
          <cell r="H553">
            <v>0</v>
          </cell>
          <cell r="I553">
            <v>0</v>
          </cell>
          <cell r="J553">
            <v>0</v>
          </cell>
          <cell r="K553">
            <v>0</v>
          </cell>
          <cell r="L553">
            <v>0</v>
          </cell>
          <cell r="M553">
            <v>0</v>
          </cell>
          <cell r="T553">
            <v>8804</v>
          </cell>
          <cell r="U553">
            <v>0</v>
          </cell>
        </row>
        <row r="554">
          <cell r="D554">
            <v>8780</v>
          </cell>
          <cell r="E554" t="str">
            <v>未分配利润_专项储备影响权益</v>
          </cell>
          <cell r="F554">
            <v>0</v>
          </cell>
          <cell r="G554">
            <v>0</v>
          </cell>
          <cell r="H554">
            <v>0</v>
          </cell>
          <cell r="I554">
            <v>0</v>
          </cell>
          <cell r="J554">
            <v>0</v>
          </cell>
          <cell r="K554">
            <v>0</v>
          </cell>
          <cell r="L554">
            <v>0</v>
          </cell>
          <cell r="M554">
            <v>0</v>
          </cell>
          <cell r="T554">
            <v>8809</v>
          </cell>
          <cell r="U554">
            <v>0</v>
          </cell>
        </row>
        <row r="555">
          <cell r="D555">
            <v>8781</v>
          </cell>
          <cell r="E555" t="str">
            <v>未分配利润_专项储备本期提取</v>
          </cell>
          <cell r="F555">
            <v>0</v>
          </cell>
          <cell r="G555">
            <v>0</v>
          </cell>
          <cell r="H555">
            <v>0</v>
          </cell>
          <cell r="I555">
            <v>0</v>
          </cell>
          <cell r="J555">
            <v>0</v>
          </cell>
          <cell r="K555">
            <v>0</v>
          </cell>
          <cell r="L555">
            <v>0</v>
          </cell>
          <cell r="M555">
            <v>0</v>
          </cell>
          <cell r="T555">
            <v>8810</v>
          </cell>
          <cell r="U555">
            <v>0</v>
          </cell>
        </row>
        <row r="556">
          <cell r="D556">
            <v>8782</v>
          </cell>
          <cell r="E556" t="str">
            <v>未分配利润_专项储备本期使用</v>
          </cell>
          <cell r="F556">
            <v>0</v>
          </cell>
          <cell r="G556">
            <v>0</v>
          </cell>
          <cell r="H556">
            <v>0</v>
          </cell>
          <cell r="I556">
            <v>0</v>
          </cell>
          <cell r="J556">
            <v>0</v>
          </cell>
          <cell r="K556">
            <v>0</v>
          </cell>
          <cell r="L556">
            <v>0</v>
          </cell>
          <cell r="M556">
            <v>0</v>
          </cell>
          <cell r="T556">
            <v>8890</v>
          </cell>
          <cell r="U556">
            <v>0</v>
          </cell>
        </row>
        <row r="557">
          <cell r="D557">
            <v>8796</v>
          </cell>
          <cell r="E557" t="str">
            <v>未分配利润_本期其他增减变动</v>
          </cell>
          <cell r="F557">
            <v>0</v>
          </cell>
          <cell r="G557">
            <v>0</v>
          </cell>
          <cell r="H557">
            <v>0</v>
          </cell>
          <cell r="I557">
            <v>0</v>
          </cell>
          <cell r="J557">
            <v>0</v>
          </cell>
          <cell r="K557">
            <v>0</v>
          </cell>
          <cell r="L557">
            <v>0</v>
          </cell>
          <cell r="M557">
            <v>0</v>
          </cell>
          <cell r="T557">
            <v>8821</v>
          </cell>
          <cell r="U557">
            <v>0</v>
          </cell>
        </row>
        <row r="558">
          <cell r="D558">
            <v>8799</v>
          </cell>
          <cell r="E558" t="str">
            <v>未分配利润_本期期末余额</v>
          </cell>
          <cell r="F558">
            <v>141165341.99000001</v>
          </cell>
          <cell r="G558">
            <v>77119932.760000005</v>
          </cell>
          <cell r="H558">
            <v>-24159476.370000001</v>
          </cell>
          <cell r="I558">
            <v>39885932.859999999</v>
          </cell>
          <cell r="J558">
            <v>-2072855.39</v>
          </cell>
          <cell r="K558">
            <v>0</v>
          </cell>
          <cell r="L558">
            <v>0</v>
          </cell>
          <cell r="M558">
            <v>-2072855.39</v>
          </cell>
          <cell r="T558">
            <v>8830</v>
          </cell>
          <cell r="U558">
            <v>0</v>
          </cell>
        </row>
        <row r="559">
          <cell r="D559">
            <v>8800</v>
          </cell>
          <cell r="E559" t="str">
            <v>其他归属于母公司所有者权益增减变动</v>
          </cell>
          <cell r="F559">
            <v>0</v>
          </cell>
          <cell r="G559">
            <v>0</v>
          </cell>
          <cell r="H559">
            <v>0</v>
          </cell>
          <cell r="I559">
            <v>0</v>
          </cell>
          <cell r="J559">
            <v>0</v>
          </cell>
          <cell r="K559">
            <v>0</v>
          </cell>
          <cell r="L559">
            <v>0</v>
          </cell>
          <cell r="M559">
            <v>0</v>
          </cell>
          <cell r="T559">
            <v>8840</v>
          </cell>
          <cell r="U559">
            <v>0</v>
          </cell>
        </row>
        <row r="560">
          <cell r="D560">
            <v>8801</v>
          </cell>
          <cell r="E560" t="str">
            <v>其他归属于母公司所有者权益_上年年末余额</v>
          </cell>
          <cell r="F560">
            <v>0</v>
          </cell>
          <cell r="G560">
            <v>0</v>
          </cell>
          <cell r="H560">
            <v>0</v>
          </cell>
          <cell r="I560">
            <v>0</v>
          </cell>
          <cell r="J560">
            <v>0</v>
          </cell>
          <cell r="K560">
            <v>0</v>
          </cell>
          <cell r="L560">
            <v>0</v>
          </cell>
          <cell r="M560">
            <v>0</v>
          </cell>
          <cell r="T560">
            <v>8850</v>
          </cell>
          <cell r="U560">
            <v>0</v>
          </cell>
        </row>
        <row r="561">
          <cell r="D561">
            <v>8802</v>
          </cell>
          <cell r="E561" t="str">
            <v>其他归属于母公司所有者权益_会计政策变更调整上年年末余额</v>
          </cell>
          <cell r="F561">
            <v>0</v>
          </cell>
          <cell r="G561">
            <v>0</v>
          </cell>
          <cell r="H561">
            <v>0</v>
          </cell>
          <cell r="I561">
            <v>0</v>
          </cell>
          <cell r="J561">
            <v>0</v>
          </cell>
          <cell r="K561">
            <v>0</v>
          </cell>
          <cell r="L561">
            <v>0</v>
          </cell>
          <cell r="M561">
            <v>0</v>
          </cell>
          <cell r="T561">
            <v>8851</v>
          </cell>
          <cell r="U561">
            <v>0</v>
          </cell>
        </row>
        <row r="562">
          <cell r="D562">
            <v>8803</v>
          </cell>
          <cell r="E562" t="str">
            <v>其他归属于母公司所有者权益_前期差错更正调整上年年末余额</v>
          </cell>
          <cell r="F562">
            <v>0</v>
          </cell>
          <cell r="G562">
            <v>0</v>
          </cell>
          <cell r="H562">
            <v>0</v>
          </cell>
          <cell r="I562">
            <v>0</v>
          </cell>
          <cell r="J562">
            <v>0</v>
          </cell>
          <cell r="K562">
            <v>0</v>
          </cell>
          <cell r="L562">
            <v>0</v>
          </cell>
          <cell r="M562">
            <v>0</v>
          </cell>
          <cell r="T562">
            <v>8853</v>
          </cell>
          <cell r="U562">
            <v>0</v>
          </cell>
        </row>
        <row r="563">
          <cell r="D563">
            <v>8804</v>
          </cell>
          <cell r="E563" t="str">
            <v>其他归属于母公司所有者权益_同一控制下企业合并调整上年年末余额</v>
          </cell>
          <cell r="F563">
            <v>0</v>
          </cell>
          <cell r="G563">
            <v>0</v>
          </cell>
          <cell r="H563">
            <v>0</v>
          </cell>
          <cell r="I563">
            <v>0</v>
          </cell>
          <cell r="J563">
            <v>0</v>
          </cell>
          <cell r="K563">
            <v>0</v>
          </cell>
          <cell r="L563">
            <v>0</v>
          </cell>
          <cell r="M563">
            <v>0</v>
          </cell>
          <cell r="T563">
            <v>8852</v>
          </cell>
          <cell r="U563">
            <v>0</v>
          </cell>
        </row>
        <row r="564">
          <cell r="D564">
            <v>8809</v>
          </cell>
          <cell r="E564" t="str">
            <v>其他归属于母公司所有者权益_其他原因调整上年年末余额</v>
          </cell>
          <cell r="F564">
            <v>0</v>
          </cell>
          <cell r="G564">
            <v>0</v>
          </cell>
          <cell r="H564">
            <v>0</v>
          </cell>
          <cell r="I564">
            <v>0</v>
          </cell>
          <cell r="J564">
            <v>0</v>
          </cell>
          <cell r="K564">
            <v>0</v>
          </cell>
          <cell r="L564">
            <v>0</v>
          </cell>
          <cell r="M564">
            <v>0</v>
          </cell>
          <cell r="T564">
            <v>8856</v>
          </cell>
          <cell r="U564">
            <v>0</v>
          </cell>
        </row>
        <row r="565">
          <cell r="D565">
            <v>8810</v>
          </cell>
          <cell r="E565" t="str">
            <v>其他归属于母公司所有者权益_本年年初余额</v>
          </cell>
          <cell r="F565">
            <v>0</v>
          </cell>
          <cell r="G565">
            <v>0</v>
          </cell>
          <cell r="H565">
            <v>0</v>
          </cell>
          <cell r="I565">
            <v>0</v>
          </cell>
          <cell r="J565">
            <v>0</v>
          </cell>
          <cell r="K565">
            <v>0</v>
          </cell>
          <cell r="L565">
            <v>0</v>
          </cell>
          <cell r="M565">
            <v>0</v>
          </cell>
          <cell r="T565">
            <v>8860</v>
          </cell>
          <cell r="U565">
            <v>0</v>
          </cell>
        </row>
        <row r="566">
          <cell r="D566">
            <v>8890</v>
          </cell>
          <cell r="E566" t="str">
            <v>其他归属于母公司所有者权益_本期增减变动金额</v>
          </cell>
          <cell r="F566">
            <v>0</v>
          </cell>
          <cell r="G566">
            <v>0</v>
          </cell>
          <cell r="H566">
            <v>0</v>
          </cell>
          <cell r="I566">
            <v>0</v>
          </cell>
          <cell r="J566">
            <v>0</v>
          </cell>
          <cell r="K566">
            <v>0</v>
          </cell>
          <cell r="L566">
            <v>0</v>
          </cell>
          <cell r="M566">
            <v>0</v>
          </cell>
          <cell r="T566">
            <v>8861</v>
          </cell>
          <cell r="U566">
            <v>0</v>
          </cell>
        </row>
        <row r="567">
          <cell r="D567">
            <v>8821</v>
          </cell>
          <cell r="E567" t="str">
            <v>其他归属于母公司所有者权益_净利润增加权益</v>
          </cell>
          <cell r="F567">
            <v>0</v>
          </cell>
          <cell r="G567">
            <v>0</v>
          </cell>
          <cell r="H567">
            <v>0</v>
          </cell>
          <cell r="I567">
            <v>0</v>
          </cell>
          <cell r="J567">
            <v>0</v>
          </cell>
          <cell r="K567">
            <v>0</v>
          </cell>
          <cell r="L567">
            <v>0</v>
          </cell>
          <cell r="M567">
            <v>0</v>
          </cell>
          <cell r="T567">
            <v>8862</v>
          </cell>
          <cell r="U567">
            <v>0</v>
          </cell>
        </row>
        <row r="568">
          <cell r="D568">
            <v>8830</v>
          </cell>
          <cell r="E568" t="str">
            <v>其他归属于母公司所有者权益_其他综合收益</v>
          </cell>
          <cell r="F568">
            <v>0</v>
          </cell>
          <cell r="G568">
            <v>0</v>
          </cell>
          <cell r="H568">
            <v>0</v>
          </cell>
          <cell r="I568">
            <v>0</v>
          </cell>
          <cell r="J568">
            <v>0</v>
          </cell>
          <cell r="K568">
            <v>0</v>
          </cell>
          <cell r="L568">
            <v>0</v>
          </cell>
          <cell r="M568">
            <v>0</v>
          </cell>
          <cell r="T568">
            <v>8863</v>
          </cell>
          <cell r="U568">
            <v>0</v>
          </cell>
        </row>
        <row r="569">
          <cell r="D569">
            <v>8840</v>
          </cell>
          <cell r="E569" t="str">
            <v>其他归属于母公司所有者权益_综合收益总额增加权益</v>
          </cell>
          <cell r="F569">
            <v>0</v>
          </cell>
          <cell r="G569">
            <v>0</v>
          </cell>
          <cell r="H569">
            <v>0</v>
          </cell>
          <cell r="I569">
            <v>0</v>
          </cell>
          <cell r="J569">
            <v>0</v>
          </cell>
          <cell r="K569">
            <v>0</v>
          </cell>
          <cell r="L569">
            <v>0</v>
          </cell>
          <cell r="M569">
            <v>0</v>
          </cell>
          <cell r="T569">
            <v>8866</v>
          </cell>
          <cell r="U569">
            <v>0</v>
          </cell>
        </row>
        <row r="570">
          <cell r="D570">
            <v>8850</v>
          </cell>
          <cell r="E570" t="str">
            <v>其他归属于母公司所有者权益_所有者投入和减少资本影响权益</v>
          </cell>
          <cell r="F570">
            <v>0</v>
          </cell>
          <cell r="G570">
            <v>0</v>
          </cell>
          <cell r="H570">
            <v>0</v>
          </cell>
          <cell r="I570">
            <v>0</v>
          </cell>
          <cell r="J570">
            <v>0</v>
          </cell>
          <cell r="K570">
            <v>0</v>
          </cell>
          <cell r="L570">
            <v>0</v>
          </cell>
          <cell r="M570">
            <v>0</v>
          </cell>
          <cell r="T570">
            <v>8870</v>
          </cell>
          <cell r="U570">
            <v>0</v>
          </cell>
        </row>
        <row r="571">
          <cell r="D571">
            <v>8851</v>
          </cell>
          <cell r="E571" t="str">
            <v>其他归属于母公司所有者权益_所有者投入资本</v>
          </cell>
          <cell r="F571">
            <v>0</v>
          </cell>
          <cell r="G571">
            <v>0</v>
          </cell>
          <cell r="H571">
            <v>0</v>
          </cell>
          <cell r="I571">
            <v>0</v>
          </cell>
          <cell r="J571">
            <v>0</v>
          </cell>
          <cell r="K571">
            <v>0</v>
          </cell>
          <cell r="L571">
            <v>0</v>
          </cell>
          <cell r="M571">
            <v>0</v>
          </cell>
          <cell r="T571">
            <v>8871</v>
          </cell>
          <cell r="U571">
            <v>0</v>
          </cell>
        </row>
        <row r="572">
          <cell r="D572">
            <v>8853</v>
          </cell>
          <cell r="E572" t="str">
            <v>其他归属于母公司所有者权益_其他权益工具持有者投入资本</v>
          </cell>
          <cell r="F572">
            <v>0</v>
          </cell>
          <cell r="G572">
            <v>0</v>
          </cell>
          <cell r="H572">
            <v>0</v>
          </cell>
          <cell r="I572">
            <v>0</v>
          </cell>
          <cell r="J572">
            <v>0</v>
          </cell>
          <cell r="K572">
            <v>0</v>
          </cell>
          <cell r="L572">
            <v>0</v>
          </cell>
          <cell r="M572">
            <v>0</v>
          </cell>
          <cell r="T572">
            <v>8872</v>
          </cell>
          <cell r="U572">
            <v>0</v>
          </cell>
        </row>
        <row r="573">
          <cell r="D573">
            <v>8852</v>
          </cell>
          <cell r="E573" t="str">
            <v>其他归属于母公司所有者权益_股份支付</v>
          </cell>
          <cell r="F573">
            <v>0</v>
          </cell>
          <cell r="G573">
            <v>0</v>
          </cell>
          <cell r="H573">
            <v>0</v>
          </cell>
          <cell r="I573">
            <v>0</v>
          </cell>
          <cell r="J573">
            <v>0</v>
          </cell>
          <cell r="K573">
            <v>0</v>
          </cell>
          <cell r="L573">
            <v>0</v>
          </cell>
          <cell r="M573">
            <v>0</v>
          </cell>
          <cell r="T573">
            <v>8873</v>
          </cell>
          <cell r="U573">
            <v>0</v>
          </cell>
        </row>
        <row r="574">
          <cell r="D574">
            <v>8856</v>
          </cell>
          <cell r="E574" t="str">
            <v>其他归属于母公司所有者权益_所有者其他投入和减少资本</v>
          </cell>
          <cell r="F574">
            <v>0</v>
          </cell>
          <cell r="G574">
            <v>0</v>
          </cell>
          <cell r="H574">
            <v>0</v>
          </cell>
          <cell r="I574">
            <v>0</v>
          </cell>
          <cell r="J574">
            <v>0</v>
          </cell>
          <cell r="K574">
            <v>0</v>
          </cell>
          <cell r="L574">
            <v>0</v>
          </cell>
          <cell r="M574">
            <v>0</v>
          </cell>
          <cell r="T574">
            <v>8875</v>
          </cell>
          <cell r="U574">
            <v>0</v>
          </cell>
        </row>
        <row r="575">
          <cell r="D575">
            <v>8860</v>
          </cell>
          <cell r="E575" t="str">
            <v>其他归属于母公司所有者权益_利润分配影响权益</v>
          </cell>
          <cell r="F575">
            <v>0</v>
          </cell>
          <cell r="G575">
            <v>0</v>
          </cell>
          <cell r="H575">
            <v>0</v>
          </cell>
          <cell r="I575">
            <v>0</v>
          </cell>
          <cell r="J575">
            <v>0</v>
          </cell>
          <cell r="K575">
            <v>0</v>
          </cell>
          <cell r="L575">
            <v>0</v>
          </cell>
          <cell r="M575">
            <v>0</v>
          </cell>
          <cell r="T575">
            <v>8876</v>
          </cell>
          <cell r="U575">
            <v>0</v>
          </cell>
        </row>
        <row r="576">
          <cell r="D576">
            <v>8861</v>
          </cell>
          <cell r="E576" t="str">
            <v>其他归属于母公司所有者权益_提取盈余公积</v>
          </cell>
          <cell r="F576">
            <v>0</v>
          </cell>
          <cell r="G576">
            <v>0</v>
          </cell>
          <cell r="H576">
            <v>0</v>
          </cell>
          <cell r="I576">
            <v>0</v>
          </cell>
          <cell r="J576">
            <v>0</v>
          </cell>
          <cell r="K576">
            <v>0</v>
          </cell>
          <cell r="L576">
            <v>0</v>
          </cell>
          <cell r="M576">
            <v>0</v>
          </cell>
          <cell r="T576">
            <v>8880</v>
          </cell>
          <cell r="U576">
            <v>0</v>
          </cell>
        </row>
        <row r="577">
          <cell r="D577">
            <v>8862</v>
          </cell>
          <cell r="E577" t="str">
            <v>其他归属于母公司所有者权益_提取一般风险准备</v>
          </cell>
          <cell r="F577">
            <v>0</v>
          </cell>
          <cell r="G577">
            <v>0</v>
          </cell>
          <cell r="H577">
            <v>0</v>
          </cell>
          <cell r="I577">
            <v>0</v>
          </cell>
          <cell r="J577">
            <v>0</v>
          </cell>
          <cell r="K577">
            <v>0</v>
          </cell>
          <cell r="L577">
            <v>0</v>
          </cell>
          <cell r="M577">
            <v>0</v>
          </cell>
          <cell r="T577">
            <v>8881</v>
          </cell>
          <cell r="U577">
            <v>0</v>
          </cell>
        </row>
        <row r="578">
          <cell r="D578">
            <v>8863</v>
          </cell>
          <cell r="E578" t="str">
            <v>其他归属于母公司所有者权益_对所有者的分配</v>
          </cell>
          <cell r="F578">
            <v>0</v>
          </cell>
          <cell r="G578">
            <v>0</v>
          </cell>
          <cell r="H578">
            <v>0</v>
          </cell>
          <cell r="I578">
            <v>0</v>
          </cell>
          <cell r="J578">
            <v>0</v>
          </cell>
          <cell r="K578">
            <v>0</v>
          </cell>
          <cell r="L578">
            <v>0</v>
          </cell>
          <cell r="M578">
            <v>0</v>
          </cell>
          <cell r="T578">
            <v>8882</v>
          </cell>
          <cell r="U578">
            <v>0</v>
          </cell>
        </row>
        <row r="579">
          <cell r="D579">
            <v>8866</v>
          </cell>
          <cell r="E579" t="str">
            <v>其他归属于母公司所有者权益_其他利润分配</v>
          </cell>
          <cell r="F579">
            <v>0</v>
          </cell>
          <cell r="G579">
            <v>0</v>
          </cell>
          <cell r="H579">
            <v>0</v>
          </cell>
          <cell r="I579">
            <v>0</v>
          </cell>
          <cell r="J579">
            <v>0</v>
          </cell>
          <cell r="K579">
            <v>0</v>
          </cell>
          <cell r="L579">
            <v>0</v>
          </cell>
          <cell r="M579">
            <v>0</v>
          </cell>
          <cell r="T579">
            <v>8896</v>
          </cell>
          <cell r="U579">
            <v>0</v>
          </cell>
        </row>
        <row r="580">
          <cell r="D580">
            <v>8870</v>
          </cell>
          <cell r="E580" t="str">
            <v>其他归属于母公司所有者权益_所有者权益内部结转</v>
          </cell>
          <cell r="F580">
            <v>0</v>
          </cell>
          <cell r="G580">
            <v>0</v>
          </cell>
          <cell r="H580">
            <v>0</v>
          </cell>
          <cell r="I580">
            <v>0</v>
          </cell>
          <cell r="J580">
            <v>0</v>
          </cell>
          <cell r="K580">
            <v>0</v>
          </cell>
          <cell r="L580">
            <v>0</v>
          </cell>
          <cell r="M580">
            <v>0</v>
          </cell>
          <cell r="T580">
            <v>8899</v>
          </cell>
          <cell r="U580">
            <v>0</v>
          </cell>
        </row>
        <row r="581">
          <cell r="D581">
            <v>8871</v>
          </cell>
          <cell r="E581" t="str">
            <v>其他归属于母公司所有者权益_资本公积转增资本</v>
          </cell>
          <cell r="F581">
            <v>0</v>
          </cell>
          <cell r="G581">
            <v>0</v>
          </cell>
          <cell r="H581">
            <v>0</v>
          </cell>
          <cell r="I581">
            <v>0</v>
          </cell>
          <cell r="J581">
            <v>0</v>
          </cell>
          <cell r="K581">
            <v>0</v>
          </cell>
          <cell r="L581">
            <v>0</v>
          </cell>
          <cell r="M581">
            <v>0</v>
          </cell>
          <cell r="T581">
            <v>8900</v>
          </cell>
          <cell r="U581">
            <v>0</v>
          </cell>
        </row>
        <row r="582">
          <cell r="D582">
            <v>8872</v>
          </cell>
          <cell r="E582" t="str">
            <v>其他归属于母公司所有者权益_盈余公积转增资本</v>
          </cell>
          <cell r="F582">
            <v>0</v>
          </cell>
          <cell r="G582">
            <v>0</v>
          </cell>
          <cell r="H582">
            <v>0</v>
          </cell>
          <cell r="I582">
            <v>0</v>
          </cell>
          <cell r="J582">
            <v>0</v>
          </cell>
          <cell r="K582">
            <v>0</v>
          </cell>
          <cell r="L582">
            <v>0</v>
          </cell>
          <cell r="M582">
            <v>0</v>
          </cell>
          <cell r="T582">
            <v>8901</v>
          </cell>
          <cell r="U582">
            <v>0</v>
          </cell>
        </row>
        <row r="583">
          <cell r="D583">
            <v>8873</v>
          </cell>
          <cell r="E583" t="str">
            <v>其他归属于母公司所有者权益_盈余公积弥补亏损</v>
          </cell>
          <cell r="F583">
            <v>0</v>
          </cell>
          <cell r="G583">
            <v>0</v>
          </cell>
          <cell r="H583">
            <v>0</v>
          </cell>
          <cell r="I583">
            <v>0</v>
          </cell>
          <cell r="J583">
            <v>0</v>
          </cell>
          <cell r="K583">
            <v>0</v>
          </cell>
          <cell r="L583">
            <v>0</v>
          </cell>
          <cell r="M583">
            <v>0</v>
          </cell>
          <cell r="T583">
            <v>8902</v>
          </cell>
          <cell r="U583">
            <v>0</v>
          </cell>
        </row>
        <row r="584">
          <cell r="D584">
            <v>8875</v>
          </cell>
          <cell r="E584" t="str">
            <v>其他归属于母公司所有者权益_设定受益计划变动额结转留存收益</v>
          </cell>
          <cell r="F584">
            <v>0</v>
          </cell>
          <cell r="G584">
            <v>0</v>
          </cell>
          <cell r="H584">
            <v>0</v>
          </cell>
          <cell r="I584">
            <v>0</v>
          </cell>
          <cell r="J584">
            <v>0</v>
          </cell>
          <cell r="K584">
            <v>0</v>
          </cell>
          <cell r="L584">
            <v>0</v>
          </cell>
          <cell r="M584">
            <v>0</v>
          </cell>
          <cell r="T584">
            <v>8903</v>
          </cell>
          <cell r="U584">
            <v>0</v>
          </cell>
        </row>
        <row r="585">
          <cell r="D585">
            <v>8876</v>
          </cell>
          <cell r="E585" t="str">
            <v>其他归属于母公司所有者权益_所有者权益其他内部结转</v>
          </cell>
          <cell r="F585">
            <v>0</v>
          </cell>
          <cell r="G585">
            <v>0</v>
          </cell>
          <cell r="H585">
            <v>0</v>
          </cell>
          <cell r="I585">
            <v>0</v>
          </cell>
          <cell r="J585">
            <v>0</v>
          </cell>
          <cell r="K585">
            <v>0</v>
          </cell>
          <cell r="L585">
            <v>0</v>
          </cell>
          <cell r="M585">
            <v>0</v>
          </cell>
          <cell r="T585">
            <v>8904</v>
          </cell>
          <cell r="U585">
            <v>0</v>
          </cell>
        </row>
        <row r="586">
          <cell r="D586">
            <v>8880</v>
          </cell>
          <cell r="E586" t="str">
            <v>其他归属于母公司所有者权益_专项储备影响权益</v>
          </cell>
          <cell r="F586">
            <v>0</v>
          </cell>
          <cell r="G586">
            <v>0</v>
          </cell>
          <cell r="H586">
            <v>0</v>
          </cell>
          <cell r="I586">
            <v>0</v>
          </cell>
          <cell r="J586">
            <v>0</v>
          </cell>
          <cell r="K586">
            <v>0</v>
          </cell>
          <cell r="L586">
            <v>0</v>
          </cell>
          <cell r="M586">
            <v>0</v>
          </cell>
          <cell r="T586">
            <v>8909</v>
          </cell>
          <cell r="U586">
            <v>0</v>
          </cell>
        </row>
        <row r="587">
          <cell r="D587">
            <v>8881</v>
          </cell>
          <cell r="E587" t="str">
            <v>其他归属于母公司所有者权益_专项储备本期提取</v>
          </cell>
          <cell r="F587">
            <v>0</v>
          </cell>
          <cell r="G587">
            <v>0</v>
          </cell>
          <cell r="H587">
            <v>0</v>
          </cell>
          <cell r="I587">
            <v>0</v>
          </cell>
          <cell r="J587">
            <v>0</v>
          </cell>
          <cell r="K587">
            <v>0</v>
          </cell>
          <cell r="L587">
            <v>0</v>
          </cell>
          <cell r="M587">
            <v>0</v>
          </cell>
          <cell r="T587">
            <v>8910</v>
          </cell>
          <cell r="U587">
            <v>0</v>
          </cell>
        </row>
        <row r="588">
          <cell r="D588">
            <v>8882</v>
          </cell>
          <cell r="E588" t="str">
            <v>其他归属于母公司所有者权益_专项储备本期使用</v>
          </cell>
          <cell r="F588">
            <v>0</v>
          </cell>
          <cell r="G588">
            <v>0</v>
          </cell>
          <cell r="H588">
            <v>0</v>
          </cell>
          <cell r="I588">
            <v>0</v>
          </cell>
          <cell r="J588">
            <v>0</v>
          </cell>
          <cell r="K588">
            <v>0</v>
          </cell>
          <cell r="L588">
            <v>0</v>
          </cell>
          <cell r="M588">
            <v>0</v>
          </cell>
          <cell r="T588">
            <v>8990</v>
          </cell>
          <cell r="U588">
            <v>0</v>
          </cell>
        </row>
        <row r="589">
          <cell r="D589">
            <v>8896</v>
          </cell>
          <cell r="E589" t="str">
            <v>其他归属于母公司所有者权益_本期其他增减变动</v>
          </cell>
          <cell r="F589">
            <v>0</v>
          </cell>
          <cell r="G589">
            <v>0</v>
          </cell>
          <cell r="H589">
            <v>0</v>
          </cell>
          <cell r="I589">
            <v>0</v>
          </cell>
          <cell r="J589">
            <v>0</v>
          </cell>
          <cell r="K589">
            <v>0</v>
          </cell>
          <cell r="L589">
            <v>0</v>
          </cell>
          <cell r="M589">
            <v>0</v>
          </cell>
          <cell r="T589">
            <v>8921</v>
          </cell>
          <cell r="U589">
            <v>0</v>
          </cell>
        </row>
        <row r="590">
          <cell r="D590">
            <v>8899</v>
          </cell>
          <cell r="E590" t="str">
            <v>其他归属于母公司所有者权益_本期期末余额</v>
          </cell>
          <cell r="F590">
            <v>0</v>
          </cell>
          <cell r="G590">
            <v>0</v>
          </cell>
          <cell r="H590">
            <v>0</v>
          </cell>
          <cell r="I590">
            <v>0</v>
          </cell>
          <cell r="J590">
            <v>0</v>
          </cell>
          <cell r="K590">
            <v>0</v>
          </cell>
          <cell r="L590">
            <v>0</v>
          </cell>
          <cell r="M590">
            <v>0</v>
          </cell>
          <cell r="T590">
            <v>8930</v>
          </cell>
          <cell r="U590">
            <v>0</v>
          </cell>
        </row>
        <row r="591">
          <cell r="D591">
            <v>8900</v>
          </cell>
          <cell r="E591" t="str">
            <v>少数股东权益增减变动</v>
          </cell>
          <cell r="F591">
            <v>0</v>
          </cell>
          <cell r="G591">
            <v>0</v>
          </cell>
          <cell r="H591">
            <v>0</v>
          </cell>
          <cell r="I591">
            <v>0</v>
          </cell>
          <cell r="J591">
            <v>0</v>
          </cell>
          <cell r="K591">
            <v>0</v>
          </cell>
          <cell r="L591">
            <v>0</v>
          </cell>
          <cell r="M591">
            <v>0</v>
          </cell>
          <cell r="T591">
            <v>8940</v>
          </cell>
          <cell r="U591">
            <v>0</v>
          </cell>
        </row>
        <row r="592">
          <cell r="D592">
            <v>8901</v>
          </cell>
          <cell r="E592" t="str">
            <v>少数股东权益_上年年末余额</v>
          </cell>
          <cell r="F592">
            <v>0</v>
          </cell>
          <cell r="G592">
            <v>0</v>
          </cell>
          <cell r="H592">
            <v>0</v>
          </cell>
          <cell r="I592">
            <v>0</v>
          </cell>
          <cell r="J592">
            <v>0</v>
          </cell>
          <cell r="K592">
            <v>0</v>
          </cell>
          <cell r="L592">
            <v>0</v>
          </cell>
          <cell r="M592">
            <v>0</v>
          </cell>
          <cell r="T592">
            <v>8950</v>
          </cell>
          <cell r="U592">
            <v>0</v>
          </cell>
        </row>
        <row r="593">
          <cell r="D593">
            <v>8902</v>
          </cell>
          <cell r="E593" t="str">
            <v>少数股东权益_会计政策变更调整上年年末余额</v>
          </cell>
          <cell r="F593">
            <v>0</v>
          </cell>
          <cell r="G593">
            <v>0</v>
          </cell>
          <cell r="H593">
            <v>0</v>
          </cell>
          <cell r="I593">
            <v>0</v>
          </cell>
          <cell r="J593">
            <v>0</v>
          </cell>
          <cell r="K593">
            <v>0</v>
          </cell>
          <cell r="L593">
            <v>0</v>
          </cell>
          <cell r="M593">
            <v>0</v>
          </cell>
          <cell r="T593">
            <v>8951</v>
          </cell>
          <cell r="U593">
            <v>0</v>
          </cell>
        </row>
        <row r="594">
          <cell r="D594">
            <v>8903</v>
          </cell>
          <cell r="E594" t="str">
            <v>少数股东权益_前期差错更正调整上年年末余额</v>
          </cell>
          <cell r="F594">
            <v>0</v>
          </cell>
          <cell r="G594">
            <v>0</v>
          </cell>
          <cell r="H594">
            <v>0</v>
          </cell>
          <cell r="I594">
            <v>0</v>
          </cell>
          <cell r="J594">
            <v>0</v>
          </cell>
          <cell r="K594">
            <v>0</v>
          </cell>
          <cell r="L594">
            <v>0</v>
          </cell>
          <cell r="M594">
            <v>0</v>
          </cell>
          <cell r="T594">
            <v>8953</v>
          </cell>
          <cell r="U594">
            <v>0</v>
          </cell>
        </row>
        <row r="595">
          <cell r="D595">
            <v>8904</v>
          </cell>
          <cell r="E595" t="str">
            <v>少数股东权益_同一控制下企业合并调整上年年末余额</v>
          </cell>
          <cell r="F595">
            <v>0</v>
          </cell>
          <cell r="G595">
            <v>0</v>
          </cell>
          <cell r="H595">
            <v>0</v>
          </cell>
          <cell r="I595">
            <v>0</v>
          </cell>
          <cell r="J595">
            <v>0</v>
          </cell>
          <cell r="K595">
            <v>0</v>
          </cell>
          <cell r="L595">
            <v>0</v>
          </cell>
          <cell r="M595">
            <v>0</v>
          </cell>
          <cell r="T595">
            <v>8952</v>
          </cell>
          <cell r="U595">
            <v>0</v>
          </cell>
        </row>
        <row r="596">
          <cell r="D596">
            <v>8909</v>
          </cell>
          <cell r="E596" t="str">
            <v>少数股东权益_其他原因调整上年年末余额</v>
          </cell>
          <cell r="F596">
            <v>0</v>
          </cell>
          <cell r="G596">
            <v>0</v>
          </cell>
          <cell r="H596">
            <v>0</v>
          </cell>
          <cell r="I596">
            <v>0</v>
          </cell>
          <cell r="J596">
            <v>0</v>
          </cell>
          <cell r="K596">
            <v>0</v>
          </cell>
          <cell r="L596">
            <v>0</v>
          </cell>
          <cell r="M596">
            <v>0</v>
          </cell>
          <cell r="T596">
            <v>8956</v>
          </cell>
          <cell r="U596">
            <v>0</v>
          </cell>
        </row>
        <row r="597">
          <cell r="D597">
            <v>8910</v>
          </cell>
          <cell r="E597" t="str">
            <v>少数股东权益_本年年初余额</v>
          </cell>
          <cell r="F597">
            <v>0</v>
          </cell>
          <cell r="G597">
            <v>0</v>
          </cell>
          <cell r="H597">
            <v>0</v>
          </cell>
          <cell r="I597">
            <v>0</v>
          </cell>
          <cell r="J597">
            <v>0</v>
          </cell>
          <cell r="K597">
            <v>0</v>
          </cell>
          <cell r="L597">
            <v>0</v>
          </cell>
          <cell r="M597">
            <v>0</v>
          </cell>
          <cell r="T597">
            <v>8960</v>
          </cell>
          <cell r="U597">
            <v>0</v>
          </cell>
        </row>
        <row r="598">
          <cell r="D598">
            <v>8990</v>
          </cell>
          <cell r="E598" t="str">
            <v>少数股东权益_本期增减变动金额</v>
          </cell>
          <cell r="F598">
            <v>0</v>
          </cell>
          <cell r="G598">
            <v>0</v>
          </cell>
          <cell r="H598">
            <v>0</v>
          </cell>
          <cell r="I598">
            <v>0</v>
          </cell>
          <cell r="J598">
            <v>0</v>
          </cell>
          <cell r="K598">
            <v>0</v>
          </cell>
          <cell r="L598">
            <v>0</v>
          </cell>
          <cell r="M598">
            <v>0</v>
          </cell>
          <cell r="T598">
            <v>8961</v>
          </cell>
          <cell r="U598">
            <v>0</v>
          </cell>
        </row>
        <row r="599">
          <cell r="D599">
            <v>8921</v>
          </cell>
          <cell r="E599" t="str">
            <v>少数股东权益_净利润</v>
          </cell>
          <cell r="F599">
            <v>0</v>
          </cell>
          <cell r="G599">
            <v>0</v>
          </cell>
          <cell r="H599">
            <v>0</v>
          </cell>
          <cell r="I599">
            <v>0</v>
          </cell>
          <cell r="J599">
            <v>0</v>
          </cell>
          <cell r="K599">
            <v>0</v>
          </cell>
          <cell r="L599">
            <v>0</v>
          </cell>
          <cell r="M599">
            <v>0</v>
          </cell>
          <cell r="T599">
            <v>8962</v>
          </cell>
          <cell r="U599">
            <v>0</v>
          </cell>
        </row>
        <row r="600">
          <cell r="D600">
            <v>8930</v>
          </cell>
          <cell r="E600" t="str">
            <v>少数股东权益_其他综合收益</v>
          </cell>
          <cell r="F600">
            <v>0</v>
          </cell>
          <cell r="G600">
            <v>0</v>
          </cell>
          <cell r="H600">
            <v>0</v>
          </cell>
          <cell r="I600">
            <v>0</v>
          </cell>
          <cell r="J600">
            <v>0</v>
          </cell>
          <cell r="K600">
            <v>0</v>
          </cell>
          <cell r="L600">
            <v>0</v>
          </cell>
          <cell r="M600">
            <v>0</v>
          </cell>
          <cell r="T600">
            <v>8963</v>
          </cell>
          <cell r="U600">
            <v>0</v>
          </cell>
        </row>
        <row r="601">
          <cell r="D601">
            <v>8940</v>
          </cell>
          <cell r="E601" t="str">
            <v>少数股东权益_综合收益总额增加权益</v>
          </cell>
          <cell r="F601">
            <v>0</v>
          </cell>
          <cell r="G601">
            <v>0</v>
          </cell>
          <cell r="H601">
            <v>0</v>
          </cell>
          <cell r="I601">
            <v>0</v>
          </cell>
          <cell r="J601">
            <v>0</v>
          </cell>
          <cell r="K601">
            <v>0</v>
          </cell>
          <cell r="L601">
            <v>0</v>
          </cell>
          <cell r="M601">
            <v>0</v>
          </cell>
          <cell r="T601">
            <v>8966</v>
          </cell>
          <cell r="U601">
            <v>0</v>
          </cell>
        </row>
        <row r="602">
          <cell r="D602">
            <v>8950</v>
          </cell>
          <cell r="E602" t="str">
            <v>少数股东权益_所有者投入和减少资本影响权益</v>
          </cell>
          <cell r="F602">
            <v>0</v>
          </cell>
          <cell r="G602">
            <v>0</v>
          </cell>
          <cell r="H602">
            <v>0</v>
          </cell>
          <cell r="I602">
            <v>0</v>
          </cell>
          <cell r="J602">
            <v>0</v>
          </cell>
          <cell r="K602">
            <v>0</v>
          </cell>
          <cell r="L602">
            <v>0</v>
          </cell>
          <cell r="M602">
            <v>0</v>
          </cell>
          <cell r="T602">
            <v>8970</v>
          </cell>
          <cell r="U602">
            <v>0</v>
          </cell>
        </row>
        <row r="603">
          <cell r="D603">
            <v>8951</v>
          </cell>
          <cell r="E603" t="str">
            <v>少数股东权益_所有者投入资本</v>
          </cell>
          <cell r="F603">
            <v>0</v>
          </cell>
          <cell r="G603">
            <v>0</v>
          </cell>
          <cell r="H603">
            <v>0</v>
          </cell>
          <cell r="I603">
            <v>0</v>
          </cell>
          <cell r="J603">
            <v>0</v>
          </cell>
          <cell r="K603">
            <v>0</v>
          </cell>
          <cell r="L603">
            <v>0</v>
          </cell>
          <cell r="M603">
            <v>0</v>
          </cell>
          <cell r="T603">
            <v>8971</v>
          </cell>
          <cell r="U603">
            <v>0</v>
          </cell>
        </row>
        <row r="604">
          <cell r="D604">
            <v>8953</v>
          </cell>
          <cell r="E604" t="str">
            <v>少数股东权益_其他权益工具持有者投入资本</v>
          </cell>
          <cell r="F604">
            <v>0</v>
          </cell>
          <cell r="G604">
            <v>0</v>
          </cell>
          <cell r="H604">
            <v>0</v>
          </cell>
          <cell r="I604">
            <v>0</v>
          </cell>
          <cell r="J604">
            <v>0</v>
          </cell>
          <cell r="K604">
            <v>0</v>
          </cell>
          <cell r="L604">
            <v>0</v>
          </cell>
          <cell r="M604">
            <v>0</v>
          </cell>
          <cell r="T604">
            <v>8972</v>
          </cell>
          <cell r="U604">
            <v>0</v>
          </cell>
        </row>
        <row r="605">
          <cell r="D605">
            <v>8952</v>
          </cell>
          <cell r="E605" t="str">
            <v>少数股东权益_股份支付</v>
          </cell>
          <cell r="F605">
            <v>0</v>
          </cell>
          <cell r="G605">
            <v>0</v>
          </cell>
          <cell r="H605">
            <v>0</v>
          </cell>
          <cell r="I605">
            <v>0</v>
          </cell>
          <cell r="J605">
            <v>0</v>
          </cell>
          <cell r="K605">
            <v>0</v>
          </cell>
          <cell r="L605">
            <v>0</v>
          </cell>
          <cell r="M605">
            <v>0</v>
          </cell>
          <cell r="T605">
            <v>8973</v>
          </cell>
          <cell r="U605">
            <v>0</v>
          </cell>
        </row>
        <row r="606">
          <cell r="D606">
            <v>8956</v>
          </cell>
          <cell r="E606" t="str">
            <v>少数股东权益_所有者其他投入和减少资本</v>
          </cell>
          <cell r="F606">
            <v>0</v>
          </cell>
          <cell r="G606">
            <v>0</v>
          </cell>
          <cell r="H606">
            <v>0</v>
          </cell>
          <cell r="I606">
            <v>0</v>
          </cell>
          <cell r="J606">
            <v>0</v>
          </cell>
          <cell r="K606">
            <v>0</v>
          </cell>
          <cell r="L606">
            <v>0</v>
          </cell>
          <cell r="M606">
            <v>0</v>
          </cell>
          <cell r="T606">
            <v>8975</v>
          </cell>
          <cell r="U606">
            <v>0</v>
          </cell>
        </row>
        <row r="607">
          <cell r="D607">
            <v>8960</v>
          </cell>
          <cell r="E607" t="str">
            <v>少数股东权益_利润分配影响权益</v>
          </cell>
          <cell r="F607">
            <v>0</v>
          </cell>
          <cell r="G607">
            <v>0</v>
          </cell>
          <cell r="H607">
            <v>0</v>
          </cell>
          <cell r="I607">
            <v>0</v>
          </cell>
          <cell r="J607">
            <v>0</v>
          </cell>
          <cell r="K607">
            <v>0</v>
          </cell>
          <cell r="L607">
            <v>0</v>
          </cell>
          <cell r="M607">
            <v>0</v>
          </cell>
          <cell r="T607">
            <v>8976</v>
          </cell>
          <cell r="U607">
            <v>0</v>
          </cell>
        </row>
        <row r="608">
          <cell r="D608">
            <v>8961</v>
          </cell>
          <cell r="E608" t="str">
            <v>少数股东权益_提取盈余公积影响权益</v>
          </cell>
          <cell r="F608">
            <v>0</v>
          </cell>
          <cell r="G608">
            <v>0</v>
          </cell>
          <cell r="H608">
            <v>0</v>
          </cell>
          <cell r="I608">
            <v>0</v>
          </cell>
          <cell r="J608">
            <v>0</v>
          </cell>
          <cell r="K608">
            <v>0</v>
          </cell>
          <cell r="L608">
            <v>0</v>
          </cell>
          <cell r="M608">
            <v>0</v>
          </cell>
          <cell r="T608">
            <v>8980</v>
          </cell>
          <cell r="U608">
            <v>0</v>
          </cell>
        </row>
        <row r="609">
          <cell r="D609">
            <v>8962</v>
          </cell>
          <cell r="E609" t="str">
            <v>少数股东权益_提取一般风险准备影响权益</v>
          </cell>
          <cell r="F609">
            <v>0</v>
          </cell>
          <cell r="G609">
            <v>0</v>
          </cell>
          <cell r="H609">
            <v>0</v>
          </cell>
          <cell r="I609">
            <v>0</v>
          </cell>
          <cell r="J609">
            <v>0</v>
          </cell>
          <cell r="K609">
            <v>0</v>
          </cell>
          <cell r="L609">
            <v>0</v>
          </cell>
          <cell r="M609">
            <v>0</v>
          </cell>
          <cell r="T609">
            <v>8981</v>
          </cell>
          <cell r="U609">
            <v>0</v>
          </cell>
        </row>
        <row r="610">
          <cell r="D610">
            <v>8963</v>
          </cell>
          <cell r="E610" t="str">
            <v>少数股东权益_对所有者的分配</v>
          </cell>
          <cell r="F610">
            <v>0</v>
          </cell>
          <cell r="G610">
            <v>0</v>
          </cell>
          <cell r="H610">
            <v>0</v>
          </cell>
          <cell r="I610">
            <v>0</v>
          </cell>
          <cell r="J610">
            <v>0</v>
          </cell>
          <cell r="K610">
            <v>0</v>
          </cell>
          <cell r="L610">
            <v>0</v>
          </cell>
          <cell r="M610">
            <v>0</v>
          </cell>
          <cell r="T610">
            <v>8982</v>
          </cell>
          <cell r="U610">
            <v>0</v>
          </cell>
        </row>
        <row r="611">
          <cell r="D611">
            <v>8966</v>
          </cell>
          <cell r="E611" t="str">
            <v>少数股东权益_其他利润分配</v>
          </cell>
          <cell r="F611">
            <v>0</v>
          </cell>
          <cell r="G611">
            <v>0</v>
          </cell>
          <cell r="H611">
            <v>0</v>
          </cell>
          <cell r="I611">
            <v>0</v>
          </cell>
          <cell r="J611">
            <v>0</v>
          </cell>
          <cell r="K611">
            <v>0</v>
          </cell>
          <cell r="L611">
            <v>0</v>
          </cell>
          <cell r="M611">
            <v>0</v>
          </cell>
          <cell r="T611">
            <v>8996</v>
          </cell>
          <cell r="U611">
            <v>0</v>
          </cell>
        </row>
        <row r="612">
          <cell r="D612">
            <v>8970</v>
          </cell>
          <cell r="E612" t="str">
            <v>少数股东权益_所有者权益内部结转</v>
          </cell>
          <cell r="F612">
            <v>0</v>
          </cell>
          <cell r="G612">
            <v>0</v>
          </cell>
          <cell r="H612">
            <v>0</v>
          </cell>
          <cell r="I612">
            <v>0</v>
          </cell>
          <cell r="J612">
            <v>0</v>
          </cell>
          <cell r="K612">
            <v>0</v>
          </cell>
          <cell r="L612">
            <v>0</v>
          </cell>
          <cell r="M612">
            <v>0</v>
          </cell>
          <cell r="T612">
            <v>8999</v>
          </cell>
          <cell r="U612">
            <v>0</v>
          </cell>
        </row>
        <row r="613">
          <cell r="D613">
            <v>8971</v>
          </cell>
          <cell r="E613" t="str">
            <v>少数股东权益_资本公积转增资本影响权益</v>
          </cell>
          <cell r="F613">
            <v>0</v>
          </cell>
          <cell r="G613">
            <v>0</v>
          </cell>
          <cell r="H613">
            <v>0</v>
          </cell>
          <cell r="I613">
            <v>0</v>
          </cell>
          <cell r="J613">
            <v>0</v>
          </cell>
          <cell r="K613">
            <v>0</v>
          </cell>
          <cell r="L613">
            <v>0</v>
          </cell>
          <cell r="M613">
            <v>0</v>
          </cell>
          <cell r="T613">
            <v>7</v>
          </cell>
        </row>
        <row r="614">
          <cell r="D614">
            <v>8972</v>
          </cell>
          <cell r="E614" t="str">
            <v>少数股东权益_盈余公积转增资本影响权益</v>
          </cell>
          <cell r="F614">
            <v>0</v>
          </cell>
          <cell r="G614">
            <v>0</v>
          </cell>
          <cell r="H614">
            <v>0</v>
          </cell>
          <cell r="I614">
            <v>0</v>
          </cell>
          <cell r="J614">
            <v>0</v>
          </cell>
          <cell r="K614">
            <v>0</v>
          </cell>
          <cell r="L614">
            <v>0</v>
          </cell>
          <cell r="M614">
            <v>0</v>
          </cell>
          <cell r="T614">
            <v>7000</v>
          </cell>
        </row>
        <row r="615">
          <cell r="D615">
            <v>8973</v>
          </cell>
          <cell r="E615" t="str">
            <v>少数股东权益_盈余公积弥补亏损影响权益</v>
          </cell>
          <cell r="F615">
            <v>0</v>
          </cell>
          <cell r="G615">
            <v>0</v>
          </cell>
          <cell r="H615">
            <v>0</v>
          </cell>
          <cell r="I615">
            <v>0</v>
          </cell>
          <cell r="J615">
            <v>0</v>
          </cell>
          <cell r="K615">
            <v>0</v>
          </cell>
          <cell r="L615">
            <v>0</v>
          </cell>
          <cell r="M615">
            <v>0</v>
          </cell>
          <cell r="T615">
            <v>7001</v>
          </cell>
          <cell r="U615">
            <v>347512586.63999999</v>
          </cell>
        </row>
        <row r="616">
          <cell r="D616">
            <v>8975</v>
          </cell>
          <cell r="E616" t="str">
            <v>少数股东权益_设定受益计划变动额结转留存收益</v>
          </cell>
          <cell r="F616">
            <v>0</v>
          </cell>
          <cell r="G616">
            <v>0</v>
          </cell>
          <cell r="H616">
            <v>0</v>
          </cell>
          <cell r="I616">
            <v>0</v>
          </cell>
          <cell r="J616">
            <v>0</v>
          </cell>
          <cell r="K616">
            <v>0</v>
          </cell>
          <cell r="L616">
            <v>0</v>
          </cell>
          <cell r="M616">
            <v>0</v>
          </cell>
          <cell r="T616">
            <v>7011</v>
          </cell>
          <cell r="U616">
            <v>0</v>
          </cell>
        </row>
        <row r="617">
          <cell r="D617">
            <v>8976</v>
          </cell>
          <cell r="E617" t="str">
            <v>少数股东权益_所有者权益其他内部结转</v>
          </cell>
          <cell r="F617">
            <v>0</v>
          </cell>
          <cell r="G617">
            <v>0</v>
          </cell>
          <cell r="H617">
            <v>0</v>
          </cell>
          <cell r="I617">
            <v>0</v>
          </cell>
          <cell r="J617">
            <v>0</v>
          </cell>
          <cell r="K617">
            <v>0</v>
          </cell>
          <cell r="L617">
            <v>0</v>
          </cell>
          <cell r="M617">
            <v>0</v>
          </cell>
          <cell r="T617">
            <v>7012</v>
          </cell>
          <cell r="U617">
            <v>0</v>
          </cell>
        </row>
        <row r="618">
          <cell r="D618">
            <v>8980</v>
          </cell>
          <cell r="E618" t="str">
            <v>少数股东权益_专项储备影响权益</v>
          </cell>
          <cell r="F618">
            <v>0</v>
          </cell>
          <cell r="G618">
            <v>0</v>
          </cell>
          <cell r="H618">
            <v>0</v>
          </cell>
          <cell r="I618">
            <v>0</v>
          </cell>
          <cell r="J618">
            <v>0</v>
          </cell>
          <cell r="K618">
            <v>0</v>
          </cell>
          <cell r="L618">
            <v>0</v>
          </cell>
          <cell r="M618">
            <v>0</v>
          </cell>
          <cell r="T618">
            <v>7013</v>
          </cell>
          <cell r="U618">
            <v>0</v>
          </cell>
        </row>
        <row r="619">
          <cell r="D619">
            <v>8981</v>
          </cell>
          <cell r="E619" t="str">
            <v>少数股东权益_专项储备本期提取</v>
          </cell>
          <cell r="F619">
            <v>0</v>
          </cell>
          <cell r="G619">
            <v>0</v>
          </cell>
          <cell r="H619">
            <v>0</v>
          </cell>
          <cell r="I619">
            <v>0</v>
          </cell>
          <cell r="J619">
            <v>0</v>
          </cell>
          <cell r="K619">
            <v>0</v>
          </cell>
          <cell r="L619">
            <v>0</v>
          </cell>
          <cell r="M619">
            <v>0</v>
          </cell>
          <cell r="T619">
            <v>7014</v>
          </cell>
          <cell r="U619">
            <v>0</v>
          </cell>
        </row>
        <row r="620">
          <cell r="D620">
            <v>8982</v>
          </cell>
          <cell r="E620" t="str">
            <v>少数股东权益_专项储备本期使用</v>
          </cell>
          <cell r="F620">
            <v>0</v>
          </cell>
          <cell r="G620">
            <v>0</v>
          </cell>
          <cell r="H620">
            <v>0</v>
          </cell>
          <cell r="I620">
            <v>0</v>
          </cell>
          <cell r="J620">
            <v>0</v>
          </cell>
          <cell r="K620">
            <v>0</v>
          </cell>
          <cell r="L620">
            <v>0</v>
          </cell>
          <cell r="M620">
            <v>0</v>
          </cell>
          <cell r="T620">
            <v>7015</v>
          </cell>
          <cell r="U620">
            <v>0</v>
          </cell>
        </row>
        <row r="621">
          <cell r="D621">
            <v>8996</v>
          </cell>
          <cell r="E621" t="str">
            <v>少数股东权益_本期其他增减变动</v>
          </cell>
          <cell r="F621">
            <v>0</v>
          </cell>
          <cell r="G621">
            <v>0</v>
          </cell>
          <cell r="H621">
            <v>0</v>
          </cell>
          <cell r="I621">
            <v>0</v>
          </cell>
          <cell r="J621">
            <v>0</v>
          </cell>
          <cell r="K621">
            <v>0</v>
          </cell>
          <cell r="L621">
            <v>0</v>
          </cell>
          <cell r="M621">
            <v>0</v>
          </cell>
          <cell r="T621">
            <v>7016</v>
          </cell>
          <cell r="U621">
            <v>0</v>
          </cell>
        </row>
        <row r="622">
          <cell r="D622">
            <v>8999</v>
          </cell>
          <cell r="E622" t="str">
            <v>少数股东权益_本期期末余额</v>
          </cell>
          <cell r="F622">
            <v>0</v>
          </cell>
          <cell r="G622">
            <v>0</v>
          </cell>
          <cell r="H622">
            <v>0</v>
          </cell>
          <cell r="I622">
            <v>0</v>
          </cell>
          <cell r="J622">
            <v>0</v>
          </cell>
          <cell r="K622">
            <v>0</v>
          </cell>
          <cell r="L622">
            <v>0</v>
          </cell>
          <cell r="M622">
            <v>0</v>
          </cell>
          <cell r="T622">
            <v>7021</v>
          </cell>
          <cell r="U622">
            <v>0</v>
          </cell>
        </row>
        <row r="623">
          <cell r="D623">
            <v>7</v>
          </cell>
          <cell r="E623" t="str">
            <v>现金流量表</v>
          </cell>
          <cell r="T623">
            <v>7023</v>
          </cell>
          <cell r="U623">
            <v>0</v>
          </cell>
        </row>
        <row r="624">
          <cell r="D624">
            <v>7000</v>
          </cell>
          <cell r="E624" t="str">
            <v>经营活动现金流量项目</v>
          </cell>
          <cell r="T624">
            <v>7025</v>
          </cell>
          <cell r="U624">
            <v>0</v>
          </cell>
        </row>
        <row r="625">
          <cell r="D625">
            <v>7001</v>
          </cell>
          <cell r="E625" t="str">
            <v>销售商品提供劳务收到的现金</v>
          </cell>
          <cell r="F625">
            <v>222307975.19999999</v>
          </cell>
          <cell r="G625">
            <v>0</v>
          </cell>
          <cell r="H625">
            <v>0</v>
          </cell>
          <cell r="I625">
            <v>222307975.19999999</v>
          </cell>
          <cell r="J625">
            <v>347512586.63999999</v>
          </cell>
          <cell r="M625">
            <v>347512586.63999999</v>
          </cell>
          <cell r="T625">
            <v>7026</v>
          </cell>
          <cell r="U625">
            <v>0</v>
          </cell>
        </row>
        <row r="626">
          <cell r="D626">
            <v>7011</v>
          </cell>
          <cell r="E626" t="str">
            <v>客户存款和同业存放款项净增加额</v>
          </cell>
          <cell r="F626">
            <v>0</v>
          </cell>
          <cell r="G626">
            <v>0</v>
          </cell>
          <cell r="H626">
            <v>0</v>
          </cell>
          <cell r="I626">
            <v>0</v>
          </cell>
          <cell r="J626">
            <v>0</v>
          </cell>
          <cell r="M626">
            <v>0</v>
          </cell>
          <cell r="T626">
            <v>7031</v>
          </cell>
          <cell r="U626">
            <v>0</v>
          </cell>
        </row>
        <row r="627">
          <cell r="D627">
            <v>7012</v>
          </cell>
          <cell r="E627" t="str">
            <v>向中央银行借款净增加额</v>
          </cell>
          <cell r="F627">
            <v>0</v>
          </cell>
          <cell r="G627">
            <v>0</v>
          </cell>
          <cell r="H627">
            <v>0</v>
          </cell>
          <cell r="I627">
            <v>0</v>
          </cell>
          <cell r="J627">
            <v>0</v>
          </cell>
          <cell r="M627">
            <v>0</v>
          </cell>
          <cell r="T627">
            <v>7046</v>
          </cell>
          <cell r="U627">
            <v>1904506.11</v>
          </cell>
        </row>
        <row r="628">
          <cell r="D628">
            <v>7013</v>
          </cell>
          <cell r="E628" t="str">
            <v>向其他金融机构拆入资金净增加额</v>
          </cell>
          <cell r="F628">
            <v>0</v>
          </cell>
          <cell r="G628">
            <v>0</v>
          </cell>
          <cell r="H628">
            <v>0</v>
          </cell>
          <cell r="I628">
            <v>0</v>
          </cell>
          <cell r="J628">
            <v>0</v>
          </cell>
          <cell r="M628">
            <v>0</v>
          </cell>
          <cell r="T628">
            <v>7048</v>
          </cell>
          <cell r="U628">
            <v>349417092.75</v>
          </cell>
        </row>
        <row r="629">
          <cell r="D629">
            <v>7014</v>
          </cell>
          <cell r="E629" t="str">
            <v>收到原保险合同保费取得的现金</v>
          </cell>
          <cell r="F629">
            <v>0</v>
          </cell>
          <cell r="G629">
            <v>0</v>
          </cell>
          <cell r="H629">
            <v>0</v>
          </cell>
          <cell r="I629">
            <v>0</v>
          </cell>
          <cell r="J629">
            <v>0</v>
          </cell>
          <cell r="M629">
            <v>0</v>
          </cell>
          <cell r="T629">
            <v>7051</v>
          </cell>
          <cell r="U629">
            <v>194503585.34</v>
          </cell>
        </row>
        <row r="630">
          <cell r="D630">
            <v>7015</v>
          </cell>
          <cell r="E630" t="str">
            <v>收到再保险业务现金净额</v>
          </cell>
          <cell r="F630">
            <v>0</v>
          </cell>
          <cell r="G630">
            <v>0</v>
          </cell>
          <cell r="H630">
            <v>0</v>
          </cell>
          <cell r="I630">
            <v>0</v>
          </cell>
          <cell r="J630">
            <v>0</v>
          </cell>
          <cell r="M630">
            <v>0</v>
          </cell>
          <cell r="T630">
            <v>7053</v>
          </cell>
          <cell r="U630">
            <v>0</v>
          </cell>
        </row>
        <row r="631">
          <cell r="D631">
            <v>7016</v>
          </cell>
          <cell r="E631" t="str">
            <v>保户储金及投资款净增加额</v>
          </cell>
          <cell r="F631">
            <v>0</v>
          </cell>
          <cell r="G631">
            <v>0</v>
          </cell>
          <cell r="H631">
            <v>0</v>
          </cell>
          <cell r="I631">
            <v>0</v>
          </cell>
          <cell r="J631">
            <v>0</v>
          </cell>
          <cell r="M631">
            <v>0</v>
          </cell>
          <cell r="T631">
            <v>7054</v>
          </cell>
          <cell r="U631">
            <v>0</v>
          </cell>
        </row>
        <row r="632">
          <cell r="D632">
            <v>7021</v>
          </cell>
          <cell r="E632" t="str">
            <v>处置交易性金融资产净增加额</v>
          </cell>
          <cell r="F632">
            <v>0</v>
          </cell>
          <cell r="G632">
            <v>0</v>
          </cell>
          <cell r="H632">
            <v>0</v>
          </cell>
          <cell r="I632">
            <v>0</v>
          </cell>
          <cell r="J632">
            <v>0</v>
          </cell>
          <cell r="M632">
            <v>0</v>
          </cell>
          <cell r="T632">
            <v>7055</v>
          </cell>
          <cell r="U632">
            <v>0</v>
          </cell>
        </row>
        <row r="633">
          <cell r="D633">
            <v>7023</v>
          </cell>
          <cell r="E633" t="str">
            <v>收取利息手续费及佣金的现金</v>
          </cell>
          <cell r="F633">
            <v>0</v>
          </cell>
          <cell r="G633">
            <v>0</v>
          </cell>
          <cell r="H633">
            <v>0</v>
          </cell>
          <cell r="I633">
            <v>0</v>
          </cell>
          <cell r="J633">
            <v>0</v>
          </cell>
          <cell r="M633">
            <v>0</v>
          </cell>
          <cell r="T633">
            <v>7056</v>
          </cell>
          <cell r="U633">
            <v>0</v>
          </cell>
        </row>
        <row r="634">
          <cell r="D634">
            <v>7025</v>
          </cell>
          <cell r="E634" t="str">
            <v>拆入资金净增加额</v>
          </cell>
          <cell r="F634">
            <v>0</v>
          </cell>
          <cell r="G634">
            <v>0</v>
          </cell>
          <cell r="H634">
            <v>0</v>
          </cell>
          <cell r="I634">
            <v>0</v>
          </cell>
          <cell r="J634">
            <v>0</v>
          </cell>
          <cell r="M634">
            <v>0</v>
          </cell>
          <cell r="T634">
            <v>7057</v>
          </cell>
          <cell r="U634">
            <v>0</v>
          </cell>
        </row>
        <row r="635">
          <cell r="D635">
            <v>7026</v>
          </cell>
          <cell r="E635" t="str">
            <v>回购业务资金净增加额</v>
          </cell>
          <cell r="F635">
            <v>0</v>
          </cell>
          <cell r="G635">
            <v>0</v>
          </cell>
          <cell r="H635">
            <v>0</v>
          </cell>
          <cell r="I635">
            <v>0</v>
          </cell>
          <cell r="J635">
            <v>0</v>
          </cell>
          <cell r="M635">
            <v>0</v>
          </cell>
          <cell r="T635">
            <v>7061</v>
          </cell>
          <cell r="U635">
            <v>42955440.460000001</v>
          </cell>
        </row>
        <row r="636">
          <cell r="D636">
            <v>7031</v>
          </cell>
          <cell r="E636" t="str">
            <v>收到的税费返还</v>
          </cell>
          <cell r="F636">
            <v>0</v>
          </cell>
          <cell r="G636">
            <v>0</v>
          </cell>
          <cell r="H636">
            <v>0</v>
          </cell>
          <cell r="I636">
            <v>0</v>
          </cell>
          <cell r="J636">
            <v>0</v>
          </cell>
          <cell r="M636">
            <v>0</v>
          </cell>
          <cell r="T636">
            <v>7071</v>
          </cell>
          <cell r="U636">
            <v>30618329.710000001</v>
          </cell>
        </row>
        <row r="637">
          <cell r="D637">
            <v>7046</v>
          </cell>
          <cell r="E637" t="str">
            <v>收到其他与经营活动有关的现金</v>
          </cell>
          <cell r="F637">
            <v>10775019.449999999</v>
          </cell>
          <cell r="G637">
            <v>0</v>
          </cell>
          <cell r="H637">
            <v>0</v>
          </cell>
          <cell r="I637">
            <v>10775019.449999999</v>
          </cell>
          <cell r="J637">
            <v>1904506.11</v>
          </cell>
          <cell r="M637">
            <v>1904506.11</v>
          </cell>
          <cell r="T637">
            <v>7096</v>
          </cell>
          <cell r="U637">
            <v>73267495.150000006</v>
          </cell>
        </row>
        <row r="638">
          <cell r="D638">
            <v>7048</v>
          </cell>
          <cell r="E638" t="str">
            <v>经营活动现金流入</v>
          </cell>
          <cell r="F638">
            <v>233082994.65000001</v>
          </cell>
          <cell r="G638">
            <v>0</v>
          </cell>
          <cell r="H638">
            <v>0</v>
          </cell>
          <cell r="I638">
            <v>233082994.65000001</v>
          </cell>
          <cell r="J638">
            <v>349417092.75</v>
          </cell>
          <cell r="K638">
            <v>0</v>
          </cell>
          <cell r="L638">
            <v>0</v>
          </cell>
          <cell r="M638">
            <v>349417092.75</v>
          </cell>
          <cell r="T638">
            <v>7098</v>
          </cell>
          <cell r="U638">
            <v>341344850.66000003</v>
          </cell>
        </row>
        <row r="639">
          <cell r="D639">
            <v>7051</v>
          </cell>
          <cell r="E639" t="str">
            <v>购买商品接受劳务支付的现金</v>
          </cell>
          <cell r="F639">
            <v>127554413.06999999</v>
          </cell>
          <cell r="G639">
            <v>0</v>
          </cell>
          <cell r="H639">
            <v>0</v>
          </cell>
          <cell r="I639">
            <v>127554413.06999999</v>
          </cell>
          <cell r="J639">
            <v>194503585.34</v>
          </cell>
          <cell r="M639">
            <v>194503585.34</v>
          </cell>
          <cell r="T639">
            <v>7099</v>
          </cell>
          <cell r="U639">
            <v>8072242.0899999999</v>
          </cell>
        </row>
        <row r="640">
          <cell r="D640">
            <v>7053</v>
          </cell>
          <cell r="E640" t="str">
            <v>客户贷款及垫款净增加额</v>
          </cell>
          <cell r="F640">
            <v>0</v>
          </cell>
          <cell r="G640">
            <v>0</v>
          </cell>
          <cell r="H640">
            <v>0</v>
          </cell>
          <cell r="I640">
            <v>0</v>
          </cell>
          <cell r="J640">
            <v>0</v>
          </cell>
          <cell r="M640">
            <v>0</v>
          </cell>
          <cell r="T640">
            <v>7100</v>
          </cell>
          <cell r="U640">
            <v>0</v>
          </cell>
        </row>
        <row r="641">
          <cell r="D641">
            <v>7054</v>
          </cell>
          <cell r="E641" t="str">
            <v>存放中央银行和同业款项净增加额</v>
          </cell>
          <cell r="F641">
            <v>0</v>
          </cell>
          <cell r="G641">
            <v>0</v>
          </cell>
          <cell r="H641">
            <v>0</v>
          </cell>
          <cell r="I641">
            <v>0</v>
          </cell>
          <cell r="J641">
            <v>0</v>
          </cell>
          <cell r="M641">
            <v>0</v>
          </cell>
          <cell r="T641">
            <v>7101</v>
          </cell>
          <cell r="U641">
            <v>0</v>
          </cell>
        </row>
        <row r="642">
          <cell r="D642">
            <v>7055</v>
          </cell>
          <cell r="E642" t="str">
            <v>支付原保险合同赔付款项的现金</v>
          </cell>
          <cell r="F642">
            <v>0</v>
          </cell>
          <cell r="G642">
            <v>0</v>
          </cell>
          <cell r="H642">
            <v>0</v>
          </cell>
          <cell r="I642">
            <v>0</v>
          </cell>
          <cell r="J642">
            <v>0</v>
          </cell>
          <cell r="M642">
            <v>0</v>
          </cell>
          <cell r="T642">
            <v>7105</v>
          </cell>
          <cell r="U642">
            <v>470415.54</v>
          </cell>
        </row>
        <row r="643">
          <cell r="D643">
            <v>7056</v>
          </cell>
          <cell r="E643" t="str">
            <v>支付利息手续费及佣金的现金</v>
          </cell>
          <cell r="F643">
            <v>0</v>
          </cell>
          <cell r="G643">
            <v>0</v>
          </cell>
          <cell r="H643">
            <v>0</v>
          </cell>
          <cell r="I643">
            <v>0</v>
          </cell>
          <cell r="J643">
            <v>0</v>
          </cell>
          <cell r="M643">
            <v>0</v>
          </cell>
          <cell r="T643">
            <v>7111</v>
          </cell>
          <cell r="U643">
            <v>0</v>
          </cell>
        </row>
        <row r="644">
          <cell r="D644">
            <v>7057</v>
          </cell>
          <cell r="E644" t="str">
            <v>支付保单红利的现金</v>
          </cell>
          <cell r="F644">
            <v>0</v>
          </cell>
          <cell r="G644">
            <v>0</v>
          </cell>
          <cell r="H644">
            <v>0</v>
          </cell>
          <cell r="I644">
            <v>0</v>
          </cell>
          <cell r="J644">
            <v>0</v>
          </cell>
          <cell r="M644">
            <v>0</v>
          </cell>
          <cell r="T644">
            <v>7121</v>
          </cell>
          <cell r="U644">
            <v>0</v>
          </cell>
        </row>
        <row r="645">
          <cell r="D645">
            <v>7061</v>
          </cell>
          <cell r="E645" t="str">
            <v>支付给职工以及为职工支付的现金</v>
          </cell>
          <cell r="F645">
            <v>47258084.799999997</v>
          </cell>
          <cell r="G645">
            <v>0</v>
          </cell>
          <cell r="H645">
            <v>0</v>
          </cell>
          <cell r="I645">
            <v>47258084.799999997</v>
          </cell>
          <cell r="J645">
            <v>42955440.460000001</v>
          </cell>
          <cell r="M645">
            <v>42955440.460000001</v>
          </cell>
          <cell r="T645">
            <v>7146</v>
          </cell>
          <cell r="U645">
            <v>0</v>
          </cell>
        </row>
        <row r="646">
          <cell r="D646">
            <v>7071</v>
          </cell>
          <cell r="E646" t="str">
            <v>支付的各项税费</v>
          </cell>
          <cell r="F646">
            <v>44375175.539999999</v>
          </cell>
          <cell r="G646">
            <v>0</v>
          </cell>
          <cell r="H646">
            <v>0</v>
          </cell>
          <cell r="I646">
            <v>44375175.539999999</v>
          </cell>
          <cell r="J646">
            <v>30618329.710000001</v>
          </cell>
          <cell r="M646">
            <v>30618329.710000001</v>
          </cell>
          <cell r="T646">
            <v>7148</v>
          </cell>
          <cell r="U646">
            <v>470415.54</v>
          </cell>
        </row>
        <row r="647">
          <cell r="D647">
            <v>7096</v>
          </cell>
          <cell r="E647" t="str">
            <v>支付其他与经营活动有关的现金</v>
          </cell>
          <cell r="F647">
            <v>74585798.819999993</v>
          </cell>
          <cell r="G647">
            <v>0</v>
          </cell>
          <cell r="H647">
            <v>0</v>
          </cell>
          <cell r="I647">
            <v>74585798.819999993</v>
          </cell>
          <cell r="J647">
            <v>73267495.150000006</v>
          </cell>
          <cell r="M647">
            <v>73267495.150000006</v>
          </cell>
          <cell r="T647">
            <v>7151</v>
          </cell>
          <cell r="U647">
            <v>2066328.27</v>
          </cell>
        </row>
        <row r="648">
          <cell r="D648">
            <v>7098</v>
          </cell>
          <cell r="E648" t="str">
            <v>经营活动现金流出</v>
          </cell>
          <cell r="F648">
            <v>293773472.23000002</v>
          </cell>
          <cell r="G648">
            <v>0</v>
          </cell>
          <cell r="H648">
            <v>0</v>
          </cell>
          <cell r="I648">
            <v>293773472.23000002</v>
          </cell>
          <cell r="J648">
            <v>341344850.66000003</v>
          </cell>
          <cell r="K648">
            <v>0</v>
          </cell>
          <cell r="L648">
            <v>0</v>
          </cell>
          <cell r="M648">
            <v>341344850.66000003</v>
          </cell>
          <cell r="T648">
            <v>7161</v>
          </cell>
          <cell r="U648">
            <v>196068021.66999999</v>
          </cell>
        </row>
        <row r="649">
          <cell r="D649">
            <v>7099</v>
          </cell>
          <cell r="E649" t="str">
            <v>经营活动产生的现金流量净额</v>
          </cell>
          <cell r="F649">
            <v>-60690477.579999998</v>
          </cell>
          <cell r="G649">
            <v>0</v>
          </cell>
          <cell r="H649">
            <v>0</v>
          </cell>
          <cell r="I649">
            <v>-60690477.579999998</v>
          </cell>
          <cell r="J649">
            <v>8072242.0899999999</v>
          </cell>
          <cell r="K649">
            <v>0</v>
          </cell>
          <cell r="L649">
            <v>0</v>
          </cell>
          <cell r="M649">
            <v>8072242.0899999999</v>
          </cell>
          <cell r="T649">
            <v>7165</v>
          </cell>
          <cell r="U649">
            <v>0</v>
          </cell>
        </row>
        <row r="650">
          <cell r="D650">
            <v>7100</v>
          </cell>
          <cell r="E650" t="str">
            <v>投资活动现金流量项目</v>
          </cell>
          <cell r="F650">
            <v>0</v>
          </cell>
          <cell r="G650">
            <v>0</v>
          </cell>
          <cell r="H650">
            <v>0</v>
          </cell>
          <cell r="I650">
            <v>0</v>
          </cell>
          <cell r="J650">
            <v>0</v>
          </cell>
          <cell r="M650">
            <v>0</v>
          </cell>
          <cell r="T650">
            <v>7171</v>
          </cell>
          <cell r="U650">
            <v>0</v>
          </cell>
        </row>
        <row r="651">
          <cell r="D651">
            <v>7101</v>
          </cell>
          <cell r="E651" t="str">
            <v>收回投资收到的现金</v>
          </cell>
          <cell r="F651">
            <v>118000000</v>
          </cell>
          <cell r="G651">
            <v>0</v>
          </cell>
          <cell r="H651">
            <v>0</v>
          </cell>
          <cell r="I651">
            <v>118000000</v>
          </cell>
          <cell r="J651">
            <v>0</v>
          </cell>
          <cell r="M651">
            <v>0</v>
          </cell>
          <cell r="T651">
            <v>7196</v>
          </cell>
          <cell r="U651">
            <v>0</v>
          </cell>
        </row>
        <row r="652">
          <cell r="D652">
            <v>7105</v>
          </cell>
          <cell r="E652" t="str">
            <v>取得投资收益收到的现金</v>
          </cell>
          <cell r="F652">
            <v>2979673.64</v>
          </cell>
          <cell r="G652">
            <v>0</v>
          </cell>
          <cell r="H652">
            <v>0</v>
          </cell>
          <cell r="I652">
            <v>2979673.64</v>
          </cell>
          <cell r="J652">
            <v>470415.54</v>
          </cell>
          <cell r="M652">
            <v>470415.54</v>
          </cell>
          <cell r="T652">
            <v>7198</v>
          </cell>
          <cell r="U652">
            <v>198134349.94</v>
          </cell>
        </row>
        <row r="653">
          <cell r="D653">
            <v>7111</v>
          </cell>
          <cell r="E653" t="str">
            <v>处置固定资产无形资产长期资产收回的现金</v>
          </cell>
          <cell r="F653">
            <v>0</v>
          </cell>
          <cell r="G653">
            <v>0</v>
          </cell>
          <cell r="H653">
            <v>0</v>
          </cell>
          <cell r="I653">
            <v>0</v>
          </cell>
          <cell r="J653">
            <v>0</v>
          </cell>
          <cell r="M653">
            <v>0</v>
          </cell>
          <cell r="T653">
            <v>7199</v>
          </cell>
          <cell r="U653">
            <v>-197663934.40000001</v>
          </cell>
        </row>
        <row r="654">
          <cell r="D654">
            <v>7121</v>
          </cell>
          <cell r="E654" t="str">
            <v>处置子公司及其他营业单位收到的现金净额</v>
          </cell>
          <cell r="F654">
            <v>0</v>
          </cell>
          <cell r="G654">
            <v>0</v>
          </cell>
          <cell r="H654">
            <v>0</v>
          </cell>
          <cell r="I654">
            <v>0</v>
          </cell>
          <cell r="J654">
            <v>0</v>
          </cell>
          <cell r="M654">
            <v>0</v>
          </cell>
          <cell r="T654">
            <v>7200</v>
          </cell>
          <cell r="U654">
            <v>0</v>
          </cell>
        </row>
        <row r="655">
          <cell r="D655">
            <v>7146</v>
          </cell>
          <cell r="E655" t="str">
            <v>收到其他与投资活动有关的现金</v>
          </cell>
          <cell r="F655">
            <v>0</v>
          </cell>
          <cell r="G655">
            <v>0</v>
          </cell>
          <cell r="H655">
            <v>0</v>
          </cell>
          <cell r="I655">
            <v>0</v>
          </cell>
          <cell r="J655">
            <v>0</v>
          </cell>
          <cell r="M655">
            <v>0</v>
          </cell>
          <cell r="T655">
            <v>7201</v>
          </cell>
          <cell r="U655">
            <v>185000000</v>
          </cell>
        </row>
        <row r="656">
          <cell r="D656">
            <v>7148</v>
          </cell>
          <cell r="E656" t="str">
            <v>投资活动现金流入</v>
          </cell>
          <cell r="F656">
            <v>120979673.64</v>
          </cell>
          <cell r="G656">
            <v>0</v>
          </cell>
          <cell r="H656">
            <v>0</v>
          </cell>
          <cell r="I656">
            <v>120979673.64</v>
          </cell>
          <cell r="J656">
            <v>470415.54</v>
          </cell>
          <cell r="K656">
            <v>0</v>
          </cell>
          <cell r="L656">
            <v>0</v>
          </cell>
          <cell r="M656">
            <v>470415.54</v>
          </cell>
          <cell r="T656">
            <v>7201.01</v>
          </cell>
          <cell r="U656">
            <v>0</v>
          </cell>
        </row>
        <row r="657">
          <cell r="D657">
            <v>7151</v>
          </cell>
          <cell r="E657" t="str">
            <v>购置固定资产无形资产长期资产支付的现金</v>
          </cell>
          <cell r="F657">
            <v>13781046.33</v>
          </cell>
          <cell r="G657">
            <v>0</v>
          </cell>
          <cell r="H657">
            <v>0</v>
          </cell>
          <cell r="I657">
            <v>13781046.33</v>
          </cell>
          <cell r="J657">
            <v>2066328.27</v>
          </cell>
          <cell r="M657">
            <v>2066328.27</v>
          </cell>
          <cell r="T657">
            <v>7211</v>
          </cell>
          <cell r="U657">
            <v>93410939.870000005</v>
          </cell>
        </row>
        <row r="658">
          <cell r="D658">
            <v>7161</v>
          </cell>
          <cell r="E658" t="str">
            <v>投资支付的现金</v>
          </cell>
          <cell r="F658">
            <v>27850000</v>
          </cell>
          <cell r="G658">
            <v>0</v>
          </cell>
          <cell r="H658">
            <v>0</v>
          </cell>
          <cell r="I658">
            <v>27850000</v>
          </cell>
          <cell r="J658">
            <v>196068021.66999999</v>
          </cell>
          <cell r="M658">
            <v>196068021.66999999</v>
          </cell>
          <cell r="T658">
            <v>7221</v>
          </cell>
          <cell r="U658">
            <v>0</v>
          </cell>
        </row>
        <row r="659">
          <cell r="D659">
            <v>7165</v>
          </cell>
          <cell r="E659" t="str">
            <v>质押贷款净增加额</v>
          </cell>
          <cell r="F659">
            <v>0</v>
          </cell>
          <cell r="G659">
            <v>0</v>
          </cell>
          <cell r="H659">
            <v>0</v>
          </cell>
          <cell r="I659">
            <v>0</v>
          </cell>
          <cell r="J659">
            <v>0</v>
          </cell>
          <cell r="M659">
            <v>0</v>
          </cell>
          <cell r="T659">
            <v>7246</v>
          </cell>
          <cell r="U659">
            <v>0</v>
          </cell>
        </row>
        <row r="660">
          <cell r="D660">
            <v>7171</v>
          </cell>
          <cell r="E660" t="str">
            <v>取得子公司及其他营业单位支付的现金净额</v>
          </cell>
          <cell r="F660">
            <v>0</v>
          </cell>
          <cell r="G660">
            <v>0</v>
          </cell>
          <cell r="H660">
            <v>0</v>
          </cell>
          <cell r="I660">
            <v>0</v>
          </cell>
          <cell r="J660">
            <v>0</v>
          </cell>
          <cell r="M660">
            <v>0</v>
          </cell>
          <cell r="T660">
            <v>7248</v>
          </cell>
          <cell r="U660">
            <v>278410939.87</v>
          </cell>
        </row>
        <row r="661">
          <cell r="D661">
            <v>7196</v>
          </cell>
          <cell r="E661" t="str">
            <v>支付其他与投资活动有关的现金</v>
          </cell>
          <cell r="F661">
            <v>0</v>
          </cell>
          <cell r="G661">
            <v>0</v>
          </cell>
          <cell r="H661">
            <v>0</v>
          </cell>
          <cell r="I661">
            <v>0</v>
          </cell>
          <cell r="J661">
            <v>0</v>
          </cell>
          <cell r="M661">
            <v>0</v>
          </cell>
          <cell r="T661">
            <v>7251</v>
          </cell>
          <cell r="U661">
            <v>79455525.420000002</v>
          </cell>
        </row>
        <row r="662">
          <cell r="D662">
            <v>7198</v>
          </cell>
          <cell r="E662" t="str">
            <v>投资活动现金流出</v>
          </cell>
          <cell r="F662">
            <v>41631046.329999998</v>
          </cell>
          <cell r="G662">
            <v>0</v>
          </cell>
          <cell r="H662">
            <v>0</v>
          </cell>
          <cell r="I662">
            <v>41631046.329999998</v>
          </cell>
          <cell r="J662">
            <v>198134349.94</v>
          </cell>
          <cell r="K662">
            <v>0</v>
          </cell>
          <cell r="L662">
            <v>0</v>
          </cell>
          <cell r="M662">
            <v>198134349.94</v>
          </cell>
          <cell r="T662">
            <v>7261</v>
          </cell>
          <cell r="U662">
            <v>4764936.9400000004</v>
          </cell>
        </row>
        <row r="663">
          <cell r="D663">
            <v>7199</v>
          </cell>
          <cell r="E663" t="str">
            <v>投资活动产生的现金流量净额</v>
          </cell>
          <cell r="F663">
            <v>79348627.310000002</v>
          </cell>
          <cell r="G663">
            <v>0</v>
          </cell>
          <cell r="H663">
            <v>0</v>
          </cell>
          <cell r="I663">
            <v>79348627.310000002</v>
          </cell>
          <cell r="J663">
            <v>-197663934.40000001</v>
          </cell>
          <cell r="K663">
            <v>0</v>
          </cell>
          <cell r="L663">
            <v>0</v>
          </cell>
          <cell r="M663">
            <v>-197663934.40000001</v>
          </cell>
          <cell r="T663">
            <v>7261.01</v>
          </cell>
          <cell r="U663">
            <v>0</v>
          </cell>
        </row>
        <row r="664">
          <cell r="D664">
            <v>7200</v>
          </cell>
          <cell r="E664" t="str">
            <v>筹资活动现金流量项目</v>
          </cell>
          <cell r="F664">
            <v>0</v>
          </cell>
          <cell r="G664">
            <v>0</v>
          </cell>
          <cell r="H664">
            <v>0</v>
          </cell>
          <cell r="I664">
            <v>0</v>
          </cell>
          <cell r="J664">
            <v>0</v>
          </cell>
          <cell r="M664">
            <v>0</v>
          </cell>
          <cell r="T664">
            <v>7296</v>
          </cell>
          <cell r="U664">
            <v>8786093.9000000004</v>
          </cell>
        </row>
        <row r="665">
          <cell r="D665">
            <v>7201</v>
          </cell>
          <cell r="E665" t="str">
            <v>吸收投资收到的现金</v>
          </cell>
          <cell r="F665">
            <v>0</v>
          </cell>
          <cell r="G665">
            <v>0</v>
          </cell>
          <cell r="H665">
            <v>0</v>
          </cell>
          <cell r="I665">
            <v>0</v>
          </cell>
          <cell r="J665">
            <v>185000000</v>
          </cell>
          <cell r="M665">
            <v>185000000</v>
          </cell>
          <cell r="T665">
            <v>7296.11</v>
          </cell>
          <cell r="U665">
            <v>0</v>
          </cell>
        </row>
        <row r="666">
          <cell r="D666">
            <v>7201.01</v>
          </cell>
          <cell r="E666" t="str">
            <v>子公司吸收少数股东投资收到的现金</v>
          </cell>
          <cell r="F666">
            <v>0</v>
          </cell>
          <cell r="G666">
            <v>0</v>
          </cell>
          <cell r="H666">
            <v>0</v>
          </cell>
          <cell r="I666">
            <v>0</v>
          </cell>
          <cell r="J666">
            <v>0</v>
          </cell>
          <cell r="M666">
            <v>0</v>
          </cell>
          <cell r="T666">
            <v>7298</v>
          </cell>
          <cell r="U666">
            <v>93006556.260000005</v>
          </cell>
        </row>
        <row r="667">
          <cell r="D667">
            <v>7211</v>
          </cell>
          <cell r="E667" t="str">
            <v>取得借款收到的现金</v>
          </cell>
          <cell r="F667">
            <v>20577607.440000001</v>
          </cell>
          <cell r="G667">
            <v>0</v>
          </cell>
          <cell r="H667">
            <v>0</v>
          </cell>
          <cell r="I667">
            <v>20577607.440000001</v>
          </cell>
          <cell r="J667">
            <v>93410939.870000005</v>
          </cell>
          <cell r="M667">
            <v>93410939.870000005</v>
          </cell>
          <cell r="T667">
            <v>7299</v>
          </cell>
          <cell r="U667">
            <v>185404383.61000001</v>
          </cell>
        </row>
        <row r="668">
          <cell r="D668">
            <v>7221</v>
          </cell>
          <cell r="E668" t="str">
            <v>发行债券收到的现金</v>
          </cell>
          <cell r="F668">
            <v>49500000</v>
          </cell>
          <cell r="G668">
            <v>0</v>
          </cell>
          <cell r="H668">
            <v>0</v>
          </cell>
          <cell r="I668">
            <v>49500000</v>
          </cell>
          <cell r="J668">
            <v>0</v>
          </cell>
          <cell r="M668">
            <v>0</v>
          </cell>
          <cell r="T668">
            <v>7309</v>
          </cell>
          <cell r="U668">
            <v>0</v>
          </cell>
        </row>
        <row r="669">
          <cell r="D669">
            <v>7246</v>
          </cell>
          <cell r="E669" t="str">
            <v>收到其他与筹资活动有关的现金</v>
          </cell>
          <cell r="F669">
            <v>14794880.91</v>
          </cell>
          <cell r="G669">
            <v>0</v>
          </cell>
          <cell r="H669">
            <v>0</v>
          </cell>
          <cell r="I669">
            <v>14794880.91</v>
          </cell>
          <cell r="J669">
            <v>0</v>
          </cell>
          <cell r="M669">
            <v>0</v>
          </cell>
          <cell r="T669">
            <v>7348</v>
          </cell>
          <cell r="U669">
            <v>-4187308.7</v>
          </cell>
        </row>
        <row r="670">
          <cell r="D670">
            <v>7248</v>
          </cell>
          <cell r="E670" t="str">
            <v>筹资活动现金流入</v>
          </cell>
          <cell r="F670">
            <v>84872488.349999994</v>
          </cell>
          <cell r="G670">
            <v>0</v>
          </cell>
          <cell r="H670">
            <v>0</v>
          </cell>
          <cell r="I670">
            <v>84872488.349999994</v>
          </cell>
          <cell r="J670">
            <v>278410939.87</v>
          </cell>
          <cell r="K670">
            <v>0</v>
          </cell>
          <cell r="L670">
            <v>0</v>
          </cell>
          <cell r="M670">
            <v>278410939.87</v>
          </cell>
          <cell r="T670">
            <v>7349</v>
          </cell>
          <cell r="U670">
            <v>33782083.140000001</v>
          </cell>
        </row>
        <row r="671">
          <cell r="D671">
            <v>7251</v>
          </cell>
          <cell r="E671" t="str">
            <v>偿还债务支付的现金</v>
          </cell>
          <cell r="F671">
            <v>66534355.109999999</v>
          </cell>
          <cell r="G671">
            <v>0</v>
          </cell>
          <cell r="H671">
            <v>0</v>
          </cell>
          <cell r="I671">
            <v>66534355.109999999</v>
          </cell>
          <cell r="J671">
            <v>79455525.420000002</v>
          </cell>
          <cell r="M671">
            <v>79455525.420000002</v>
          </cell>
          <cell r="T671">
            <v>7399</v>
          </cell>
          <cell r="U671">
            <v>29594774.440000001</v>
          </cell>
        </row>
        <row r="672">
          <cell r="D672">
            <v>7261</v>
          </cell>
          <cell r="E672" t="str">
            <v>分配利润偿付利息支付的现金</v>
          </cell>
          <cell r="F672">
            <v>4126540.79</v>
          </cell>
          <cell r="G672">
            <v>0</v>
          </cell>
          <cell r="H672">
            <v>0</v>
          </cell>
          <cell r="I672">
            <v>4126540.79</v>
          </cell>
          <cell r="J672">
            <v>4764936.9400000004</v>
          </cell>
          <cell r="M672">
            <v>4764936.9400000004</v>
          </cell>
          <cell r="T672">
            <v>19</v>
          </cell>
        </row>
        <row r="673">
          <cell r="D673">
            <v>7261.01</v>
          </cell>
          <cell r="E673" t="str">
            <v>子公司支付少数股东的现金股利</v>
          </cell>
          <cell r="F673">
            <v>0</v>
          </cell>
          <cell r="G673">
            <v>0</v>
          </cell>
          <cell r="H673">
            <v>0</v>
          </cell>
          <cell r="I673">
            <v>0</v>
          </cell>
          <cell r="J673">
            <v>0</v>
          </cell>
          <cell r="M673">
            <v>0</v>
          </cell>
          <cell r="T673">
            <v>1122.1231</v>
          </cell>
          <cell r="U673">
            <v>-4935058.26</v>
          </cell>
        </row>
        <row r="674">
          <cell r="D674">
            <v>7296</v>
          </cell>
          <cell r="E674" t="str">
            <v>支付其他与筹资活动有关的现金</v>
          </cell>
          <cell r="F674">
            <v>1500570</v>
          </cell>
          <cell r="G674">
            <v>0</v>
          </cell>
          <cell r="H674">
            <v>0</v>
          </cell>
          <cell r="I674">
            <v>1500570</v>
          </cell>
          <cell r="J674">
            <v>8786093.9000000004</v>
          </cell>
          <cell r="M674">
            <v>8786093.9000000004</v>
          </cell>
          <cell r="T674">
            <v>1125.1231</v>
          </cell>
          <cell r="U674">
            <v>0</v>
          </cell>
        </row>
        <row r="675">
          <cell r="D675">
            <v>7296.11</v>
          </cell>
          <cell r="E675" t="str">
            <v>子公司减资支付给少数股东的现金</v>
          </cell>
          <cell r="F675">
            <v>0</v>
          </cell>
          <cell r="G675">
            <v>0</v>
          </cell>
          <cell r="H675">
            <v>0</v>
          </cell>
          <cell r="I675">
            <v>0</v>
          </cell>
          <cell r="J675">
            <v>0</v>
          </cell>
          <cell r="M675">
            <v>0</v>
          </cell>
          <cell r="T675">
            <v>1221.1231</v>
          </cell>
          <cell r="U675">
            <v>0</v>
          </cell>
        </row>
        <row r="676">
          <cell r="D676">
            <v>7298</v>
          </cell>
          <cell r="E676" t="str">
            <v>筹资活动现金流出</v>
          </cell>
          <cell r="F676">
            <v>72161465.900000006</v>
          </cell>
          <cell r="G676">
            <v>0</v>
          </cell>
          <cell r="H676">
            <v>0</v>
          </cell>
          <cell r="I676">
            <v>72161465.900000006</v>
          </cell>
          <cell r="J676">
            <v>93006556.260000005</v>
          </cell>
          <cell r="K676">
            <v>0</v>
          </cell>
          <cell r="L676">
            <v>0</v>
          </cell>
          <cell r="M676">
            <v>93006556.260000005</v>
          </cell>
          <cell r="T676">
            <v>1400.1470999999999</v>
          </cell>
          <cell r="U676">
            <v>3800147.9</v>
          </cell>
        </row>
        <row r="677">
          <cell r="D677">
            <v>7299</v>
          </cell>
          <cell r="E677" t="str">
            <v>筹资活动产生的现金流量净额</v>
          </cell>
          <cell r="F677">
            <v>12711022.449999999</v>
          </cell>
          <cell r="G677">
            <v>0</v>
          </cell>
          <cell r="H677">
            <v>0</v>
          </cell>
          <cell r="I677">
            <v>12711022.449999999</v>
          </cell>
          <cell r="J677">
            <v>185404383.61000001</v>
          </cell>
          <cell r="K677">
            <v>0</v>
          </cell>
          <cell r="L677">
            <v>0</v>
          </cell>
          <cell r="M677">
            <v>185404383.61000001</v>
          </cell>
          <cell r="T677">
            <v>1503.1504</v>
          </cell>
          <cell r="U677">
            <v>0</v>
          </cell>
        </row>
        <row r="678">
          <cell r="D678">
            <v>7309</v>
          </cell>
          <cell r="E678" t="str">
            <v>汇率变动对现金及现金等价物的影响</v>
          </cell>
          <cell r="F678">
            <v>0</v>
          </cell>
          <cell r="G678">
            <v>0</v>
          </cell>
          <cell r="H678">
            <v>0</v>
          </cell>
          <cell r="I678">
            <v>0</v>
          </cell>
          <cell r="J678">
            <v>0</v>
          </cell>
          <cell r="M678">
            <v>0</v>
          </cell>
          <cell r="T678">
            <v>1501.1502</v>
          </cell>
          <cell r="U678">
            <v>0</v>
          </cell>
        </row>
        <row r="679">
          <cell r="D679">
            <v>7348</v>
          </cell>
          <cell r="E679" t="str">
            <v>现金及现金等价物净增加额</v>
          </cell>
          <cell r="F679">
            <v>31369172.18</v>
          </cell>
          <cell r="G679">
            <v>0</v>
          </cell>
          <cell r="H679">
            <v>0</v>
          </cell>
          <cell r="I679">
            <v>31369172.18</v>
          </cell>
          <cell r="J679">
            <v>-4187308.7</v>
          </cell>
          <cell r="K679">
            <v>0</v>
          </cell>
          <cell r="L679">
            <v>0</v>
          </cell>
          <cell r="M679">
            <v>-4187308.7</v>
          </cell>
          <cell r="T679">
            <v>1511.1512</v>
          </cell>
          <cell r="U679">
            <v>0</v>
          </cell>
        </row>
        <row r="680">
          <cell r="D680">
            <v>7349</v>
          </cell>
          <cell r="E680" t="str">
            <v>期初现金及现金等价物余额</v>
          </cell>
          <cell r="F680">
            <v>29594774.440000001</v>
          </cell>
          <cell r="G680">
            <v>0</v>
          </cell>
          <cell r="H680">
            <v>0</v>
          </cell>
          <cell r="I680">
            <v>29594774.440000001</v>
          </cell>
          <cell r="J680">
            <v>33782083.140000001</v>
          </cell>
          <cell r="M680">
            <v>33782083.140000001</v>
          </cell>
          <cell r="T680">
            <v>1521.1522</v>
          </cell>
          <cell r="U680">
            <v>0</v>
          </cell>
        </row>
        <row r="681">
          <cell r="D681">
            <v>7399</v>
          </cell>
          <cell r="E681" t="str">
            <v>期末现金及现金等价物余额</v>
          </cell>
          <cell r="F681">
            <v>60963946.619999997</v>
          </cell>
          <cell r="G681">
            <v>0</v>
          </cell>
          <cell r="H681">
            <v>0</v>
          </cell>
          <cell r="I681">
            <v>60963946.619999997</v>
          </cell>
          <cell r="J681">
            <v>29594774.440000001</v>
          </cell>
          <cell r="K681">
            <v>0</v>
          </cell>
          <cell r="L681">
            <v>0</v>
          </cell>
          <cell r="M681">
            <v>29594774.440000001</v>
          </cell>
          <cell r="T681">
            <v>1601.1603</v>
          </cell>
          <cell r="U681">
            <v>0</v>
          </cell>
        </row>
        <row r="682">
          <cell r="D682">
            <v>19</v>
          </cell>
          <cell r="E682" t="str">
            <v>资产负债表补充资料：资产减值准备</v>
          </cell>
          <cell r="T682">
            <v>1605.1608000000001</v>
          </cell>
          <cell r="U682">
            <v>0</v>
          </cell>
        </row>
        <row r="683">
          <cell r="D683">
            <v>1122.1231</v>
          </cell>
          <cell r="E683" t="str">
            <v>应收账款坏账准备</v>
          </cell>
          <cell r="F683">
            <v>0</v>
          </cell>
          <cell r="G683">
            <v>0</v>
          </cell>
          <cell r="H683">
            <v>-9548960.3499999996</v>
          </cell>
          <cell r="I683">
            <v>-9548960.3499999996</v>
          </cell>
          <cell r="J683">
            <v>0</v>
          </cell>
          <cell r="K683">
            <v>0</v>
          </cell>
          <cell r="L683">
            <v>0</v>
          </cell>
          <cell r="M683">
            <v>0</v>
          </cell>
          <cell r="T683">
            <v>1604.1606999999999</v>
          </cell>
          <cell r="U683">
            <v>0</v>
          </cell>
        </row>
        <row r="684">
          <cell r="D684">
            <v>1125.1231</v>
          </cell>
          <cell r="E684" t="str">
            <v>预付款项坏账准备</v>
          </cell>
          <cell r="F684">
            <v>0</v>
          </cell>
          <cell r="G684">
            <v>0</v>
          </cell>
          <cell r="H684">
            <v>0</v>
          </cell>
          <cell r="I684">
            <v>0</v>
          </cell>
          <cell r="J684">
            <v>0</v>
          </cell>
          <cell r="K684">
            <v>0</v>
          </cell>
          <cell r="L684">
            <v>0</v>
          </cell>
          <cell r="M684">
            <v>0</v>
          </cell>
          <cell r="T684">
            <v>1621.1623999999999</v>
          </cell>
          <cell r="U684">
            <v>0</v>
          </cell>
        </row>
        <row r="685">
          <cell r="D685">
            <v>1221.1231</v>
          </cell>
          <cell r="E685" t="str">
            <v>其他应收款坏账准备</v>
          </cell>
          <cell r="F685">
            <v>0</v>
          </cell>
          <cell r="G685">
            <v>0</v>
          </cell>
          <cell r="H685">
            <v>0</v>
          </cell>
          <cell r="I685">
            <v>0</v>
          </cell>
          <cell r="J685">
            <v>0</v>
          </cell>
          <cell r="K685">
            <v>0</v>
          </cell>
          <cell r="L685">
            <v>0</v>
          </cell>
          <cell r="M685">
            <v>0</v>
          </cell>
          <cell r="T685">
            <v>1631.1632999999999</v>
          </cell>
          <cell r="U685">
            <v>0</v>
          </cell>
        </row>
        <row r="686">
          <cell r="D686">
            <v>1400.1470999999999</v>
          </cell>
          <cell r="E686" t="str">
            <v>存货跌价准备</v>
          </cell>
          <cell r="F686">
            <v>0</v>
          </cell>
          <cell r="G686">
            <v>0</v>
          </cell>
          <cell r="H686">
            <v>7339067.7000000002</v>
          </cell>
          <cell r="I686">
            <v>7339067.7000000002</v>
          </cell>
          <cell r="J686">
            <v>0</v>
          </cell>
          <cell r="K686">
            <v>0</v>
          </cell>
          <cell r="L686">
            <v>0</v>
          </cell>
          <cell r="M686">
            <v>0</v>
          </cell>
          <cell r="T686">
            <v>1701.1703</v>
          </cell>
          <cell r="U686">
            <v>0</v>
          </cell>
        </row>
        <row r="687">
          <cell r="D687">
            <v>1503.1504</v>
          </cell>
          <cell r="E687" t="str">
            <v>可供出售金融资产减值准备</v>
          </cell>
          <cell r="F687">
            <v>0</v>
          </cell>
          <cell r="G687">
            <v>0</v>
          </cell>
          <cell r="H687">
            <v>0</v>
          </cell>
          <cell r="I687">
            <v>0</v>
          </cell>
          <cell r="J687">
            <v>0</v>
          </cell>
          <cell r="K687">
            <v>0</v>
          </cell>
          <cell r="L687">
            <v>0</v>
          </cell>
          <cell r="M687">
            <v>0</v>
          </cell>
          <cell r="T687">
            <v>1711.1712</v>
          </cell>
          <cell r="U687">
            <v>0</v>
          </cell>
        </row>
        <row r="688">
          <cell r="D688">
            <v>1501.1502</v>
          </cell>
          <cell r="E688" t="str">
            <v>持有至到期投资减值准备</v>
          </cell>
          <cell r="F688">
            <v>0</v>
          </cell>
          <cell r="G688">
            <v>0</v>
          </cell>
          <cell r="H688">
            <v>0</v>
          </cell>
          <cell r="I688">
            <v>0</v>
          </cell>
          <cell r="J688">
            <v>0</v>
          </cell>
          <cell r="K688">
            <v>0</v>
          </cell>
          <cell r="L688">
            <v>0</v>
          </cell>
          <cell r="M688">
            <v>0</v>
          </cell>
          <cell r="T688">
            <v>1991.1992</v>
          </cell>
          <cell r="U688">
            <v>0</v>
          </cell>
        </row>
        <row r="689">
          <cell r="D689">
            <v>1511.1512</v>
          </cell>
          <cell r="E689" t="str">
            <v>长期股权投资减值准备</v>
          </cell>
          <cell r="F689">
            <v>0</v>
          </cell>
          <cell r="G689">
            <v>0</v>
          </cell>
          <cell r="H689">
            <v>0</v>
          </cell>
          <cell r="I689">
            <v>0</v>
          </cell>
          <cell r="J689">
            <v>0</v>
          </cell>
          <cell r="K689">
            <v>0</v>
          </cell>
          <cell r="L689">
            <v>0</v>
          </cell>
          <cell r="M689">
            <v>0</v>
          </cell>
          <cell r="T689">
            <v>1991</v>
          </cell>
          <cell r="U689">
            <v>-1134910.3600000001</v>
          </cell>
        </row>
        <row r="690">
          <cell r="D690">
            <v>1521.1522</v>
          </cell>
          <cell r="E690" t="str">
            <v>投资性房地产减值准备</v>
          </cell>
          <cell r="F690">
            <v>0</v>
          </cell>
          <cell r="G690">
            <v>0</v>
          </cell>
          <cell r="H690">
            <v>0</v>
          </cell>
          <cell r="I690">
            <v>0</v>
          </cell>
          <cell r="J690">
            <v>0</v>
          </cell>
          <cell r="K690">
            <v>0</v>
          </cell>
          <cell r="L690">
            <v>0</v>
          </cell>
          <cell r="M690">
            <v>0</v>
          </cell>
          <cell r="T690">
            <v>7500</v>
          </cell>
        </row>
        <row r="691">
          <cell r="D691">
            <v>1601.1603</v>
          </cell>
          <cell r="E691" t="str">
            <v>固定资产减值准备</v>
          </cell>
          <cell r="F691">
            <v>0</v>
          </cell>
          <cell r="G691">
            <v>0</v>
          </cell>
          <cell r="H691">
            <v>0</v>
          </cell>
          <cell r="I691">
            <v>0</v>
          </cell>
          <cell r="J691">
            <v>0</v>
          </cell>
          <cell r="K691">
            <v>0</v>
          </cell>
          <cell r="L691">
            <v>0</v>
          </cell>
          <cell r="M691">
            <v>0</v>
          </cell>
          <cell r="T691">
            <v>7501</v>
          </cell>
        </row>
        <row r="692">
          <cell r="D692">
            <v>1605.1608000000001</v>
          </cell>
          <cell r="E692" t="str">
            <v>工程物资减值准备</v>
          </cell>
          <cell r="F692">
            <v>0</v>
          </cell>
          <cell r="G692">
            <v>0</v>
          </cell>
          <cell r="H692">
            <v>0</v>
          </cell>
          <cell r="I692">
            <v>0</v>
          </cell>
          <cell r="J692">
            <v>0</v>
          </cell>
          <cell r="K692">
            <v>0</v>
          </cell>
          <cell r="L692">
            <v>0</v>
          </cell>
          <cell r="M692">
            <v>0</v>
          </cell>
          <cell r="T692">
            <v>7502</v>
          </cell>
          <cell r="U692">
            <v>9093244.5299999993</v>
          </cell>
        </row>
        <row r="693">
          <cell r="D693">
            <v>1604.1606999999999</v>
          </cell>
          <cell r="E693" t="str">
            <v>在建工程减值准备</v>
          </cell>
          <cell r="F693">
            <v>0</v>
          </cell>
          <cell r="G693">
            <v>0</v>
          </cell>
          <cell r="H693">
            <v>0</v>
          </cell>
          <cell r="I693">
            <v>0</v>
          </cell>
          <cell r="J693">
            <v>0</v>
          </cell>
          <cell r="K693">
            <v>0</v>
          </cell>
          <cell r="L693">
            <v>0</v>
          </cell>
          <cell r="M693">
            <v>0</v>
          </cell>
          <cell r="T693">
            <v>7503</v>
          </cell>
          <cell r="U693">
            <v>12121942.5</v>
          </cell>
        </row>
        <row r="694">
          <cell r="D694">
            <v>1621.1623999999999</v>
          </cell>
          <cell r="E694" t="str">
            <v>生产性生物资产减值准备</v>
          </cell>
          <cell r="F694">
            <v>0</v>
          </cell>
          <cell r="G694">
            <v>0</v>
          </cell>
          <cell r="H694">
            <v>0</v>
          </cell>
          <cell r="I694">
            <v>0</v>
          </cell>
          <cell r="J694">
            <v>0</v>
          </cell>
          <cell r="K694">
            <v>0</v>
          </cell>
          <cell r="L694">
            <v>0</v>
          </cell>
          <cell r="M694">
            <v>0</v>
          </cell>
          <cell r="T694">
            <v>7505</v>
          </cell>
          <cell r="U694">
            <v>1698226.02</v>
          </cell>
        </row>
        <row r="695">
          <cell r="D695">
            <v>1631.1632999999999</v>
          </cell>
          <cell r="E695" t="str">
            <v>油气资产减值准备</v>
          </cell>
          <cell r="F695">
            <v>0</v>
          </cell>
          <cell r="G695">
            <v>0</v>
          </cell>
          <cell r="H695">
            <v>0</v>
          </cell>
          <cell r="I695">
            <v>0</v>
          </cell>
          <cell r="J695">
            <v>0</v>
          </cell>
          <cell r="K695">
            <v>0</v>
          </cell>
          <cell r="L695">
            <v>0</v>
          </cell>
          <cell r="M695">
            <v>0</v>
          </cell>
          <cell r="T695">
            <v>7506</v>
          </cell>
          <cell r="U695">
            <v>515647.04</v>
          </cell>
        </row>
        <row r="696">
          <cell r="D696">
            <v>1701.1703</v>
          </cell>
          <cell r="E696" t="str">
            <v>无形资产减值准备</v>
          </cell>
          <cell r="F696">
            <v>0</v>
          </cell>
          <cell r="G696">
            <v>0</v>
          </cell>
          <cell r="H696">
            <v>0</v>
          </cell>
          <cell r="I696">
            <v>0</v>
          </cell>
          <cell r="J696">
            <v>0</v>
          </cell>
          <cell r="K696">
            <v>0</v>
          </cell>
          <cell r="L696">
            <v>0</v>
          </cell>
          <cell r="M696">
            <v>0</v>
          </cell>
          <cell r="T696">
            <v>7507</v>
          </cell>
          <cell r="U696">
            <v>325923.24</v>
          </cell>
        </row>
        <row r="697">
          <cell r="D697">
            <v>1711.1712</v>
          </cell>
          <cell r="E697" t="str">
            <v>商誉减值准备</v>
          </cell>
          <cell r="F697">
            <v>0</v>
          </cell>
          <cell r="G697">
            <v>0</v>
          </cell>
          <cell r="H697">
            <v>0</v>
          </cell>
          <cell r="I697">
            <v>0</v>
          </cell>
          <cell r="J697">
            <v>0</v>
          </cell>
          <cell r="K697">
            <v>0</v>
          </cell>
          <cell r="L697">
            <v>0</v>
          </cell>
          <cell r="M697">
            <v>0</v>
          </cell>
          <cell r="T697">
            <v>7508</v>
          </cell>
          <cell r="U697">
            <v>0</v>
          </cell>
        </row>
        <row r="698">
          <cell r="D698">
            <v>1991.1992</v>
          </cell>
          <cell r="E698" t="str">
            <v>其他减值准备</v>
          </cell>
          <cell r="F698">
            <v>0</v>
          </cell>
          <cell r="G698">
            <v>0</v>
          </cell>
          <cell r="H698">
            <v>0</v>
          </cell>
          <cell r="I698">
            <v>0</v>
          </cell>
          <cell r="J698">
            <v>0</v>
          </cell>
          <cell r="K698">
            <v>0</v>
          </cell>
          <cell r="L698">
            <v>0</v>
          </cell>
          <cell r="M698">
            <v>0</v>
          </cell>
          <cell r="T698">
            <v>7509</v>
          </cell>
          <cell r="U698">
            <v>36031.22</v>
          </cell>
        </row>
        <row r="699">
          <cell r="D699">
            <v>1991</v>
          </cell>
          <cell r="E699" t="str">
            <v>资产减值准备</v>
          </cell>
          <cell r="F699">
            <v>0</v>
          </cell>
          <cell r="G699">
            <v>0</v>
          </cell>
          <cell r="H699">
            <v>-2209892.65</v>
          </cell>
          <cell r="I699">
            <v>-2209892.65</v>
          </cell>
          <cell r="J699">
            <v>0</v>
          </cell>
          <cell r="K699">
            <v>0</v>
          </cell>
          <cell r="L699">
            <v>0</v>
          </cell>
          <cell r="M699">
            <v>0</v>
          </cell>
          <cell r="T699">
            <v>7510</v>
          </cell>
          <cell r="U699">
            <v>0</v>
          </cell>
        </row>
        <row r="700">
          <cell r="D700">
            <v>7500</v>
          </cell>
          <cell r="E700" t="str">
            <v>现金流量表补充资料</v>
          </cell>
          <cell r="G700" t="str">
            <v>以下须手工调整，不从CFJE表取数</v>
          </cell>
          <cell r="K700" t="str">
            <v>以下须手工调整，不从CFJE表取数</v>
          </cell>
          <cell r="T700">
            <v>7511</v>
          </cell>
          <cell r="U700">
            <v>5691522.3899999997</v>
          </cell>
        </row>
        <row r="701">
          <cell r="D701">
            <v>7501</v>
          </cell>
          <cell r="E701" t="str">
            <v>将净利润调节为经营活动现金流量</v>
          </cell>
          <cell r="G701" t="str">
            <v>调增</v>
          </cell>
          <cell r="H701" t="str">
            <v>调减</v>
          </cell>
          <cell r="K701" t="str">
            <v>调增</v>
          </cell>
          <cell r="L701" t="str">
            <v>调减</v>
          </cell>
          <cell r="T701">
            <v>7512</v>
          </cell>
          <cell r="U701">
            <v>-470415.54</v>
          </cell>
        </row>
        <row r="702">
          <cell r="D702">
            <v>7502</v>
          </cell>
          <cell r="E702" t="str">
            <v>净利润金额</v>
          </cell>
          <cell r="F702">
            <v>41500779.109999999</v>
          </cell>
          <cell r="G702">
            <v>5120096.72</v>
          </cell>
          <cell r="I702">
            <v>46620875.829999998</v>
          </cell>
          <cell r="J702">
            <v>9093244.5299999993</v>
          </cell>
          <cell r="M702">
            <v>9093244.5299999993</v>
          </cell>
          <cell r="T702">
            <v>7515</v>
          </cell>
          <cell r="U702">
            <v>-4287182.84</v>
          </cell>
        </row>
        <row r="703">
          <cell r="D703">
            <v>7503</v>
          </cell>
          <cell r="E703" t="str">
            <v>资产减值准备金额</v>
          </cell>
          <cell r="F703">
            <v>15187956.779999999</v>
          </cell>
          <cell r="I703">
            <v>15187956.779999999</v>
          </cell>
          <cell r="J703">
            <v>12121942.5</v>
          </cell>
          <cell r="M703">
            <v>12121942.5</v>
          </cell>
          <cell r="T703">
            <v>7516</v>
          </cell>
          <cell r="U703">
            <v>0</v>
          </cell>
        </row>
        <row r="704">
          <cell r="D704">
            <v>7505</v>
          </cell>
          <cell r="E704" t="str">
            <v>固定资产折旧、油气资产折耗、生产性生物资产折旧</v>
          </cell>
          <cell r="F704">
            <v>1568483.84</v>
          </cell>
          <cell r="I704">
            <v>1568483.84</v>
          </cell>
          <cell r="J704">
            <v>1698226.02</v>
          </cell>
          <cell r="M704">
            <v>1698226.02</v>
          </cell>
          <cell r="T704">
            <v>7517</v>
          </cell>
          <cell r="U704">
            <v>12766411.48</v>
          </cell>
        </row>
        <row r="705">
          <cell r="D705">
            <v>7506</v>
          </cell>
          <cell r="E705" t="str">
            <v>无形资产摊销</v>
          </cell>
          <cell r="F705">
            <v>592222.91</v>
          </cell>
          <cell r="I705">
            <v>592222.91</v>
          </cell>
          <cell r="J705">
            <v>515647.04</v>
          </cell>
          <cell r="M705">
            <v>515647.04</v>
          </cell>
          <cell r="T705">
            <v>7518</v>
          </cell>
          <cell r="U705">
            <v>-20097506.809999999</v>
          </cell>
        </row>
        <row r="706">
          <cell r="D706">
            <v>7507</v>
          </cell>
          <cell r="E706" t="str">
            <v>长期待摊费用摊销</v>
          </cell>
          <cell r="F706">
            <v>0</v>
          </cell>
          <cell r="I706">
            <v>0</v>
          </cell>
          <cell r="J706">
            <v>325923.24</v>
          </cell>
          <cell r="M706">
            <v>325923.24</v>
          </cell>
          <cell r="T706">
            <v>7519</v>
          </cell>
          <cell r="U706">
            <v>-16036674.41</v>
          </cell>
        </row>
        <row r="707">
          <cell r="D707">
            <v>7508</v>
          </cell>
          <cell r="E707" t="str">
            <v>处置固定资产、无形资产和其他长期资产的损失</v>
          </cell>
          <cell r="F707">
            <v>0</v>
          </cell>
          <cell r="I707">
            <v>0</v>
          </cell>
          <cell r="J707">
            <v>0</v>
          </cell>
          <cell r="M707">
            <v>0</v>
          </cell>
          <cell r="T707">
            <v>7523</v>
          </cell>
          <cell r="U707">
            <v>6715073.2699999996</v>
          </cell>
        </row>
        <row r="708">
          <cell r="D708">
            <v>7509</v>
          </cell>
          <cell r="E708" t="str">
            <v>固定资产报废损失</v>
          </cell>
          <cell r="F708">
            <v>1227.5</v>
          </cell>
          <cell r="I708">
            <v>1227.5</v>
          </cell>
          <cell r="J708">
            <v>36031.22</v>
          </cell>
          <cell r="M708">
            <v>36031.22</v>
          </cell>
          <cell r="T708">
            <v>7525</v>
          </cell>
          <cell r="U708">
            <v>8072242.0899999999</v>
          </cell>
        </row>
        <row r="709">
          <cell r="D709">
            <v>7510</v>
          </cell>
          <cell r="E709" t="str">
            <v>公允价值变动损失</v>
          </cell>
          <cell r="F709">
            <v>0</v>
          </cell>
          <cell r="I709">
            <v>0</v>
          </cell>
          <cell r="J709">
            <v>0</v>
          </cell>
          <cell r="M709">
            <v>0</v>
          </cell>
          <cell r="T709">
            <v>7526</v>
          </cell>
        </row>
        <row r="710">
          <cell r="D710">
            <v>7511</v>
          </cell>
          <cell r="E710" t="str">
            <v>财务费用金额</v>
          </cell>
          <cell r="F710">
            <v>5224403.83</v>
          </cell>
          <cell r="I710">
            <v>5224403.83</v>
          </cell>
          <cell r="J710">
            <v>5691522.3899999997</v>
          </cell>
          <cell r="M710">
            <v>5691522.3899999997</v>
          </cell>
          <cell r="T710">
            <v>7527</v>
          </cell>
          <cell r="U710">
            <v>0</v>
          </cell>
        </row>
        <row r="711">
          <cell r="D711">
            <v>7512</v>
          </cell>
          <cell r="E711" t="str">
            <v>投资损失</v>
          </cell>
          <cell r="F711">
            <v>-34979673.640000001</v>
          </cell>
          <cell r="I711">
            <v>-34979673.640000001</v>
          </cell>
          <cell r="J711">
            <v>-470415.54</v>
          </cell>
          <cell r="M711">
            <v>-470415.54</v>
          </cell>
          <cell r="T711">
            <v>7528</v>
          </cell>
          <cell r="U711">
            <v>0</v>
          </cell>
        </row>
        <row r="712">
          <cell r="D712">
            <v>7515</v>
          </cell>
          <cell r="E712" t="str">
            <v>递延所得税资产减少</v>
          </cell>
          <cell r="F712">
            <v>-3575551.7</v>
          </cell>
          <cell r="I712">
            <v>-3575551.7</v>
          </cell>
          <cell r="J712">
            <v>-4287182.84</v>
          </cell>
          <cell r="M712">
            <v>-4287182.84</v>
          </cell>
          <cell r="T712">
            <v>7529</v>
          </cell>
          <cell r="U712">
            <v>0</v>
          </cell>
        </row>
        <row r="713">
          <cell r="D713">
            <v>7516</v>
          </cell>
          <cell r="E713" t="str">
            <v>递延所得税负债增加</v>
          </cell>
          <cell r="F713">
            <v>0</v>
          </cell>
          <cell r="I713">
            <v>0</v>
          </cell>
          <cell r="J713">
            <v>0</v>
          </cell>
          <cell r="M713">
            <v>0</v>
          </cell>
          <cell r="T713">
            <v>7533</v>
          </cell>
        </row>
        <row r="714">
          <cell r="D714">
            <v>7517</v>
          </cell>
          <cell r="E714" t="str">
            <v>存货的减少</v>
          </cell>
          <cell r="F714">
            <v>25577837.530000001</v>
          </cell>
          <cell r="I714">
            <v>25577837.530000001</v>
          </cell>
          <cell r="J714">
            <v>12766411.48</v>
          </cell>
          <cell r="M714">
            <v>12766411.48</v>
          </cell>
          <cell r="T714">
            <v>7535</v>
          </cell>
          <cell r="U714">
            <v>29594774.440000001</v>
          </cell>
        </row>
        <row r="715">
          <cell r="D715">
            <v>7518</v>
          </cell>
          <cell r="E715" t="str">
            <v>经营性应收项目的减少</v>
          </cell>
          <cell r="F715">
            <v>-156456435.69</v>
          </cell>
          <cell r="I715">
            <v>-156456435.69</v>
          </cell>
          <cell r="J715">
            <v>-20097506.809999999</v>
          </cell>
          <cell r="M715">
            <v>-20097506.809999999</v>
          </cell>
          <cell r="T715">
            <v>7536</v>
          </cell>
          <cell r="U715">
            <v>33782083.140000001</v>
          </cell>
        </row>
        <row r="716">
          <cell r="D716">
            <v>7519</v>
          </cell>
          <cell r="E716" t="str">
            <v>经营性应付项目的增加</v>
          </cell>
          <cell r="F716">
            <v>38251703.140000001</v>
          </cell>
          <cell r="I716">
            <v>38251703.140000001</v>
          </cell>
          <cell r="J716">
            <v>-16036674.41</v>
          </cell>
          <cell r="M716">
            <v>-16036674.41</v>
          </cell>
          <cell r="T716">
            <v>7537</v>
          </cell>
          <cell r="U716">
            <v>0</v>
          </cell>
        </row>
        <row r="717">
          <cell r="D717">
            <v>7523</v>
          </cell>
          <cell r="E717" t="str">
            <v>其他将净利润调节为经营活动现金流量项目</v>
          </cell>
          <cell r="F717">
            <v>1296472.0900000001</v>
          </cell>
          <cell r="I717">
            <v>1296472.0900000001</v>
          </cell>
          <cell r="J717">
            <v>6715073.2699999996</v>
          </cell>
          <cell r="M717">
            <v>6715073.2699999996</v>
          </cell>
          <cell r="T717">
            <v>7538</v>
          </cell>
          <cell r="U717">
            <v>0</v>
          </cell>
        </row>
        <row r="718">
          <cell r="D718">
            <v>7525</v>
          </cell>
          <cell r="E718" t="str">
            <v>经营活动产生的现金流量净额</v>
          </cell>
          <cell r="F718">
            <v>-65810574.299999997</v>
          </cell>
          <cell r="G718">
            <v>5120096.72</v>
          </cell>
          <cell r="H718">
            <v>0</v>
          </cell>
          <cell r="I718">
            <v>-60690477.579999998</v>
          </cell>
          <cell r="J718">
            <v>8072242.0899999999</v>
          </cell>
          <cell r="K718">
            <v>0</v>
          </cell>
          <cell r="L718">
            <v>0</v>
          </cell>
          <cell r="M718">
            <v>8072242.0899999999</v>
          </cell>
          <cell r="T718">
            <v>7539</v>
          </cell>
          <cell r="U718">
            <v>-4187308.7</v>
          </cell>
        </row>
        <row r="719">
          <cell r="D719">
            <v>7526</v>
          </cell>
          <cell r="E719" t="str">
            <v>不涉及现金收支的重大投资和筹资活动</v>
          </cell>
          <cell r="T719">
            <v>6829.5110000000004</v>
          </cell>
          <cell r="U719">
            <v>0</v>
          </cell>
        </row>
        <row r="720">
          <cell r="D720">
            <v>7527</v>
          </cell>
          <cell r="E720" t="str">
            <v>债务转为资本</v>
          </cell>
          <cell r="F720">
            <v>0</v>
          </cell>
          <cell r="I720">
            <v>0</v>
          </cell>
          <cell r="J720">
            <v>0</v>
          </cell>
          <cell r="M720">
            <v>0</v>
          </cell>
          <cell r="T720">
            <v>6829.5119999999997</v>
          </cell>
          <cell r="U720">
            <v>0</v>
          </cell>
        </row>
        <row r="721">
          <cell r="D721">
            <v>7528</v>
          </cell>
          <cell r="E721" t="str">
            <v>一年内到期的可转换公司债券</v>
          </cell>
          <cell r="F721">
            <v>0</v>
          </cell>
          <cell r="I721">
            <v>0</v>
          </cell>
          <cell r="J721">
            <v>0</v>
          </cell>
          <cell r="M721">
            <v>0</v>
          </cell>
          <cell r="T721">
            <v>6829.5190000000002</v>
          </cell>
          <cell r="U721">
            <v>0</v>
          </cell>
        </row>
        <row r="722">
          <cell r="D722">
            <v>7529</v>
          </cell>
          <cell r="E722" t="str">
            <v>融资租入固定资产</v>
          </cell>
          <cell r="F722">
            <v>0</v>
          </cell>
          <cell r="I722">
            <v>0</v>
          </cell>
          <cell r="J722">
            <v>0</v>
          </cell>
          <cell r="M722">
            <v>0</v>
          </cell>
          <cell r="T722">
            <v>6829.5309999999999</v>
          </cell>
          <cell r="U722">
            <v>0</v>
          </cell>
        </row>
        <row r="723">
          <cell r="D723">
            <v>7533</v>
          </cell>
          <cell r="E723" t="str">
            <v>现金及现金等价物净变动情况</v>
          </cell>
          <cell r="T723">
            <v>6829.5320000000002</v>
          </cell>
          <cell r="U723">
            <v>0</v>
          </cell>
        </row>
        <row r="724">
          <cell r="D724">
            <v>7535</v>
          </cell>
          <cell r="E724" t="str">
            <v>现金的期末余额</v>
          </cell>
          <cell r="F724">
            <v>60963946.619999997</v>
          </cell>
          <cell r="I724">
            <v>60963946.619999997</v>
          </cell>
          <cell r="J724">
            <v>29594774.440000001</v>
          </cell>
          <cell r="M724">
            <v>29594774.440000001</v>
          </cell>
          <cell r="T724">
            <v>6829.5330000000004</v>
          </cell>
          <cell r="U724">
            <v>0</v>
          </cell>
        </row>
        <row r="725">
          <cell r="D725">
            <v>7536</v>
          </cell>
          <cell r="E725" t="str">
            <v>减：现金的年初余额</v>
          </cell>
          <cell r="F725">
            <v>29594774.440000001</v>
          </cell>
          <cell r="I725">
            <v>29594774.440000001</v>
          </cell>
          <cell r="J725">
            <v>33782083.140000001</v>
          </cell>
          <cell r="M725">
            <v>33782083.140000001</v>
          </cell>
          <cell r="T725">
            <v>6829.5339999999997</v>
          </cell>
          <cell r="U725">
            <v>0</v>
          </cell>
        </row>
        <row r="726">
          <cell r="D726">
            <v>7537</v>
          </cell>
          <cell r="E726" t="str">
            <v>加：现金等价物的期末余额</v>
          </cell>
          <cell r="F726">
            <v>0</v>
          </cell>
          <cell r="I726">
            <v>0</v>
          </cell>
          <cell r="J726">
            <v>0</v>
          </cell>
          <cell r="M726">
            <v>0</v>
          </cell>
          <cell r="T726">
            <v>6829.5349999999999</v>
          </cell>
          <cell r="U726">
            <v>0</v>
          </cell>
        </row>
        <row r="727">
          <cell r="D727">
            <v>7538</v>
          </cell>
          <cell r="E727" t="str">
            <v>减：现金等价物的年初余额</v>
          </cell>
          <cell r="F727">
            <v>0</v>
          </cell>
          <cell r="I727">
            <v>0</v>
          </cell>
          <cell r="J727">
            <v>0</v>
          </cell>
          <cell r="M727">
            <v>0</v>
          </cell>
          <cell r="T727">
            <v>6829.5360000000001</v>
          </cell>
          <cell r="U727">
            <v>0</v>
          </cell>
        </row>
        <row r="728">
          <cell r="D728">
            <v>7539</v>
          </cell>
          <cell r="E728" t="str">
            <v>现金及现金等价物净增加额</v>
          </cell>
          <cell r="F728">
            <v>31369172.18</v>
          </cell>
          <cell r="G728">
            <v>0</v>
          </cell>
          <cell r="H728">
            <v>0</v>
          </cell>
          <cell r="I728">
            <v>31369172.18</v>
          </cell>
          <cell r="J728">
            <v>-4187308.7</v>
          </cell>
          <cell r="K728">
            <v>0</v>
          </cell>
          <cell r="L728">
            <v>0</v>
          </cell>
          <cell r="M728">
            <v>-4187308.7</v>
          </cell>
          <cell r="T728">
            <v>6829.5370000000003</v>
          </cell>
          <cell r="U728">
            <v>0</v>
          </cell>
        </row>
        <row r="729">
          <cell r="D729">
            <v>6829.5110000000004</v>
          </cell>
          <cell r="E729" t="str">
            <v>少数股东其他综合收益_重新计量设定受益计划变动额</v>
          </cell>
          <cell r="G729">
            <v>0</v>
          </cell>
          <cell r="H729">
            <v>0</v>
          </cell>
          <cell r="I729">
            <v>0</v>
          </cell>
          <cell r="K729">
            <v>0</v>
          </cell>
          <cell r="L729">
            <v>0</v>
          </cell>
          <cell r="M729">
            <v>0</v>
          </cell>
          <cell r="T729">
            <v>6829.5389999999998</v>
          </cell>
          <cell r="U729">
            <v>0</v>
          </cell>
        </row>
        <row r="730">
          <cell r="D730">
            <v>6829.5119999999997</v>
          </cell>
          <cell r="E730" t="str">
            <v>少数股东其他综合收益_权益法下不能转损益的其他综合收益</v>
          </cell>
          <cell r="G730">
            <v>0</v>
          </cell>
          <cell r="H730">
            <v>0</v>
          </cell>
          <cell r="I730">
            <v>0</v>
          </cell>
          <cell r="K730">
            <v>0</v>
          </cell>
          <cell r="L730">
            <v>0</v>
          </cell>
          <cell r="M730">
            <v>0</v>
          </cell>
        </row>
        <row r="731">
          <cell r="D731">
            <v>6829.5190000000002</v>
          </cell>
          <cell r="E731" t="str">
            <v>少数股东其他综合收益_其他以后不能重分类进损益的其他综合收益</v>
          </cell>
          <cell r="G731">
            <v>0</v>
          </cell>
          <cell r="H731">
            <v>0</v>
          </cell>
          <cell r="I731">
            <v>0</v>
          </cell>
          <cell r="K731">
            <v>0</v>
          </cell>
          <cell r="L731">
            <v>0</v>
          </cell>
          <cell r="M731">
            <v>0</v>
          </cell>
        </row>
        <row r="732">
          <cell r="D732">
            <v>6829.5309999999999</v>
          </cell>
          <cell r="E732" t="str">
            <v>少数股东其他综合收益_权益法下可转损益的其他综合收益</v>
          </cell>
          <cell r="G732">
            <v>0</v>
          </cell>
          <cell r="H732">
            <v>0</v>
          </cell>
          <cell r="I732">
            <v>0</v>
          </cell>
          <cell r="K732">
            <v>0</v>
          </cell>
          <cell r="L732">
            <v>0</v>
          </cell>
          <cell r="M732">
            <v>0</v>
          </cell>
        </row>
        <row r="733">
          <cell r="D733">
            <v>6829.5320000000002</v>
          </cell>
          <cell r="E733" t="str">
            <v>少数股东其他综合收益_可供出售金融资产公允价值变动损益</v>
          </cell>
          <cell r="G733">
            <v>0</v>
          </cell>
          <cell r="H733">
            <v>0</v>
          </cell>
          <cell r="I733">
            <v>0</v>
          </cell>
          <cell r="K733">
            <v>0</v>
          </cell>
          <cell r="L733">
            <v>0</v>
          </cell>
          <cell r="M733">
            <v>0</v>
          </cell>
        </row>
        <row r="734">
          <cell r="D734">
            <v>6829.5330000000004</v>
          </cell>
          <cell r="E734" t="str">
            <v>少数股东其他综合收益_持有至到期投资重分类为可供出售金融资产损益</v>
          </cell>
          <cell r="G734">
            <v>0</v>
          </cell>
          <cell r="H734">
            <v>0</v>
          </cell>
          <cell r="I734">
            <v>0</v>
          </cell>
          <cell r="K734">
            <v>0</v>
          </cell>
          <cell r="L734">
            <v>0</v>
          </cell>
          <cell r="M734">
            <v>0</v>
          </cell>
        </row>
        <row r="735">
          <cell r="D735">
            <v>6829.5339999999997</v>
          </cell>
          <cell r="E735" t="str">
            <v>少数股东其他综合收益_现金流量套期损益的有效部分</v>
          </cell>
          <cell r="G735">
            <v>0</v>
          </cell>
          <cell r="H735">
            <v>0</v>
          </cell>
          <cell r="I735">
            <v>0</v>
          </cell>
          <cell r="K735">
            <v>0</v>
          </cell>
          <cell r="L735">
            <v>0</v>
          </cell>
          <cell r="M735">
            <v>0</v>
          </cell>
        </row>
        <row r="736">
          <cell r="D736">
            <v>6829.5349999999999</v>
          </cell>
          <cell r="E736" t="str">
            <v>少数股东其他综合收益_外币财务报表折算差额</v>
          </cell>
          <cell r="G736">
            <v>0</v>
          </cell>
          <cell r="H736">
            <v>0</v>
          </cell>
          <cell r="I736">
            <v>0</v>
          </cell>
          <cell r="K736">
            <v>0</v>
          </cell>
          <cell r="L736">
            <v>0</v>
          </cell>
          <cell r="M736">
            <v>0</v>
          </cell>
        </row>
        <row r="737">
          <cell r="D737">
            <v>6829.5360000000001</v>
          </cell>
          <cell r="E737" t="str">
            <v>少数股东其他综合收益_自用房地产或作为存货的房地产转换为以公允价值计量的投资性房地产在转换日公允价值大于账面价值部分</v>
          </cell>
          <cell r="G737">
            <v>0</v>
          </cell>
          <cell r="H737">
            <v>0</v>
          </cell>
          <cell r="I737">
            <v>0</v>
          </cell>
          <cell r="K737">
            <v>0</v>
          </cell>
          <cell r="L737">
            <v>0</v>
          </cell>
          <cell r="M737">
            <v>0</v>
          </cell>
        </row>
        <row r="738">
          <cell r="D738">
            <v>6829.5370000000003</v>
          </cell>
          <cell r="E738" t="str">
            <v>少数股东其他综合收益_多次交易分步处置子公司股权构成一揽子交易的丧失控制权之前各次交易处置价款与对应净资产账面价值份额的差额</v>
          </cell>
          <cell r="G738">
            <v>0</v>
          </cell>
          <cell r="H738">
            <v>0</v>
          </cell>
          <cell r="I738">
            <v>0</v>
          </cell>
          <cell r="K738">
            <v>0</v>
          </cell>
          <cell r="L738">
            <v>0</v>
          </cell>
          <cell r="M738">
            <v>0</v>
          </cell>
        </row>
        <row r="739">
          <cell r="D739">
            <v>6829.5389999999998</v>
          </cell>
          <cell r="E739" t="str">
            <v>少数股东其他综合收益_其他以后将重分类进损益的其他综合收益</v>
          </cell>
          <cell r="G739">
            <v>0</v>
          </cell>
          <cell r="H739">
            <v>0</v>
          </cell>
          <cell r="I739">
            <v>0</v>
          </cell>
          <cell r="K739">
            <v>0</v>
          </cell>
          <cell r="L739">
            <v>0</v>
          </cell>
          <cell r="M739">
            <v>0</v>
          </cell>
        </row>
      </sheetData>
      <sheetData sheetId="8"/>
      <sheetData sheetId="9"/>
      <sheetData sheetId="10" refreshError="1"/>
      <sheetData sheetId="11" refreshError="1"/>
      <sheetData sheetId="12" refreshError="1"/>
      <sheetData sheetId="13"/>
      <sheetData sheetId="14">
        <row r="50">
          <cell r="C50" t="str">
            <v>现金流量表补充资料</v>
          </cell>
          <cell r="E50" t="str">
            <v>本年金额</v>
          </cell>
          <cell r="F50" t="str">
            <v>上年金额</v>
          </cell>
        </row>
        <row r="51">
          <cell r="B51">
            <v>7501</v>
          </cell>
          <cell r="C51" t="str">
            <v>1.将净利润调节为经营活动现金流量：</v>
          </cell>
        </row>
        <row r="52">
          <cell r="B52">
            <v>7502</v>
          </cell>
          <cell r="C52" t="str">
            <v>净利润</v>
          </cell>
          <cell r="E52">
            <v>46620875.829999998</v>
          </cell>
          <cell r="F52">
            <v>9093244.5299999993</v>
          </cell>
        </row>
        <row r="53">
          <cell r="B53">
            <v>7503</v>
          </cell>
          <cell r="C53" t="str">
            <v>加：资产减值准备</v>
          </cell>
          <cell r="E53">
            <v>15187956.779999999</v>
          </cell>
          <cell r="F53">
            <v>12121942.5</v>
          </cell>
        </row>
        <row r="54">
          <cell r="B54">
            <v>7505</v>
          </cell>
          <cell r="C54" t="str">
            <v>固定资产折旧、油气资产折耗、生产性生物资产折旧</v>
          </cell>
          <cell r="E54">
            <v>1568483.84</v>
          </cell>
          <cell r="F54">
            <v>1698226.02</v>
          </cell>
        </row>
        <row r="55">
          <cell r="B55">
            <v>7506</v>
          </cell>
          <cell r="C55" t="str">
            <v>无形资产摊销</v>
          </cell>
          <cell r="E55">
            <v>592222.91</v>
          </cell>
          <cell r="F55">
            <v>515647.04</v>
          </cell>
        </row>
        <row r="56">
          <cell r="B56">
            <v>7507</v>
          </cell>
          <cell r="C56" t="str">
            <v>长期待摊费用摊销</v>
          </cell>
          <cell r="E56">
            <v>0</v>
          </cell>
          <cell r="F56">
            <v>325923.24</v>
          </cell>
        </row>
        <row r="57">
          <cell r="B57">
            <v>7508</v>
          </cell>
          <cell r="C57" t="str">
            <v>处置固定资产、无形资产和其他长期资产的损失（收益以“－”号填列）</v>
          </cell>
          <cell r="E57">
            <v>0</v>
          </cell>
          <cell r="F57">
            <v>0</v>
          </cell>
        </row>
        <row r="58">
          <cell r="B58">
            <v>7509</v>
          </cell>
          <cell r="C58" t="str">
            <v>固定资产报废损失（收益以“－”号填列）</v>
          </cell>
          <cell r="E58">
            <v>1227.5</v>
          </cell>
          <cell r="F58">
            <v>36031.22</v>
          </cell>
        </row>
        <row r="59">
          <cell r="B59">
            <v>7510</v>
          </cell>
          <cell r="C59" t="str">
            <v>公允价值变动损失（收益以“－”号填列）</v>
          </cell>
          <cell r="E59">
            <v>0</v>
          </cell>
          <cell r="F59">
            <v>0</v>
          </cell>
        </row>
        <row r="60">
          <cell r="B60">
            <v>7511</v>
          </cell>
          <cell r="C60" t="str">
            <v>财务费用（收益以“－”号填列）</v>
          </cell>
          <cell r="E60">
            <v>5224403.83</v>
          </cell>
          <cell r="F60">
            <v>5691522.3899999997</v>
          </cell>
        </row>
        <row r="61">
          <cell r="B61">
            <v>7512</v>
          </cell>
          <cell r="C61" t="str">
            <v>投资损失（收益以“－”号填列）</v>
          </cell>
          <cell r="E61">
            <v>-34979673.640000001</v>
          </cell>
          <cell r="F61">
            <v>-470415.54</v>
          </cell>
        </row>
        <row r="62">
          <cell r="B62">
            <v>7515</v>
          </cell>
          <cell r="C62" t="str">
            <v>递延所得税资产减少（增加以“－”号填列）</v>
          </cell>
          <cell r="E62">
            <v>-3575551.7</v>
          </cell>
          <cell r="F62">
            <v>-4287182.84</v>
          </cell>
        </row>
        <row r="63">
          <cell r="B63">
            <v>7516</v>
          </cell>
          <cell r="C63" t="str">
            <v>递延所得税负债增加（减少以“－”号填列）</v>
          </cell>
          <cell r="E63">
            <v>0</v>
          </cell>
          <cell r="F63">
            <v>0</v>
          </cell>
        </row>
        <row r="64">
          <cell r="B64">
            <v>7517</v>
          </cell>
          <cell r="C64" t="str">
            <v>存货的减少（增加以“－”号填列）</v>
          </cell>
          <cell r="E64">
            <v>25577837.530000001</v>
          </cell>
          <cell r="F64">
            <v>12766411.48</v>
          </cell>
        </row>
        <row r="65">
          <cell r="B65">
            <v>7518</v>
          </cell>
          <cell r="C65" t="str">
            <v>经营性应收项目的减少（增加以“－”号填列）</v>
          </cell>
          <cell r="E65">
            <v>-156456435.69</v>
          </cell>
          <cell r="F65">
            <v>-20097506.809999999</v>
          </cell>
        </row>
        <row r="66">
          <cell r="B66">
            <v>7519</v>
          </cell>
          <cell r="C66" t="str">
            <v>经营性应付项目的增加（减少以“－”号填列）</v>
          </cell>
          <cell r="E66">
            <v>38251703.140000001</v>
          </cell>
          <cell r="F66">
            <v>-16036674.41</v>
          </cell>
        </row>
        <row r="67">
          <cell r="B67">
            <v>7523</v>
          </cell>
          <cell r="C67" t="str">
            <v>其他</v>
          </cell>
          <cell r="E67">
            <v>1296472.0900000001</v>
          </cell>
          <cell r="F67">
            <v>6715073.2699999996</v>
          </cell>
        </row>
        <row r="68">
          <cell r="B68">
            <v>7525</v>
          </cell>
          <cell r="C68" t="str">
            <v>经营活动产生的现金流量净额</v>
          </cell>
          <cell r="E68">
            <v>-60690477.579999998</v>
          </cell>
          <cell r="F68">
            <v>8072242.0899999999</v>
          </cell>
        </row>
        <row r="69">
          <cell r="B69">
            <v>7526</v>
          </cell>
          <cell r="C69" t="str">
            <v>2.不涉及现金收支的重大投资和筹资活动：</v>
          </cell>
        </row>
        <row r="70">
          <cell r="B70">
            <v>7527</v>
          </cell>
          <cell r="C70" t="str">
            <v>债务转为资本</v>
          </cell>
          <cell r="E70">
            <v>0</v>
          </cell>
          <cell r="F70">
            <v>0</v>
          </cell>
        </row>
        <row r="71">
          <cell r="B71">
            <v>7528</v>
          </cell>
          <cell r="C71" t="str">
            <v>一年内到期的可转换公司债券</v>
          </cell>
          <cell r="E71">
            <v>0</v>
          </cell>
          <cell r="F71">
            <v>0</v>
          </cell>
        </row>
        <row r="72">
          <cell r="B72">
            <v>7529</v>
          </cell>
          <cell r="C72" t="str">
            <v>融资租入固定资产</v>
          </cell>
          <cell r="E72">
            <v>0</v>
          </cell>
          <cell r="F72">
            <v>0</v>
          </cell>
        </row>
        <row r="73">
          <cell r="B73">
            <v>7533</v>
          </cell>
          <cell r="C73" t="str">
            <v>3.现金及现金等价物净变动情况：</v>
          </cell>
        </row>
        <row r="74">
          <cell r="B74">
            <v>7535</v>
          </cell>
          <cell r="C74" t="str">
            <v>现金的期末余额</v>
          </cell>
          <cell r="E74">
            <v>60963946.619999997</v>
          </cell>
          <cell r="F74">
            <v>29594774.440000001</v>
          </cell>
        </row>
        <row r="75">
          <cell r="B75">
            <v>7536</v>
          </cell>
          <cell r="C75" t="str">
            <v>减：现金的年初余额</v>
          </cell>
          <cell r="E75">
            <v>29594774.440000001</v>
          </cell>
          <cell r="F75">
            <v>33782083.140000001</v>
          </cell>
        </row>
        <row r="76">
          <cell r="B76">
            <v>7537</v>
          </cell>
          <cell r="C76" t="str">
            <v>加：现金等价物的期末余额</v>
          </cell>
          <cell r="E76">
            <v>0</v>
          </cell>
          <cell r="F76">
            <v>0</v>
          </cell>
        </row>
        <row r="77">
          <cell r="B77">
            <v>7538</v>
          </cell>
          <cell r="C77" t="str">
            <v>减：现金等价物的年初余额</v>
          </cell>
          <cell r="E77">
            <v>0</v>
          </cell>
          <cell r="F77">
            <v>0</v>
          </cell>
        </row>
        <row r="78">
          <cell r="B78">
            <v>7539</v>
          </cell>
          <cell r="C78" t="str">
            <v>现金及现金等价物净增加额</v>
          </cell>
          <cell r="E78">
            <v>31369172.18</v>
          </cell>
          <cell r="F78">
            <v>-4187308.7</v>
          </cell>
        </row>
      </sheetData>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v>0</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preCF"/>
      <sheetName val="preCE"/>
      <sheetName val="TB"/>
      <sheetName val="所得税计算表"/>
      <sheetName val="递延所得税计算表"/>
      <sheetName val="BS"/>
      <sheetName val="IS"/>
      <sheetName val="CF"/>
      <sheetName val="CE"/>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sheetData sheetId="5"/>
      <sheetData sheetId="6"/>
      <sheetData sheetId="7"/>
      <sheetData sheetId="8"/>
      <sheetData sheetId="9"/>
      <sheetData sheetId="10"/>
      <sheetData sheetId="11">
        <row r="35">
          <cell r="G35">
            <v>937117.56</v>
          </cell>
        </row>
      </sheetData>
      <sheetData sheetId="12"/>
      <sheetData sheetId="13"/>
      <sheetData sheetId="14"/>
      <sheetData sheetId="15"/>
      <sheetData sheetId="16"/>
      <sheetData sheetId="17"/>
      <sheetData sheetId="18"/>
      <sheetData sheetId="19">
        <row r="200">
          <cell r="J200">
            <v>0</v>
          </cell>
        </row>
        <row r="2612">
          <cell r="I2612">
            <v>1756924.29</v>
          </cell>
        </row>
        <row r="2613">
          <cell r="I2613">
            <v>12984.78</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preCE"/>
      <sheetName val="preCF"/>
      <sheetName val="TB"/>
      <sheetName val="坏账及减值表"/>
      <sheetName val="递延所得税计算表"/>
      <sheetName val="所得税计算表-期初"/>
      <sheetName val="所得税计算表"/>
      <sheetName val="CF底稿"/>
      <sheetName val="BS"/>
      <sheetName val="IS"/>
      <sheetName val="CF"/>
      <sheetName val="CE"/>
      <sheetName val="AJE"/>
      <sheetName val="CFJE"/>
      <sheetName val="UJE"/>
      <sheetName val="AJE1"/>
      <sheetName val="Notes"/>
      <sheetName val="费用"/>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ow r="35">
          <cell r="G35">
            <v>2472321.16</v>
          </cell>
        </row>
      </sheetData>
      <sheetData sheetId="15"/>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12.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5649</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6418</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5650</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5651</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6612</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6656</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6648</v>
      </c>
      <c r="B13" s="2793">
        <v>1125</v>
      </c>
      <c r="C13" s="2793" t="s">
        <v>162</v>
      </c>
      <c r="D13" s="2793">
        <v>1</v>
      </c>
      <c r="E13" s="2793"/>
      <c r="F13" s="2793" t="s">
        <v>5652</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6606</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6419</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6419</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5653</v>
      </c>
      <c r="I16" s="2793">
        <v>1212</v>
      </c>
      <c r="J16" s="2793" t="s">
        <v>84</v>
      </c>
      <c r="M16" s="2793" t="s">
        <v>201</v>
      </c>
      <c r="N16" s="2794"/>
      <c r="O16" s="2795">
        <v>1221</v>
      </c>
      <c r="P16" s="2796" t="s">
        <v>225</v>
      </c>
      <c r="Q16" s="2796" t="s">
        <v>226</v>
      </c>
      <c r="R16" s="2791">
        <v>7196</v>
      </c>
      <c r="S16" s="2798" t="s">
        <v>6117</v>
      </c>
      <c r="T16" s="2798" t="s">
        <v>6118</v>
      </c>
      <c r="U16" s="2798" t="s">
        <v>6420</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5654</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5655</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5585</v>
      </c>
      <c r="T21" s="2798" t="s">
        <v>5586</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5656</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5657</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6617</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6619</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6421</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5658</v>
      </c>
      <c r="G26" s="2793" t="s">
        <v>247</v>
      </c>
      <c r="H26" s="2793"/>
      <c r="I26" s="2793">
        <v>1496</v>
      </c>
      <c r="J26" s="2793" t="s">
        <v>84</v>
      </c>
      <c r="M26" s="2793" t="s">
        <v>319</v>
      </c>
      <c r="N26" s="2794"/>
      <c r="O26" s="2795">
        <v>1400.1405999999999</v>
      </c>
      <c r="P26" s="2796" t="s">
        <v>314</v>
      </c>
      <c r="Q26" s="2796" t="s">
        <v>315</v>
      </c>
      <c r="R26" s="2791">
        <v>7309</v>
      </c>
      <c r="S26" s="2798" t="s">
        <v>302</v>
      </c>
      <c r="T26" s="2798" t="s">
        <v>6422</v>
      </c>
      <c r="U26" s="2798" t="s">
        <v>6419</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6620</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6423</v>
      </c>
      <c r="U28" s="2798" t="s">
        <v>5998</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5659</v>
      </c>
      <c r="D29" s="2793">
        <v>1</v>
      </c>
      <c r="E29" s="2793" t="s">
        <v>102</v>
      </c>
      <c r="F29" s="2793"/>
      <c r="G29" s="2793" t="s">
        <v>5659</v>
      </c>
      <c r="H29" s="2793"/>
      <c r="I29" s="2793">
        <v>1600</v>
      </c>
      <c r="J29" s="2793" t="s">
        <v>84</v>
      </c>
      <c r="M29" s="2793" t="s">
        <v>339</v>
      </c>
      <c r="N29" s="2794"/>
      <c r="O29" s="2795">
        <v>1400.1411000000001</v>
      </c>
      <c r="P29" s="2796" t="s">
        <v>333</v>
      </c>
      <c r="Q29" s="2796" t="s">
        <v>334</v>
      </c>
      <c r="R29" s="2791">
        <v>7016</v>
      </c>
      <c r="S29" s="2798" t="s">
        <v>328</v>
      </c>
      <c r="T29" s="2798" t="s">
        <v>5112</v>
      </c>
      <c r="U29" s="2798" t="s">
        <v>5998</v>
      </c>
      <c r="V29" s="2798">
        <v>1</v>
      </c>
      <c r="W29" s="2798">
        <v>1122</v>
      </c>
      <c r="X29" s="2798">
        <v>2</v>
      </c>
      <c r="Y29" s="2795" t="s">
        <v>6621</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5660</v>
      </c>
      <c r="G30" s="2793" t="s">
        <v>274</v>
      </c>
      <c r="H30" s="2793" t="s">
        <v>274</v>
      </c>
      <c r="I30" s="2793">
        <v>1505</v>
      </c>
      <c r="J30" s="2793" t="s">
        <v>84</v>
      </c>
      <c r="M30" s="2793" t="s">
        <v>346</v>
      </c>
      <c r="N30" s="2794"/>
      <c r="O30" s="2795">
        <v>1400.1421</v>
      </c>
      <c r="P30" s="2796" t="s">
        <v>340</v>
      </c>
      <c r="Q30" s="2796" t="s">
        <v>341</v>
      </c>
      <c r="R30" s="2791">
        <v>7021</v>
      </c>
      <c r="S30" s="2798" t="s">
        <v>316</v>
      </c>
      <c r="T30" s="2798" t="s">
        <v>6424</v>
      </c>
      <c r="U30" s="2798" t="s">
        <v>6420</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6617</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6425</v>
      </c>
      <c r="U32" s="2798" t="s">
        <v>6420</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5661</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6617</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6426</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5662</v>
      </c>
      <c r="G35" s="2793" t="s">
        <v>293</v>
      </c>
      <c r="H35" s="2793"/>
      <c r="I35" s="2793">
        <v>1511</v>
      </c>
      <c r="J35" s="2793" t="s">
        <v>84</v>
      </c>
      <c r="M35" s="2793" t="s">
        <v>237</v>
      </c>
      <c r="N35" s="2794"/>
      <c r="O35" s="2795">
        <v>1495</v>
      </c>
      <c r="P35" s="2796" t="s">
        <v>377</v>
      </c>
      <c r="Q35" s="2796" t="s">
        <v>378</v>
      </c>
      <c r="R35" s="2791">
        <v>7054</v>
      </c>
      <c r="S35" s="2798" t="s">
        <v>5109</v>
      </c>
      <c r="T35" s="2798" t="s">
        <v>6427</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6428</v>
      </c>
      <c r="U36" s="2798" t="s">
        <v>5998</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5663</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5664</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5665</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6374</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5666</v>
      </c>
      <c r="G49" s="2793" t="s">
        <v>394</v>
      </c>
      <c r="H49" s="2793"/>
      <c r="I49" s="2793">
        <v>1700</v>
      </c>
      <c r="J49" s="2793" t="s">
        <v>84</v>
      </c>
      <c r="M49" s="2793" t="s">
        <v>317</v>
      </c>
      <c r="N49" s="2794"/>
      <c r="O49" s="2795">
        <v>1531</v>
      </c>
      <c r="P49" s="2796" t="s">
        <v>355</v>
      </c>
      <c r="Q49" s="2796" t="s">
        <v>356</v>
      </c>
      <c r="R49" s="2791">
        <v>7025</v>
      </c>
      <c r="S49" s="2798" t="s">
        <v>456</v>
      </c>
      <c r="T49" s="2798" t="s">
        <v>6375</v>
      </c>
      <c r="U49" s="2798" t="s">
        <v>6419</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5667</v>
      </c>
      <c r="G50" s="2793" t="s">
        <v>409</v>
      </c>
      <c r="H50" s="2793"/>
      <c r="I50" s="2793">
        <v>1711</v>
      </c>
      <c r="J50" s="2793" t="s">
        <v>84</v>
      </c>
      <c r="M50" s="2793" t="s">
        <v>323</v>
      </c>
      <c r="N50" s="2794" t="s">
        <v>119</v>
      </c>
      <c r="O50" s="2795">
        <v>1538</v>
      </c>
      <c r="P50" s="2796" t="s">
        <v>363</v>
      </c>
      <c r="Q50" s="2796" t="s">
        <v>364</v>
      </c>
      <c r="R50" s="2791">
        <v>7026</v>
      </c>
      <c r="S50" s="2798" t="s">
        <v>461</v>
      </c>
      <c r="T50" s="2798" t="s">
        <v>6376</v>
      </c>
      <c r="U50" s="2798" t="s">
        <v>6419</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5668</v>
      </c>
      <c r="G51" s="2793" t="s">
        <v>415</v>
      </c>
      <c r="H51" s="2793"/>
      <c r="I51" s="2793">
        <v>1801</v>
      </c>
      <c r="J51" s="2793" t="s">
        <v>84</v>
      </c>
      <c r="M51" s="2793" t="s">
        <v>329</v>
      </c>
      <c r="N51" s="2794" t="s">
        <v>119</v>
      </c>
      <c r="O51" s="2795">
        <v>1539</v>
      </c>
      <c r="P51" s="2796" t="s">
        <v>370</v>
      </c>
      <c r="Q51" s="2796" t="s">
        <v>371</v>
      </c>
      <c r="R51" s="2791">
        <v>7053</v>
      </c>
      <c r="S51" s="2798" t="s">
        <v>466</v>
      </c>
      <c r="T51" s="2798" t="s">
        <v>6377</v>
      </c>
      <c r="U51" s="2798" t="s">
        <v>6420</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5669</v>
      </c>
      <c r="G52" s="2793" t="s">
        <v>422</v>
      </c>
      <c r="H52" s="2793"/>
      <c r="I52" s="2793">
        <v>1811</v>
      </c>
      <c r="J52" s="2793" t="s">
        <v>84</v>
      </c>
      <c r="M52" s="2793" t="s">
        <v>337</v>
      </c>
      <c r="N52" s="2794"/>
      <c r="O52" s="2795">
        <v>1601</v>
      </c>
      <c r="P52" s="2796" t="s">
        <v>377</v>
      </c>
      <c r="Q52" s="2796" t="s">
        <v>378</v>
      </c>
      <c r="R52" s="2791">
        <v>7054</v>
      </c>
      <c r="S52" s="2798" t="s">
        <v>6370</v>
      </c>
      <c r="T52" s="2798" t="s">
        <v>6378</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5670</v>
      </c>
      <c r="G53" s="2793" t="s">
        <v>429</v>
      </c>
      <c r="H53" s="2793"/>
      <c r="I53" s="2793">
        <v>1996</v>
      </c>
      <c r="J53" s="2793" t="s">
        <v>84</v>
      </c>
      <c r="M53" s="2793" t="s">
        <v>486</v>
      </c>
      <c r="N53" s="2794"/>
      <c r="O53" s="2795">
        <v>1601.1602</v>
      </c>
      <c r="P53" s="2796" t="s">
        <v>384</v>
      </c>
      <c r="Q53" s="2796" t="s">
        <v>385</v>
      </c>
      <c r="R53" s="2791">
        <v>7055</v>
      </c>
      <c r="S53" s="2798" t="s">
        <v>6371</v>
      </c>
      <c r="T53" s="2798" t="s">
        <v>6379</v>
      </c>
      <c r="U53" s="2798" t="s">
        <v>6419</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6372</v>
      </c>
      <c r="T54" s="2798" t="s">
        <v>6380</v>
      </c>
      <c r="U54" s="2798" t="s">
        <v>6419</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6373</v>
      </c>
      <c r="T55" s="2798" t="s">
        <v>6381</v>
      </c>
      <c r="U55" s="2798" t="s">
        <v>6420</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6382</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5671</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5672</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5673</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5674</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5675</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5676</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5677</v>
      </c>
      <c r="G66" s="2793" t="s">
        <v>653</v>
      </c>
      <c r="H66" s="2793" t="s">
        <v>653</v>
      </c>
      <c r="I66" s="2793">
        <v>2206</v>
      </c>
      <c r="J66" s="2793" t="s">
        <v>84</v>
      </c>
      <c r="M66" s="2793" t="s">
        <v>556</v>
      </c>
      <c r="N66" s="2794" t="s">
        <v>557</v>
      </c>
      <c r="O66" s="2795">
        <v>1636</v>
      </c>
      <c r="S66" s="2798" t="s">
        <v>526</v>
      </c>
      <c r="T66" s="2798" t="s">
        <v>527</v>
      </c>
      <c r="U66" s="2798" t="s">
        <v>6429</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6429</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5909</v>
      </c>
      <c r="U70" s="2798" t="s">
        <v>6430</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5678</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6617</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5679</v>
      </c>
      <c r="G72" s="2793" t="s">
        <v>494</v>
      </c>
      <c r="H72" s="2793"/>
      <c r="I72" s="2793">
        <v>2221</v>
      </c>
      <c r="J72" s="2793" t="s">
        <v>84</v>
      </c>
      <c r="M72" s="2793" t="s">
        <v>583</v>
      </c>
      <c r="N72" s="2794"/>
      <c r="O72" s="2795">
        <v>1711.1712</v>
      </c>
      <c r="S72" s="2798">
        <v>122101</v>
      </c>
      <c r="T72" s="2798" t="s">
        <v>6431</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6619</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5680</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6620</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5681</v>
      </c>
      <c r="G75" s="2793" t="s">
        <v>507</v>
      </c>
      <c r="H75" s="2793"/>
      <c r="I75" s="2793">
        <v>2232</v>
      </c>
      <c r="J75" s="2793" t="s">
        <v>84</v>
      </c>
      <c r="M75" s="2793" t="s">
        <v>429</v>
      </c>
      <c r="N75" s="2794"/>
      <c r="O75" s="2795">
        <v>1996</v>
      </c>
      <c r="S75" s="2798">
        <v>122111</v>
      </c>
      <c r="T75" s="2798" t="s">
        <v>5922</v>
      </c>
      <c r="U75" s="2798" t="s">
        <v>6419</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5682</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6621</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5910</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5921</v>
      </c>
      <c r="U78" s="2798" t="s">
        <v>6420</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5683</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6617</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5684</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6626</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5685</v>
      </c>
      <c r="G81" s="2793" t="s">
        <v>534</v>
      </c>
      <c r="H81" s="2793"/>
      <c r="I81" s="2793">
        <v>2396</v>
      </c>
      <c r="J81" s="2793" t="s">
        <v>84</v>
      </c>
      <c r="M81" s="2793" t="s">
        <v>471</v>
      </c>
      <c r="N81" s="2794"/>
      <c r="O81" s="2795">
        <v>2201</v>
      </c>
      <c r="S81" s="2798">
        <v>122114</v>
      </c>
      <c r="T81" s="2798" t="s">
        <v>5920</v>
      </c>
      <c r="U81" s="2798" t="s">
        <v>6420</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6432</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5911</v>
      </c>
      <c r="U83" s="2798" t="s">
        <v>6419</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5912</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5686</v>
      </c>
      <c r="G85" s="2793" t="s">
        <v>546</v>
      </c>
      <c r="H85" s="2793"/>
      <c r="I85" s="2793">
        <v>2501</v>
      </c>
      <c r="J85" s="2793" t="s">
        <v>84</v>
      </c>
      <c r="M85" s="2793" t="s">
        <v>489</v>
      </c>
      <c r="N85" s="2794"/>
      <c r="O85" s="2795">
        <v>2211</v>
      </c>
      <c r="S85" s="2798">
        <v>122123</v>
      </c>
      <c r="T85" s="2798" t="s">
        <v>5913</v>
      </c>
      <c r="U85" s="2798" t="s">
        <v>6420</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5687</v>
      </c>
      <c r="G86" s="2793" t="s">
        <v>550</v>
      </c>
      <c r="H86" s="2793"/>
      <c r="I86" s="2793">
        <v>2502</v>
      </c>
      <c r="J86" s="2793" t="s">
        <v>84</v>
      </c>
      <c r="M86" s="2793" t="s">
        <v>494</v>
      </c>
      <c r="N86" s="2794"/>
      <c r="O86" s="2795">
        <v>2221</v>
      </c>
      <c r="S86" s="2798">
        <v>122124</v>
      </c>
      <c r="T86" s="2798" t="s">
        <v>5914</v>
      </c>
      <c r="U86" s="2798" t="s">
        <v>6420</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6433</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5915</v>
      </c>
      <c r="U88" s="2798" t="s">
        <v>6419</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5688</v>
      </c>
      <c r="G89" s="2793" t="s">
        <v>720</v>
      </c>
      <c r="H89" s="2793" t="s">
        <v>720</v>
      </c>
      <c r="I89" s="2793">
        <v>2506</v>
      </c>
      <c r="J89" s="2793" t="s">
        <v>84</v>
      </c>
      <c r="M89" s="2793" t="s">
        <v>513</v>
      </c>
      <c r="N89" s="2794"/>
      <c r="O89" s="2795">
        <v>2241</v>
      </c>
      <c r="S89" s="2798">
        <v>122132</v>
      </c>
      <c r="T89" s="2798" t="s">
        <v>5916</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5917</v>
      </c>
      <c r="U90" s="2798" t="s">
        <v>6420</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5689</v>
      </c>
      <c r="G91" s="2793" t="s">
        <v>599</v>
      </c>
      <c r="H91" s="2793"/>
      <c r="I91" s="2793">
        <v>2701</v>
      </c>
      <c r="J91" s="2793" t="s">
        <v>84</v>
      </c>
      <c r="M91" s="2793" t="s">
        <v>529</v>
      </c>
      <c r="N91" s="2794"/>
      <c r="O91" s="2795">
        <v>2395</v>
      </c>
      <c r="S91" s="2798">
        <v>122134</v>
      </c>
      <c r="T91" s="2798" t="s">
        <v>5918</v>
      </c>
      <c r="U91" s="2798" t="s">
        <v>6420</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5690</v>
      </c>
      <c r="G92" s="2793" t="s">
        <v>562</v>
      </c>
      <c r="H92" s="2793"/>
      <c r="I92" s="2793">
        <v>2711</v>
      </c>
      <c r="J92" s="2793" t="s">
        <v>84</v>
      </c>
      <c r="M92" s="2793" t="s">
        <v>534</v>
      </c>
      <c r="N92" s="2794"/>
      <c r="O92" s="2795">
        <v>2396</v>
      </c>
      <c r="S92" s="2798" t="s">
        <v>558</v>
      </c>
      <c r="T92" s="2798" t="s">
        <v>6434</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5691</v>
      </c>
      <c r="G93" s="2793" t="s">
        <v>564</v>
      </c>
      <c r="H93" s="2793"/>
      <c r="I93" s="2793">
        <v>2715</v>
      </c>
      <c r="J93" s="2793" t="s">
        <v>84</v>
      </c>
      <c r="M93" s="2793" t="s">
        <v>541</v>
      </c>
      <c r="N93" s="2794"/>
      <c r="O93" s="2795">
        <v>2401</v>
      </c>
      <c r="S93" s="2798" t="s">
        <v>569</v>
      </c>
      <c r="T93" s="2798" t="s">
        <v>6435</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5692</v>
      </c>
      <c r="G94" s="2793" t="s">
        <v>570</v>
      </c>
      <c r="H94" s="2793"/>
      <c r="I94" s="2793">
        <v>2801</v>
      </c>
      <c r="J94" s="2793" t="s">
        <v>84</v>
      </c>
      <c r="M94" s="2793" t="s">
        <v>546</v>
      </c>
      <c r="N94" s="2794"/>
      <c r="O94" s="2795">
        <v>2501</v>
      </c>
      <c r="S94" s="2798" t="s">
        <v>575</v>
      </c>
      <c r="T94" s="2798" t="s">
        <v>6436</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5693</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5694</v>
      </c>
      <c r="G96" s="2793" t="s">
        <v>576</v>
      </c>
      <c r="H96" s="2793"/>
      <c r="I96" s="2793">
        <v>2901</v>
      </c>
      <c r="J96" s="2793" t="s">
        <v>84</v>
      </c>
      <c r="M96" s="2793" t="s">
        <v>588</v>
      </c>
      <c r="N96" s="2794" t="s">
        <v>331</v>
      </c>
      <c r="O96" s="2795">
        <v>2502.11</v>
      </c>
      <c r="S96" s="2798">
        <v>122104</v>
      </c>
      <c r="T96" s="2798" t="s">
        <v>5908</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5695</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5874</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5696</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5697</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5698</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5699</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5700</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5701</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5702</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5875</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5877</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5703</v>
      </c>
      <c r="G124" s="2793" t="s">
        <v>766</v>
      </c>
      <c r="H124" s="2793" t="s">
        <v>767</v>
      </c>
      <c r="I124" s="2793">
        <v>6401</v>
      </c>
      <c r="J124" s="2793" t="s">
        <v>84</v>
      </c>
      <c r="M124" s="2793" t="s">
        <v>711</v>
      </c>
      <c r="N124" s="2794"/>
      <c r="O124" s="2795">
        <v>6711</v>
      </c>
      <c r="S124" s="2798" t="s">
        <v>773</v>
      </c>
      <c r="T124" s="2798" t="s">
        <v>6437</v>
      </c>
      <c r="U124" s="2798" t="s">
        <v>6430</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5704</v>
      </c>
      <c r="D129" s="2793">
        <v>1</v>
      </c>
      <c r="E129" s="2793" t="s">
        <v>102</v>
      </c>
      <c r="F129" s="2793"/>
      <c r="G129" s="2793" t="s">
        <v>5704</v>
      </c>
      <c r="H129" s="2793" t="s">
        <v>5704</v>
      </c>
      <c r="I129" s="2793">
        <v>6505</v>
      </c>
      <c r="J129" s="2793" t="s">
        <v>84</v>
      </c>
      <c r="M129" s="2793" t="s">
        <v>858</v>
      </c>
      <c r="N129" s="2794"/>
      <c r="O129" s="2795">
        <v>6829.2190000000001</v>
      </c>
      <c r="S129" s="2798" t="s">
        <v>784</v>
      </c>
      <c r="T129" s="2798" t="s">
        <v>5961</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5705</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5706</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5707</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5708</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6621</v>
      </c>
      <c r="Z135" s="2795">
        <v>1000</v>
      </c>
      <c r="AA135" s="2795" t="s">
        <v>882</v>
      </c>
      <c r="AB135" s="2795">
        <v>9120</v>
      </c>
    </row>
    <row r="136" spans="2:28">
      <c r="B136" s="2793">
        <v>6603</v>
      </c>
      <c r="C136" s="2793" t="s">
        <v>689</v>
      </c>
      <c r="D136" s="2793">
        <v>1</v>
      </c>
      <c r="E136" s="2793"/>
      <c r="F136" s="2793" t="s">
        <v>5709</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5710</v>
      </c>
      <c r="G139" s="2793" t="s">
        <v>2396</v>
      </c>
      <c r="H139" s="2793" t="s">
        <v>2396</v>
      </c>
      <c r="I139" s="2793">
        <v>6181</v>
      </c>
      <c r="J139" s="2793" t="s">
        <v>84</v>
      </c>
      <c r="M139" s="2793" t="s">
        <v>909</v>
      </c>
      <c r="N139" s="2794"/>
      <c r="O139" s="2795">
        <v>6829.2389999999996</v>
      </c>
      <c r="S139" s="2798" t="s">
        <v>859</v>
      </c>
      <c r="T139" s="2798" t="s">
        <v>6438</v>
      </c>
      <c r="U139" s="2798" t="s">
        <v>6430</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5711</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5712</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5960</v>
      </c>
      <c r="U144" s="2798" t="s">
        <v>3097</v>
      </c>
      <c r="V144" s="2798">
        <v>1</v>
      </c>
      <c r="W144" s="2798">
        <v>1508</v>
      </c>
      <c r="X144" s="2798">
        <v>2</v>
      </c>
      <c r="Y144" s="2795" t="s">
        <v>295</v>
      </c>
    </row>
    <row r="145" spans="2:25">
      <c r="B145" s="2793">
        <v>6101</v>
      </c>
      <c r="C145" s="2793" t="s">
        <v>643</v>
      </c>
      <c r="D145" s="2793">
        <v>-1</v>
      </c>
      <c r="E145" s="2793"/>
      <c r="F145" s="2793" t="s">
        <v>5713</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5714</v>
      </c>
      <c r="G147" s="2793" t="s">
        <v>812</v>
      </c>
      <c r="H147" s="2793" t="s">
        <v>812</v>
      </c>
      <c r="I147" s="2793">
        <v>6671</v>
      </c>
      <c r="J147" s="2793" t="s">
        <v>84</v>
      </c>
      <c r="M147" s="2793" t="s">
        <v>940</v>
      </c>
      <c r="N147" s="2794" t="s">
        <v>941</v>
      </c>
      <c r="O147" s="2795" t="s">
        <v>942</v>
      </c>
      <c r="S147" s="2798" t="s">
        <v>917</v>
      </c>
      <c r="T147" s="2798" t="s">
        <v>6439</v>
      </c>
      <c r="U147" s="2798" t="s">
        <v>47</v>
      </c>
      <c r="V147" s="2798">
        <v>1</v>
      </c>
      <c r="W147" s="2798">
        <v>1501</v>
      </c>
      <c r="X147" s="2798">
        <v>2</v>
      </c>
      <c r="Y147" s="2795" t="s">
        <v>295</v>
      </c>
    </row>
    <row r="148" spans="2:25">
      <c r="B148" s="2793">
        <v>6171</v>
      </c>
      <c r="C148" s="2793" t="s">
        <v>660</v>
      </c>
      <c r="D148" s="2793">
        <v>-1</v>
      </c>
      <c r="E148" s="2793"/>
      <c r="F148" s="2793" t="s">
        <v>5715</v>
      </c>
      <c r="G148" s="2793" t="s">
        <v>2405</v>
      </c>
      <c r="H148" s="2793" t="s">
        <v>2405</v>
      </c>
      <c r="I148" s="2793">
        <v>6171</v>
      </c>
      <c r="J148" s="2793" t="s">
        <v>84</v>
      </c>
      <c r="M148" s="2793" t="s">
        <v>943</v>
      </c>
      <c r="N148" s="2794" t="s">
        <v>941</v>
      </c>
      <c r="O148" s="2795" t="s">
        <v>944</v>
      </c>
      <c r="S148" s="2798" t="s">
        <v>5587</v>
      </c>
      <c r="T148" s="2798" t="s">
        <v>5588</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5716</v>
      </c>
      <c r="G150" s="2793" t="s">
        <v>839</v>
      </c>
      <c r="H150" s="2793" t="s">
        <v>839</v>
      </c>
      <c r="I150" s="2793">
        <v>6710</v>
      </c>
      <c r="J150" s="2793" t="s">
        <v>84</v>
      </c>
      <c r="M150" s="2793" t="s">
        <v>947</v>
      </c>
      <c r="N150" s="2794" t="s">
        <v>948</v>
      </c>
      <c r="O150" s="2795">
        <v>6829.5320000000002</v>
      </c>
      <c r="S150" s="2798" t="s">
        <v>5919</v>
      </c>
      <c r="T150" s="2798" t="s">
        <v>6440</v>
      </c>
      <c r="U150" s="2798" t="s">
        <v>6430</v>
      </c>
      <c r="V150" s="2798">
        <v>1</v>
      </c>
      <c r="W150" s="2798">
        <v>1531</v>
      </c>
      <c r="X150" s="2798">
        <v>2</v>
      </c>
      <c r="Y150" s="2795" t="s">
        <v>295</v>
      </c>
    </row>
    <row r="151" spans="2:25">
      <c r="B151" s="2793">
        <v>6711</v>
      </c>
      <c r="C151" s="2793" t="s">
        <v>711</v>
      </c>
      <c r="D151" s="2793">
        <v>1</v>
      </c>
      <c r="E151" s="2793"/>
      <c r="F151" s="2793" t="s">
        <v>5717</v>
      </c>
      <c r="G151" s="2793" t="s">
        <v>851</v>
      </c>
      <c r="H151" s="2793" t="s">
        <v>851</v>
      </c>
      <c r="I151" s="2793">
        <v>6711</v>
      </c>
      <c r="J151" s="2793" t="s">
        <v>84</v>
      </c>
      <c r="M151" s="2793" t="s">
        <v>950</v>
      </c>
      <c r="N151" s="2794" t="s">
        <v>948</v>
      </c>
      <c r="O151" s="2795">
        <v>6829.5330000000004</v>
      </c>
      <c r="S151" s="2798" t="s">
        <v>928</v>
      </c>
      <c r="T151" s="2798" t="s">
        <v>5953</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5954</v>
      </c>
      <c r="U152" s="2798" t="s">
        <v>5117</v>
      </c>
      <c r="V152" s="2798">
        <v>1</v>
      </c>
      <c r="W152" s="2798">
        <v>1531</v>
      </c>
      <c r="X152" s="2798">
        <v>2</v>
      </c>
      <c r="Y152" s="2795" t="s">
        <v>295</v>
      </c>
    </row>
    <row r="153" spans="2:25">
      <c r="B153" s="2793">
        <v>6791</v>
      </c>
      <c r="C153" s="2793" t="s">
        <v>717</v>
      </c>
      <c r="D153" s="2793">
        <v>1</v>
      </c>
      <c r="E153" s="2793"/>
      <c r="F153" s="2793" t="s">
        <v>5718</v>
      </c>
      <c r="G153" s="2793" t="s">
        <v>867</v>
      </c>
      <c r="H153" s="2793" t="s">
        <v>867</v>
      </c>
      <c r="I153" s="2793">
        <v>6791</v>
      </c>
      <c r="J153" s="2793" t="s">
        <v>84</v>
      </c>
      <c r="M153" s="2793" t="s">
        <v>955</v>
      </c>
      <c r="N153" s="2794" t="s">
        <v>708</v>
      </c>
      <c r="O153" s="2795">
        <v>6829.5349999999999</v>
      </c>
      <c r="S153" s="2798" t="s">
        <v>934</v>
      </c>
      <c r="T153" s="2798" t="s">
        <v>5955</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6441</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5719</v>
      </c>
      <c r="I155" s="2793">
        <v>6835</v>
      </c>
      <c r="J155" s="2793"/>
      <c r="M155" s="2793" t="s">
        <v>964</v>
      </c>
      <c r="N155" s="2794" t="s">
        <v>708</v>
      </c>
      <c r="O155" s="2795">
        <v>6829.5370000000003</v>
      </c>
      <c r="S155" s="2798" t="s">
        <v>949</v>
      </c>
      <c r="T155" s="2798" t="s">
        <v>5956</v>
      </c>
      <c r="U155" s="2798" t="s">
        <v>6442</v>
      </c>
      <c r="V155" s="2798">
        <v>1</v>
      </c>
      <c r="W155" s="2798">
        <v>1531</v>
      </c>
      <c r="X155" s="2798">
        <v>2</v>
      </c>
      <c r="Y155" s="2795" t="s">
        <v>295</v>
      </c>
    </row>
    <row r="156" spans="2:25">
      <c r="B156" s="2793">
        <v>6816</v>
      </c>
      <c r="C156" s="2793" t="s">
        <v>2401</v>
      </c>
      <c r="D156" s="2793">
        <v>1</v>
      </c>
      <c r="E156" s="2793"/>
      <c r="F156" s="2793"/>
      <c r="G156" s="2793" t="s">
        <v>2402</v>
      </c>
      <c r="H156" s="2793" t="s">
        <v>5720</v>
      </c>
      <c r="I156" s="2793">
        <v>6816</v>
      </c>
      <c r="J156" s="2793"/>
      <c r="M156" s="2793" t="s">
        <v>968</v>
      </c>
      <c r="N156" s="2794" t="s">
        <v>708</v>
      </c>
      <c r="O156" s="2795">
        <v>6829.5389999999998</v>
      </c>
      <c r="S156" s="2798" t="s">
        <v>939</v>
      </c>
      <c r="T156" s="2798" t="s">
        <v>5957</v>
      </c>
      <c r="U156" s="2798" t="s">
        <v>6420</v>
      </c>
      <c r="V156" s="2798">
        <v>1</v>
      </c>
      <c r="W156" s="2798">
        <v>1531</v>
      </c>
      <c r="X156" s="2798">
        <v>2</v>
      </c>
      <c r="Y156" s="2795" t="s">
        <v>295</v>
      </c>
    </row>
    <row r="157" spans="2:25">
      <c r="B157" s="2793">
        <v>6817</v>
      </c>
      <c r="C157" s="2793" t="s">
        <v>2403</v>
      </c>
      <c r="D157" s="2793">
        <v>1</v>
      </c>
      <c r="E157" s="2793"/>
      <c r="F157" s="2793"/>
      <c r="G157" s="2793" t="s">
        <v>2404</v>
      </c>
      <c r="H157" s="2793" t="s">
        <v>5721</v>
      </c>
      <c r="I157" s="2793">
        <v>6817</v>
      </c>
      <c r="J157" s="2793"/>
      <c r="M157" s="2793" t="s">
        <v>971</v>
      </c>
      <c r="N157" s="2794" t="s">
        <v>941</v>
      </c>
      <c r="O157" s="2795" t="s">
        <v>972</v>
      </c>
      <c r="S157" s="2798" t="s">
        <v>954</v>
      </c>
      <c r="T157" s="2798" t="s">
        <v>5958</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5722</v>
      </c>
      <c r="I158" s="2793">
        <v>6830</v>
      </c>
      <c r="J158" s="2793"/>
      <c r="M158" s="2793" t="s">
        <v>975</v>
      </c>
      <c r="N158" s="2794" t="s">
        <v>941</v>
      </c>
      <c r="O158" s="2795" t="s">
        <v>976</v>
      </c>
      <c r="S158" s="2798" t="s">
        <v>951</v>
      </c>
      <c r="T158" s="2798" t="s">
        <v>5959</v>
      </c>
      <c r="U158" s="2798" t="s">
        <v>2862</v>
      </c>
      <c r="V158" s="2798">
        <v>1</v>
      </c>
      <c r="W158" s="2798">
        <v>1531</v>
      </c>
      <c r="X158" s="2798">
        <v>2</v>
      </c>
      <c r="Y158" s="2795" t="s">
        <v>295</v>
      </c>
    </row>
    <row r="159" spans="2:25">
      <c r="B159" s="2793">
        <v>6811</v>
      </c>
      <c r="C159" s="2793" t="s">
        <v>883</v>
      </c>
      <c r="D159" s="2793">
        <v>-1</v>
      </c>
      <c r="E159" s="2793" t="s">
        <v>708</v>
      </c>
      <c r="F159" s="2793"/>
      <c r="G159" s="2793" t="s">
        <v>5879</v>
      </c>
      <c r="H159" s="2793" t="s">
        <v>5723</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5724</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6443</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5725</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5726</v>
      </c>
      <c r="I163" s="2793">
        <v>6829.21</v>
      </c>
      <c r="J163" s="2793"/>
      <c r="M163" s="2793" t="s">
        <v>1005</v>
      </c>
      <c r="N163" s="2794"/>
      <c r="O163" s="2795">
        <v>8103</v>
      </c>
      <c r="S163" s="2798" t="s">
        <v>5621</v>
      </c>
      <c r="T163" s="2798" t="s">
        <v>5623</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5622</v>
      </c>
      <c r="T164" s="2798" t="s">
        <v>5624</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6444</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5727</v>
      </c>
      <c r="I169" s="2793">
        <v>6829.23</v>
      </c>
      <c r="J169" s="2793"/>
      <c r="M169" s="2793" t="s">
        <v>1033</v>
      </c>
      <c r="N169" s="2794"/>
      <c r="O169" s="2795">
        <v>8151</v>
      </c>
      <c r="S169" s="2798" t="s">
        <v>5617</v>
      </c>
      <c r="T169" s="2798" t="s">
        <v>5619</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5618</v>
      </c>
      <c r="T170" s="2798" t="s">
        <v>5620</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5745</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6445</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6446</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6447</v>
      </c>
      <c r="U191" s="2798" t="s">
        <v>47</v>
      </c>
      <c r="V191" s="2798">
        <v>1</v>
      </c>
      <c r="W191" s="2798">
        <v>1604</v>
      </c>
      <c r="X191" s="2798">
        <v>2</v>
      </c>
      <c r="Y191" s="2795" t="s">
        <v>6621</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5356</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6053</v>
      </c>
      <c r="T199" s="2798" t="s">
        <v>6055</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6054</v>
      </c>
      <c r="T200" s="2798" t="s">
        <v>6056</v>
      </c>
      <c r="U200" s="2798" t="s">
        <v>47</v>
      </c>
      <c r="V200" s="2798">
        <v>1</v>
      </c>
      <c r="W200" s="2798">
        <v>1701</v>
      </c>
      <c r="X200" s="2798">
        <v>2</v>
      </c>
      <c r="Y200" s="2795" t="s">
        <v>295</v>
      </c>
    </row>
    <row r="201" spans="2:25">
      <c r="B201" s="2793">
        <v>6841</v>
      </c>
      <c r="C201" s="2793" t="s">
        <v>967</v>
      </c>
      <c r="D201" s="2793">
        <v>-1</v>
      </c>
      <c r="E201" s="2793" t="s">
        <v>708</v>
      </c>
      <c r="F201" s="2793"/>
      <c r="G201" s="2793" t="s">
        <v>5746</v>
      </c>
      <c r="H201" s="2793" t="s">
        <v>5747</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5748</v>
      </c>
      <c r="H202" s="2793" t="s">
        <v>5748</v>
      </c>
      <c r="I202" s="2793">
        <v>6842</v>
      </c>
      <c r="J202" s="2793"/>
      <c r="M202" s="2793" t="s">
        <v>1185</v>
      </c>
      <c r="N202" s="2794"/>
      <c r="O202" s="2795">
        <v>8271</v>
      </c>
      <c r="S202" s="2798" t="s">
        <v>6066</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5728</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5729</v>
      </c>
      <c r="H204" s="2793" t="s">
        <v>5730</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5731</v>
      </c>
      <c r="H205" s="2793" t="s">
        <v>5732</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5733</v>
      </c>
      <c r="D213" s="2793">
        <v>1</v>
      </c>
      <c r="E213" s="2793" t="s">
        <v>102</v>
      </c>
      <c r="F213" s="2793"/>
      <c r="G213" s="2793" t="s">
        <v>5733</v>
      </c>
      <c r="H213" s="2793" t="s">
        <v>5733</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5734</v>
      </c>
      <c r="H215" s="2793" t="s">
        <v>5734</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5735</v>
      </c>
      <c r="D218" s="2793">
        <v>1</v>
      </c>
      <c r="E218" s="2793" t="s">
        <v>102</v>
      </c>
      <c r="F218" s="2793"/>
      <c r="G218" s="2793" t="s">
        <v>5735</v>
      </c>
      <c r="H218" s="2793" t="s">
        <v>5735</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5736</v>
      </c>
      <c r="D226" s="2793">
        <v>-1</v>
      </c>
      <c r="E226" s="2793" t="s">
        <v>102</v>
      </c>
      <c r="F226" s="2793"/>
      <c r="G226" s="2793" t="s">
        <v>5736</v>
      </c>
      <c r="H226" s="2793" t="s">
        <v>5736</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5737</v>
      </c>
      <c r="H227" s="2793" t="s">
        <v>5737</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5744</v>
      </c>
      <c r="H241" s="2793" t="s">
        <v>5744</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6448</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6448</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6449</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6450</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6451</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6452</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6453</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6454</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5589</v>
      </c>
      <c r="T273" s="2798" t="s">
        <v>5590</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6455</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6456</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6612</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6612</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5749</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6169</v>
      </c>
      <c r="T320" s="2798" t="s">
        <v>6170</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6638</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6639</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6457</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5696</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6612</v>
      </c>
    </row>
    <row r="328" spans="2:25">
      <c r="B328" s="2793">
        <v>8102</v>
      </c>
      <c r="C328" s="2793" t="s">
        <v>998</v>
      </c>
      <c r="D328" s="2793">
        <v>-1</v>
      </c>
      <c r="E328" s="2793" t="s">
        <v>999</v>
      </c>
      <c r="F328" s="2793" t="s">
        <v>5696</v>
      </c>
      <c r="G328" s="2793" t="s">
        <v>991</v>
      </c>
      <c r="H328" s="2793"/>
      <c r="I328" s="2793">
        <v>8102</v>
      </c>
      <c r="J328" s="2793" t="s">
        <v>84</v>
      </c>
      <c r="M328" s="2794" t="s">
        <v>1809</v>
      </c>
      <c r="N328" s="2794"/>
      <c r="O328" s="2795">
        <v>8776</v>
      </c>
      <c r="S328" s="2798" t="s">
        <v>6091</v>
      </c>
      <c r="T328" s="2798" t="s">
        <v>6092</v>
      </c>
      <c r="U328" s="2798" t="s">
        <v>1878</v>
      </c>
      <c r="V328" s="2798">
        <v>1</v>
      </c>
      <c r="W328" s="2798">
        <v>6101</v>
      </c>
      <c r="X328" s="2798">
        <v>1</v>
      </c>
      <c r="Y328" s="2795" t="s">
        <v>295</v>
      </c>
    </row>
    <row r="329" spans="2:25">
      <c r="B329" s="2793">
        <v>8103</v>
      </c>
      <c r="C329" s="2793" t="s">
        <v>1005</v>
      </c>
      <c r="D329" s="2793">
        <v>-1</v>
      </c>
      <c r="E329" s="2793"/>
      <c r="F329" s="2793" t="s">
        <v>5696</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5696</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5696</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5696</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5696</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5696</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5696</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5696</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5696</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5696</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5696</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6458</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6149</v>
      </c>
      <c r="T392" s="2798" t="s">
        <v>6150</v>
      </c>
      <c r="U392" s="2798" t="s">
        <v>47</v>
      </c>
      <c r="V392" s="2798">
        <v>-2</v>
      </c>
      <c r="W392" s="2798"/>
      <c r="X392" s="2798">
        <v>2</v>
      </c>
      <c r="Y392" s="2795" t="s">
        <v>6634</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6103</v>
      </c>
      <c r="T412" s="2798" t="s">
        <v>6102</v>
      </c>
      <c r="U412" s="2798" t="s">
        <v>47</v>
      </c>
      <c r="V412" s="2798">
        <v>-2</v>
      </c>
      <c r="W412" s="2798"/>
      <c r="X412" s="2798">
        <v>2</v>
      </c>
      <c r="Y412" s="2795" t="s">
        <v>6619</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5698</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5698</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5698</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5698</v>
      </c>
      <c r="G486" s="2793" t="s">
        <v>1004</v>
      </c>
      <c r="H486" s="2793"/>
      <c r="I486" s="2793">
        <v>8204</v>
      </c>
      <c r="J486" s="2793" t="s">
        <v>84</v>
      </c>
    </row>
    <row r="487" spans="2:25">
      <c r="B487" s="2793">
        <v>8209</v>
      </c>
      <c r="C487" s="2793" t="s">
        <v>1145</v>
      </c>
      <c r="D487" s="2793">
        <v>-1</v>
      </c>
      <c r="E487" s="2793"/>
      <c r="F487" s="2793" t="s">
        <v>5698</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5698</v>
      </c>
      <c r="G492" s="2793" t="s">
        <v>1182</v>
      </c>
      <c r="H492" s="2793"/>
      <c r="I492" s="2793">
        <v>8251</v>
      </c>
      <c r="J492" s="2793" t="s">
        <v>84</v>
      </c>
    </row>
    <row r="493" spans="2:25">
      <c r="B493" s="2793">
        <v>8252</v>
      </c>
      <c r="C493" s="2793" t="s">
        <v>1161</v>
      </c>
      <c r="D493" s="2793">
        <v>-1</v>
      </c>
      <c r="E493" s="2793"/>
      <c r="F493" s="2793" t="s">
        <v>5698</v>
      </c>
      <c r="G493" s="2793" t="s">
        <v>1055</v>
      </c>
      <c r="H493" s="2793"/>
      <c r="I493" s="2793">
        <v>8252</v>
      </c>
      <c r="J493" s="2793" t="s">
        <v>84</v>
      </c>
    </row>
    <row r="494" spans="2:25">
      <c r="B494" s="2793">
        <v>8253</v>
      </c>
      <c r="C494" s="2793" t="s">
        <v>1164</v>
      </c>
      <c r="D494" s="2793">
        <v>-1</v>
      </c>
      <c r="E494" s="2793" t="s">
        <v>331</v>
      </c>
      <c r="F494" s="2793" t="s">
        <v>5698</v>
      </c>
      <c r="G494" s="2793" t="s">
        <v>1049</v>
      </c>
      <c r="H494" s="2793"/>
      <c r="I494" s="2793">
        <v>8253</v>
      </c>
      <c r="J494" s="2793" t="s">
        <v>84</v>
      </c>
    </row>
    <row r="495" spans="2:25">
      <c r="B495" s="2793">
        <v>8256</v>
      </c>
      <c r="C495" s="2793" t="s">
        <v>1169</v>
      </c>
      <c r="D495" s="2793">
        <v>-1</v>
      </c>
      <c r="E495" s="2793"/>
      <c r="F495" s="2793" t="s">
        <v>5698</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5698</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5698</v>
      </c>
      <c r="G499" s="2793" t="s">
        <v>1095</v>
      </c>
      <c r="H499" s="2793"/>
      <c r="I499" s="2793">
        <v>8271</v>
      </c>
      <c r="J499" s="2793" t="s">
        <v>84</v>
      </c>
    </row>
    <row r="500" spans="2:10">
      <c r="B500" s="2793">
        <v>8275</v>
      </c>
      <c r="C500" s="2793" t="s">
        <v>1195</v>
      </c>
      <c r="D500" s="2793">
        <v>-1</v>
      </c>
      <c r="E500" s="2793" t="s">
        <v>331</v>
      </c>
      <c r="F500" s="2793" t="s">
        <v>5698</v>
      </c>
      <c r="G500" s="2793" t="s">
        <v>1114</v>
      </c>
      <c r="H500" s="2793"/>
      <c r="I500" s="2793">
        <v>8275</v>
      </c>
      <c r="J500" s="2793" t="s">
        <v>84</v>
      </c>
    </row>
    <row r="501" spans="2:10">
      <c r="B501" s="2793">
        <v>8276</v>
      </c>
      <c r="C501" s="2793" t="s">
        <v>1197</v>
      </c>
      <c r="D501" s="2793">
        <v>-1</v>
      </c>
      <c r="E501" s="2793" t="s">
        <v>999</v>
      </c>
      <c r="F501" s="2793" t="s">
        <v>5698</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5698</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5699</v>
      </c>
      <c r="G514" s="2793" t="s">
        <v>985</v>
      </c>
      <c r="H514" s="2793"/>
      <c r="I514" s="2793">
        <v>8301</v>
      </c>
      <c r="J514" s="2793" t="s">
        <v>84</v>
      </c>
    </row>
    <row r="515" spans="2:10">
      <c r="B515" s="2793">
        <v>8302</v>
      </c>
      <c r="C515" s="2793" t="s">
        <v>1222</v>
      </c>
      <c r="D515" s="2793">
        <v>1</v>
      </c>
      <c r="E515" s="2793"/>
      <c r="F515" s="2793" t="s">
        <v>5699</v>
      </c>
      <c r="G515" s="2793" t="s">
        <v>991</v>
      </c>
      <c r="H515" s="2793"/>
      <c r="I515" s="2793">
        <v>8302</v>
      </c>
      <c r="J515" s="2793" t="s">
        <v>84</v>
      </c>
    </row>
    <row r="516" spans="2:10">
      <c r="B516" s="2793">
        <v>8303</v>
      </c>
      <c r="C516" s="2793" t="s">
        <v>1227</v>
      </c>
      <c r="D516" s="2793">
        <v>1</v>
      </c>
      <c r="E516" s="2793"/>
      <c r="F516" s="2793" t="s">
        <v>5699</v>
      </c>
      <c r="G516" s="2793" t="s">
        <v>997</v>
      </c>
      <c r="H516" s="2793"/>
      <c r="I516" s="2793">
        <v>8303</v>
      </c>
      <c r="J516" s="2793" t="s">
        <v>84</v>
      </c>
    </row>
    <row r="517" spans="2:10">
      <c r="B517" s="2793">
        <v>8304</v>
      </c>
      <c r="C517" s="2793" t="s">
        <v>1232</v>
      </c>
      <c r="D517" s="2793">
        <v>1</v>
      </c>
      <c r="E517" s="2793" t="s">
        <v>708</v>
      </c>
      <c r="F517" s="2793" t="s">
        <v>5699</v>
      </c>
      <c r="G517" s="2793" t="s">
        <v>1004</v>
      </c>
      <c r="H517" s="2793"/>
      <c r="I517" s="2793">
        <v>8304</v>
      </c>
      <c r="J517" s="2793" t="s">
        <v>84</v>
      </c>
    </row>
    <row r="518" spans="2:10">
      <c r="B518" s="2793">
        <v>8309</v>
      </c>
      <c r="C518" s="2793" t="s">
        <v>1239</v>
      </c>
      <c r="D518" s="2793">
        <v>1</v>
      </c>
      <c r="E518" s="2793" t="s">
        <v>999</v>
      </c>
      <c r="F518" s="2793" t="s">
        <v>5699</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5699</v>
      </c>
      <c r="G522" s="2793" t="s">
        <v>1182</v>
      </c>
      <c r="H522" s="2793"/>
      <c r="I522" s="2793">
        <v>8351</v>
      </c>
      <c r="J522" s="2793" t="s">
        <v>84</v>
      </c>
    </row>
    <row r="523" spans="2:10">
      <c r="B523" s="2793">
        <v>8352</v>
      </c>
      <c r="C523" s="2793" t="s">
        <v>1263</v>
      </c>
      <c r="D523" s="2793">
        <v>1</v>
      </c>
      <c r="E523" s="2793" t="s">
        <v>999</v>
      </c>
      <c r="F523" s="2793" t="s">
        <v>5699</v>
      </c>
      <c r="G523" s="2793" t="s">
        <v>1055</v>
      </c>
      <c r="H523" s="2793"/>
      <c r="I523" s="2793">
        <v>8352</v>
      </c>
      <c r="J523" s="2793" t="s">
        <v>84</v>
      </c>
    </row>
    <row r="524" spans="2:10">
      <c r="B524" s="2793">
        <v>8353</v>
      </c>
      <c r="C524" s="2793" t="s">
        <v>1268</v>
      </c>
      <c r="D524" s="2793">
        <v>1</v>
      </c>
      <c r="E524" s="2793" t="s">
        <v>331</v>
      </c>
      <c r="F524" s="2793" t="s">
        <v>5699</v>
      </c>
      <c r="G524" s="2793" t="s">
        <v>1049</v>
      </c>
      <c r="H524" s="2793"/>
      <c r="I524" s="2793">
        <v>8353</v>
      </c>
      <c r="J524" s="2793" t="s">
        <v>84</v>
      </c>
    </row>
    <row r="525" spans="2:10">
      <c r="B525" s="2793">
        <v>8356</v>
      </c>
      <c r="C525" s="2793" t="s">
        <v>1273</v>
      </c>
      <c r="D525" s="2793">
        <v>1</v>
      </c>
      <c r="E525" s="2793" t="s">
        <v>999</v>
      </c>
      <c r="F525" s="2793" t="s">
        <v>5699</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5699</v>
      </c>
      <c r="G527" s="2793" t="s">
        <v>1081</v>
      </c>
      <c r="H527" s="2793"/>
      <c r="I527" s="2793">
        <v>8363</v>
      </c>
      <c r="J527" s="2793" t="s">
        <v>84</v>
      </c>
    </row>
    <row r="528" spans="2:10">
      <c r="B528" s="2793">
        <v>8366</v>
      </c>
      <c r="C528" s="2793" t="s">
        <v>1293</v>
      </c>
      <c r="D528" s="2793">
        <v>1</v>
      </c>
      <c r="E528" s="2793" t="s">
        <v>999</v>
      </c>
      <c r="F528" s="2793" t="s">
        <v>5699</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5699</v>
      </c>
      <c r="G530" s="2793" t="s">
        <v>1114</v>
      </c>
      <c r="H530" s="2793"/>
      <c r="I530" s="2793">
        <v>8375</v>
      </c>
      <c r="J530" s="2793" t="s">
        <v>84</v>
      </c>
    </row>
    <row r="531" spans="2:10">
      <c r="B531" s="2793">
        <v>8376</v>
      </c>
      <c r="C531" s="2793" t="s">
        <v>1320</v>
      </c>
      <c r="D531" s="2793">
        <v>1</v>
      </c>
      <c r="E531" s="2793"/>
      <c r="F531" s="2793" t="s">
        <v>5699</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5699</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5701</v>
      </c>
      <c r="G545" s="2793" t="s">
        <v>985</v>
      </c>
      <c r="H545" s="2793"/>
      <c r="I545" s="2793">
        <v>8401</v>
      </c>
      <c r="J545" s="2793" t="s">
        <v>84</v>
      </c>
    </row>
    <row r="546" spans="2:10">
      <c r="B546" s="2793">
        <v>8402</v>
      </c>
      <c r="C546" s="2793" t="s">
        <v>1350</v>
      </c>
      <c r="D546" s="2793">
        <v>-1</v>
      </c>
      <c r="E546" s="2793"/>
      <c r="F546" s="2793" t="s">
        <v>5701</v>
      </c>
      <c r="G546" s="2793" t="s">
        <v>991</v>
      </c>
      <c r="H546" s="2793"/>
      <c r="I546" s="2793">
        <v>8402</v>
      </c>
      <c r="J546" s="2793" t="s">
        <v>84</v>
      </c>
    </row>
    <row r="547" spans="2:10">
      <c r="B547" s="2793">
        <v>8403</v>
      </c>
      <c r="C547" s="2793" t="s">
        <v>1356</v>
      </c>
      <c r="D547" s="2793">
        <v>-1</v>
      </c>
      <c r="E547" s="2793"/>
      <c r="F547" s="2793" t="s">
        <v>5701</v>
      </c>
      <c r="G547" s="2793" t="s">
        <v>997</v>
      </c>
      <c r="H547" s="2793"/>
      <c r="I547" s="2793">
        <v>8403</v>
      </c>
      <c r="J547" s="2793" t="s">
        <v>84</v>
      </c>
    </row>
    <row r="548" spans="2:10">
      <c r="B548" s="2793">
        <v>8404</v>
      </c>
      <c r="C548" s="2793" t="s">
        <v>1362</v>
      </c>
      <c r="D548" s="2793">
        <v>-1</v>
      </c>
      <c r="E548" s="2793" t="s">
        <v>708</v>
      </c>
      <c r="F548" s="2793" t="s">
        <v>5701</v>
      </c>
      <c r="G548" s="2793" t="s">
        <v>1004</v>
      </c>
      <c r="H548" s="2793"/>
      <c r="I548" s="2793">
        <v>8404</v>
      </c>
      <c r="J548" s="2793" t="s">
        <v>84</v>
      </c>
    </row>
    <row r="549" spans="2:10">
      <c r="B549" s="2793">
        <v>8409</v>
      </c>
      <c r="C549" s="2793" t="s">
        <v>1368</v>
      </c>
      <c r="D549" s="2793">
        <v>-1</v>
      </c>
      <c r="E549" s="2793" t="s">
        <v>999</v>
      </c>
      <c r="F549" s="2793" t="s">
        <v>5701</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5701</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5701</v>
      </c>
      <c r="G554" s="2793" t="s">
        <v>1114</v>
      </c>
      <c r="H554" s="2793"/>
      <c r="I554" s="2793">
        <v>8475</v>
      </c>
      <c r="J554" s="2793" t="s">
        <v>84</v>
      </c>
    </row>
    <row r="555" spans="2:10">
      <c r="B555" s="2793">
        <v>8476</v>
      </c>
      <c r="C555" s="2793" t="s">
        <v>1452</v>
      </c>
      <c r="D555" s="2793">
        <v>-1</v>
      </c>
      <c r="E555" s="2793" t="s">
        <v>999</v>
      </c>
      <c r="F555" s="2793" t="s">
        <v>5701</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5701</v>
      </c>
      <c r="G558" s="2793" t="s">
        <v>1129</v>
      </c>
      <c r="H558" s="2793"/>
      <c r="I558" s="2793">
        <v>8481</v>
      </c>
      <c r="J558" s="2793" t="s">
        <v>84</v>
      </c>
    </row>
    <row r="559" spans="2:10">
      <c r="B559" s="2793">
        <v>8482</v>
      </c>
      <c r="C559" s="2793" t="s">
        <v>1468</v>
      </c>
      <c r="D559" s="2793">
        <v>-1</v>
      </c>
      <c r="E559" s="2793"/>
      <c r="F559" s="2793" t="s">
        <v>5701</v>
      </c>
      <c r="G559" s="2793" t="s">
        <v>1355</v>
      </c>
      <c r="H559" s="2793"/>
      <c r="I559" s="2793">
        <v>8482</v>
      </c>
      <c r="J559" s="2793" t="s">
        <v>84</v>
      </c>
    </row>
    <row r="560" spans="2:10">
      <c r="B560" s="2793">
        <v>8496</v>
      </c>
      <c r="C560" s="2793" t="s">
        <v>1473</v>
      </c>
      <c r="D560" s="2793">
        <v>-1</v>
      </c>
      <c r="E560" s="2793" t="s">
        <v>999</v>
      </c>
      <c r="F560" s="2793" t="s">
        <v>5701</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5702</v>
      </c>
      <c r="G638" s="2793" t="s">
        <v>985</v>
      </c>
      <c r="H638" s="2793"/>
      <c r="I638" s="2805">
        <v>8701</v>
      </c>
      <c r="J638" s="2793" t="s">
        <v>84</v>
      </c>
    </row>
    <row r="639" spans="2:10" ht="12.75">
      <c r="B639" s="2805">
        <v>8702</v>
      </c>
      <c r="C639" s="2793" t="s">
        <v>1730</v>
      </c>
      <c r="D639" s="2793">
        <v>-1</v>
      </c>
      <c r="E639" s="2793"/>
      <c r="F639" s="2793" t="s">
        <v>5702</v>
      </c>
      <c r="G639" s="2793" t="s">
        <v>991</v>
      </c>
      <c r="H639" s="2793"/>
      <c r="I639" s="2805">
        <v>8702</v>
      </c>
      <c r="J639" s="2793" t="s">
        <v>84</v>
      </c>
    </row>
    <row r="640" spans="2:10" ht="12.75">
      <c r="B640" s="2805">
        <v>8703</v>
      </c>
      <c r="C640" s="2793" t="s">
        <v>1735</v>
      </c>
      <c r="D640" s="2793">
        <v>-1</v>
      </c>
      <c r="E640" s="2793"/>
      <c r="F640" s="2793" t="s">
        <v>5702</v>
      </c>
      <c r="G640" s="2793" t="s">
        <v>997</v>
      </c>
      <c r="H640" s="2793"/>
      <c r="I640" s="2805">
        <v>8703</v>
      </c>
      <c r="J640" s="2793" t="s">
        <v>84</v>
      </c>
    </row>
    <row r="641" spans="2:10" ht="12.75">
      <c r="B641" s="2805">
        <v>8704</v>
      </c>
      <c r="C641" s="2793" t="s">
        <v>1740</v>
      </c>
      <c r="D641" s="2793">
        <v>-1</v>
      </c>
      <c r="E641" s="2793" t="s">
        <v>708</v>
      </c>
      <c r="F641" s="2793" t="s">
        <v>5702</v>
      </c>
      <c r="G641" s="2793" t="s">
        <v>1004</v>
      </c>
      <c r="H641" s="2793"/>
      <c r="I641" s="2805">
        <v>8704</v>
      </c>
      <c r="J641" s="2793" t="s">
        <v>84</v>
      </c>
    </row>
    <row r="642" spans="2:10" ht="12.75">
      <c r="B642" s="2805">
        <v>8709</v>
      </c>
      <c r="C642" s="2793" t="s">
        <v>1745</v>
      </c>
      <c r="D642" s="2793">
        <v>-1</v>
      </c>
      <c r="E642" s="2793"/>
      <c r="F642" s="2793" t="s">
        <v>5702</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5702</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5702</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5702</v>
      </c>
      <c r="G650" s="2793" t="s">
        <v>1071</v>
      </c>
      <c r="H650" s="2793"/>
      <c r="I650" s="2793">
        <v>8761</v>
      </c>
      <c r="J650" s="2793" t="s">
        <v>84</v>
      </c>
    </row>
    <row r="651" spans="2:10">
      <c r="B651" s="2793">
        <v>8762</v>
      </c>
      <c r="C651" s="2794" t="s">
        <v>1773</v>
      </c>
      <c r="D651" s="2793">
        <v>-1</v>
      </c>
      <c r="E651" s="2793"/>
      <c r="F651" s="2793" t="s">
        <v>5702</v>
      </c>
      <c r="G651" s="2793" t="s">
        <v>1076</v>
      </c>
      <c r="H651" s="2793"/>
      <c r="I651" s="2793">
        <v>8762</v>
      </c>
      <c r="J651" s="2793" t="s">
        <v>84</v>
      </c>
    </row>
    <row r="652" spans="2:10">
      <c r="B652" s="2793">
        <v>8763</v>
      </c>
      <c r="C652" s="2794" t="s">
        <v>1779</v>
      </c>
      <c r="D652" s="2793">
        <v>-1</v>
      </c>
      <c r="E652" s="2793"/>
      <c r="F652" s="2793" t="s">
        <v>5702</v>
      </c>
      <c r="G652" s="2793" t="s">
        <v>1081</v>
      </c>
      <c r="H652" s="2793"/>
      <c r="I652" s="2793">
        <v>8763</v>
      </c>
      <c r="J652" s="2793" t="s">
        <v>84</v>
      </c>
    </row>
    <row r="653" spans="2:10">
      <c r="B653" s="2793">
        <v>8766</v>
      </c>
      <c r="C653" s="2794" t="s">
        <v>1784</v>
      </c>
      <c r="D653" s="2793">
        <v>-1</v>
      </c>
      <c r="E653" s="2793"/>
      <c r="F653" s="2793" t="s">
        <v>5702</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5702</v>
      </c>
      <c r="G655" s="2793" t="s">
        <v>1109</v>
      </c>
      <c r="H655" s="2793"/>
      <c r="I655" s="2793">
        <v>8773</v>
      </c>
      <c r="J655" s="2793" t="s">
        <v>84</v>
      </c>
    </row>
    <row r="656" spans="2:10">
      <c r="B656" s="2793">
        <v>8775</v>
      </c>
      <c r="C656" s="2793" t="s">
        <v>1804</v>
      </c>
      <c r="D656" s="2793">
        <v>-1</v>
      </c>
      <c r="E656" s="2793" t="s">
        <v>331</v>
      </c>
      <c r="F656" s="2793" t="s">
        <v>5702</v>
      </c>
      <c r="G656" s="2793" t="s">
        <v>1114</v>
      </c>
      <c r="H656" s="2793"/>
      <c r="I656" s="2793">
        <v>8775</v>
      </c>
      <c r="J656" s="2793" t="s">
        <v>84</v>
      </c>
    </row>
    <row r="657" spans="2:10">
      <c r="B657" s="2793">
        <v>8776</v>
      </c>
      <c r="C657" s="2793" t="s">
        <v>1809</v>
      </c>
      <c r="D657" s="2793">
        <v>-1</v>
      </c>
      <c r="E657" s="2793"/>
      <c r="F657" s="2793" t="s">
        <v>5702</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5702</v>
      </c>
      <c r="G660" s="2793" t="s">
        <v>1129</v>
      </c>
      <c r="H660" s="2793"/>
      <c r="I660" s="2793">
        <v>8781</v>
      </c>
      <c r="J660" s="2793" t="s">
        <v>84</v>
      </c>
    </row>
    <row r="661" spans="2:10">
      <c r="B661" s="2793">
        <v>8782</v>
      </c>
      <c r="C661" s="2793" t="s">
        <v>1823</v>
      </c>
      <c r="D661" s="2793">
        <v>-1</v>
      </c>
      <c r="E661" s="2793" t="s">
        <v>999</v>
      </c>
      <c r="F661" s="2793" t="s">
        <v>5702</v>
      </c>
      <c r="G661" s="2793" t="s">
        <v>1355</v>
      </c>
      <c r="H661" s="2793"/>
      <c r="I661" s="2793">
        <v>8782</v>
      </c>
      <c r="J661" s="2793" t="s">
        <v>84</v>
      </c>
    </row>
    <row r="662" spans="2:10">
      <c r="B662" s="2793">
        <v>8796</v>
      </c>
      <c r="C662" s="2793" t="s">
        <v>1827</v>
      </c>
      <c r="D662" s="2793">
        <v>-1</v>
      </c>
      <c r="E662" s="2793" t="s">
        <v>999</v>
      </c>
      <c r="F662" s="2793" t="s">
        <v>5702</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5738</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5739</v>
      </c>
      <c r="F844" s="2795"/>
      <c r="G844" s="2795" t="s">
        <v>1023</v>
      </c>
      <c r="H844" s="2795"/>
      <c r="I844" s="2795">
        <v>8021</v>
      </c>
      <c r="J844" s="2795"/>
    </row>
    <row r="845" spans="2:10">
      <c r="B845" s="2795">
        <v>8030</v>
      </c>
      <c r="C845" s="2795" t="s">
        <v>1027</v>
      </c>
      <c r="D845" s="2795">
        <v>-1</v>
      </c>
      <c r="E845" s="2795" t="s">
        <v>5739</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5698</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5740</v>
      </c>
      <c r="G864" s="2795" t="s">
        <v>303</v>
      </c>
      <c r="H864" s="2795"/>
      <c r="I864" s="2795">
        <v>1515</v>
      </c>
      <c r="J864" s="2795" t="s">
        <v>84</v>
      </c>
    </row>
    <row r="865" spans="2:10">
      <c r="B865" s="2795">
        <v>6810</v>
      </c>
      <c r="C865" s="2795" t="s">
        <v>2397</v>
      </c>
      <c r="D865" s="2795"/>
      <c r="E865" s="2795" t="s">
        <v>5739</v>
      </c>
      <c r="F865" s="2795"/>
      <c r="G865" s="2795" t="s">
        <v>2398</v>
      </c>
      <c r="H865" s="2795" t="s">
        <v>2398</v>
      </c>
      <c r="I865" s="2795">
        <v>6810</v>
      </c>
      <c r="J865" s="2795"/>
    </row>
    <row r="866" spans="2:10">
      <c r="B866" s="2795">
        <v>6815</v>
      </c>
      <c r="C866" s="2795" t="s">
        <v>2399</v>
      </c>
      <c r="D866" s="2795"/>
      <c r="E866" s="2795" t="s">
        <v>5739</v>
      </c>
      <c r="F866" s="2795"/>
      <c r="G866" s="2795" t="s">
        <v>2400</v>
      </c>
      <c r="H866" s="2795" t="s">
        <v>2400</v>
      </c>
      <c r="I866" s="2795">
        <v>6815</v>
      </c>
      <c r="J866" s="2795"/>
    </row>
    <row r="867" spans="2:10">
      <c r="B867" s="2795">
        <v>4210</v>
      </c>
      <c r="C867" s="2795" t="s">
        <v>707</v>
      </c>
      <c r="D867" s="2795">
        <v>-1</v>
      </c>
      <c r="E867" s="2795" t="s">
        <v>5739</v>
      </c>
      <c r="F867" s="2795"/>
      <c r="G867" s="2795" t="s">
        <v>707</v>
      </c>
      <c r="H867" s="2795" t="s">
        <v>707</v>
      </c>
      <c r="I867" s="2795">
        <v>4210</v>
      </c>
      <c r="J867" s="2795"/>
    </row>
    <row r="868" spans="2:10">
      <c r="B868" s="2795">
        <v>6805</v>
      </c>
      <c r="C868" s="2795" t="s">
        <v>876</v>
      </c>
      <c r="D868" s="2795">
        <v>1</v>
      </c>
      <c r="E868" s="2795" t="s">
        <v>5741</v>
      </c>
      <c r="F868" s="2795"/>
      <c r="G868" s="2795" t="s">
        <v>877</v>
      </c>
      <c r="H868" s="2795" t="s">
        <v>877</v>
      </c>
      <c r="I868" s="2795">
        <v>6805</v>
      </c>
      <c r="J868" s="2795"/>
    </row>
    <row r="869" spans="2:10">
      <c r="B869" s="2795">
        <v>6710.11</v>
      </c>
      <c r="C869" s="2795" t="s">
        <v>844</v>
      </c>
      <c r="D869" s="2795">
        <v>-1</v>
      </c>
      <c r="E869" s="2795" t="s">
        <v>5739</v>
      </c>
      <c r="F869" s="2795"/>
      <c r="G869" s="2795" t="s">
        <v>845</v>
      </c>
      <c r="H869" s="2795" t="s">
        <v>845</v>
      </c>
      <c r="I869" s="2795">
        <v>6710.11</v>
      </c>
      <c r="J869" s="2795"/>
    </row>
    <row r="870" spans="2:10">
      <c r="B870" s="2795">
        <v>6711.01</v>
      </c>
      <c r="C870" s="2795" t="s">
        <v>856</v>
      </c>
      <c r="D870" s="2795">
        <v>1</v>
      </c>
      <c r="E870" s="2795" t="s">
        <v>5739</v>
      </c>
      <c r="F870" s="2795"/>
      <c r="G870" s="2795" t="s">
        <v>857</v>
      </c>
      <c r="H870" s="2795" t="s">
        <v>857</v>
      </c>
      <c r="I870" s="2795">
        <v>6711.01</v>
      </c>
      <c r="J870" s="2795"/>
    </row>
    <row r="871" spans="2:10">
      <c r="B871" s="2795">
        <v>7296.11</v>
      </c>
      <c r="C871" s="2795" t="s">
        <v>308</v>
      </c>
      <c r="D871" s="2795">
        <v>-1</v>
      </c>
      <c r="E871" s="2795" t="s">
        <v>5741</v>
      </c>
      <c r="F871" s="2795"/>
      <c r="G871" s="2795" t="s">
        <v>2264</v>
      </c>
      <c r="H871" s="2795" t="s">
        <v>2264</v>
      </c>
      <c r="I871" s="2795">
        <v>7296.11</v>
      </c>
      <c r="J871" s="2795"/>
    </row>
    <row r="872" spans="2:10">
      <c r="B872" s="2795">
        <v>1123</v>
      </c>
      <c r="C872" s="2795" t="s">
        <v>138</v>
      </c>
      <c r="D872" s="2795">
        <v>1</v>
      </c>
      <c r="E872" s="2795" t="s">
        <v>5739</v>
      </c>
      <c r="F872" s="2795"/>
      <c r="G872" s="2795" t="s">
        <v>138</v>
      </c>
      <c r="H872" s="2795" t="s">
        <v>138</v>
      </c>
      <c r="I872" s="2795">
        <v>1123</v>
      </c>
      <c r="J872" s="2795"/>
    </row>
    <row r="873" spans="2:10">
      <c r="B873" s="2795">
        <v>2203</v>
      </c>
      <c r="C873" s="2795" t="s">
        <v>480</v>
      </c>
      <c r="D873" s="2795">
        <v>-1</v>
      </c>
      <c r="E873" s="2795" t="s">
        <v>5739</v>
      </c>
      <c r="F873" s="2795"/>
      <c r="G873" s="2795" t="s">
        <v>480</v>
      </c>
      <c r="H873" s="2795" t="s">
        <v>480</v>
      </c>
      <c r="I873" s="2795">
        <v>2203</v>
      </c>
      <c r="J873" s="2795"/>
    </row>
    <row r="874" spans="2:10">
      <c r="B874" s="2795">
        <v>7021</v>
      </c>
      <c r="C874" s="2795" t="s">
        <v>340</v>
      </c>
      <c r="D874" s="2795">
        <v>1</v>
      </c>
      <c r="E874" s="2795" t="s">
        <v>5742</v>
      </c>
      <c r="F874" s="2795"/>
      <c r="G874" s="2795" t="s">
        <v>5743</v>
      </c>
      <c r="H874" s="2795" t="s">
        <v>5743</v>
      </c>
      <c r="I874" s="2795">
        <v>7021</v>
      </c>
      <c r="J874" s="2795"/>
    </row>
    <row r="875" spans="2:10">
      <c r="B875" s="2795">
        <v>7221</v>
      </c>
      <c r="C875" s="2795" t="s">
        <v>410</v>
      </c>
      <c r="D875" s="2795">
        <v>1</v>
      </c>
      <c r="E875" s="2795" t="s">
        <v>5742</v>
      </c>
      <c r="F875" s="2795"/>
      <c r="G875" s="2795" t="s">
        <v>410</v>
      </c>
      <c r="H875" s="2795" t="s">
        <v>410</v>
      </c>
      <c r="I875" s="2795">
        <v>7221</v>
      </c>
      <c r="J875" s="2795"/>
    </row>
  </sheetData>
  <sheetProtection algorithmName="SHA-512" hashValue="3WPdk+bW3cnS0SAtLQXq73CbmPZyaLD/oiMG4G4ejGzFME1dWMrHE1wVt5ex6U6QVz/w/HwffljVIO5+iX/asw==" saltValue="kn4+yqUs0nuJd9rEhK945g=="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J15" sqref="J15"/>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6653</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6652</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6649</v>
      </c>
      <c r="D7" s="1345" t="s">
        <v>2436</v>
      </c>
      <c r="E7" s="1357" t="s">
        <v>2437</v>
      </c>
      <c r="F7" s="1358" t="s">
        <v>6650</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6651</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6654</v>
      </c>
      <c r="F9" s="1366">
        <v>43864</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H5AttDRhC6nSiDRTg/TZi5HNEe4gzgRHauvrxc3y8IWHrc3sWdumDtyKgWRGcmj9Lweg5+1vDkoRaDW6Qp6cow==" saltValue="Mvgye4jrpGRmEMGTcrtSTg=="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5"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北京天马金信供应链管理有限公司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43864</v>
      </c>
      <c r="M3" s="1286" t="s">
        <v>2524</v>
      </c>
      <c r="N3" s="2790" t="s">
        <v>6590</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4" t="str">
        <f t="shared" ref="E9:E40" si="0">VLOOKUP(D9,Sheet_Items,2,0)</f>
        <v>资产</v>
      </c>
      <c r="F9" s="1270">
        <f>Area_RepDate</f>
        <v>43830</v>
      </c>
      <c r="G9" s="3079">
        <f ca="1">INDIRECT(C9&amp;"!CheckA"&amp;D9)</f>
        <v>106747804.67</v>
      </c>
      <c r="H9" s="1271" t="s">
        <v>59</v>
      </c>
      <c r="I9" s="1269">
        <v>5000</v>
      </c>
      <c r="J9" s="3074" t="str">
        <f t="shared" ref="J9:J40" si="1">VLOOKUP(I9,Sheet_Items,2,0)</f>
        <v>负债和所有者权益</v>
      </c>
      <c r="K9" s="1270">
        <f>Area_RepDate</f>
        <v>43830</v>
      </c>
      <c r="L9" s="3079">
        <f ca="1">INDIRECT(H9&amp;"!CheckA"&amp;I9)</f>
        <v>106747804.67</v>
      </c>
      <c r="M9" s="70">
        <f t="shared" ref="M9:M40" ca="1" si="2">ROUND(G9-L9,2)</f>
        <v>0</v>
      </c>
      <c r="N9" s="1293" t="str">
        <f t="shared" ref="N9:N40" ca="1" si="3">IF(M9=0,"√","×")</f>
        <v>√</v>
      </c>
      <c r="O9" s="641"/>
      <c r="P9" s="641"/>
      <c r="Q9" s="641"/>
      <c r="R9" s="641"/>
    </row>
    <row r="10" spans="1:18" ht="24">
      <c r="A10" s="30"/>
      <c r="B10" s="3067" t="s">
        <v>79</v>
      </c>
      <c r="C10" s="3068" t="s">
        <v>59</v>
      </c>
      <c r="D10" s="3069">
        <v>1999</v>
      </c>
      <c r="E10" s="3075" t="str">
        <f t="shared" si="0"/>
        <v>资产</v>
      </c>
      <c r="F10" s="3070">
        <f>Area_RepDate1</f>
        <v>43465</v>
      </c>
      <c r="G10" s="3080">
        <f ca="1">INDIRECT(C10&amp;"!CheckB"&amp;D10)</f>
        <v>218552283.09999999</v>
      </c>
      <c r="H10" s="3071" t="s">
        <v>59</v>
      </c>
      <c r="I10" s="3069">
        <v>5000</v>
      </c>
      <c r="J10" s="3075" t="str">
        <f t="shared" si="1"/>
        <v>负债和所有者权益</v>
      </c>
      <c r="K10" s="3070">
        <f>Area_RepDate1</f>
        <v>43465</v>
      </c>
      <c r="L10" s="3080">
        <f ca="1">INDIRECT(H10&amp;"!CheckB"&amp;I10)</f>
        <v>218552283.09999999</v>
      </c>
      <c r="M10" s="3072">
        <f t="shared" ca="1" si="2"/>
        <v>0</v>
      </c>
      <c r="N10" s="3073" t="str">
        <f t="shared" ca="1" si="3"/>
        <v>√</v>
      </c>
      <c r="O10" s="641"/>
      <c r="P10" s="641"/>
      <c r="Q10" s="641"/>
      <c r="R10" s="641"/>
    </row>
    <row r="11" spans="1:18" ht="24">
      <c r="A11" s="30"/>
      <c r="B11" s="3067" t="s">
        <v>96</v>
      </c>
      <c r="C11" s="3068" t="s">
        <v>97</v>
      </c>
      <c r="D11" s="3069">
        <v>6811</v>
      </c>
      <c r="E11" s="3076" t="str">
        <f t="shared" si="0"/>
        <v>归属于母公司所有者的净利润</v>
      </c>
      <c r="F11" s="3070" t="str">
        <f>Area_RepDuration</f>
        <v>2019年度</v>
      </c>
      <c r="G11" s="3081">
        <f ca="1">INDIRECT(C11&amp;"!CheckA"&amp;D11)</f>
        <v>-2563240.34</v>
      </c>
      <c r="H11" s="3071" t="s">
        <v>99</v>
      </c>
      <c r="I11" s="3069">
        <v>8740</v>
      </c>
      <c r="J11" s="3076" t="str">
        <f t="shared" si="1"/>
        <v>未分配利润_综合收益总额增加权益</v>
      </c>
      <c r="K11" s="3070" t="str">
        <f>Area_RepDuration</f>
        <v>2019年度</v>
      </c>
      <c r="L11" s="3081">
        <f ca="1">INDIRECT(H11&amp;"!CheckA"&amp;I11)</f>
        <v>-2563240.34</v>
      </c>
      <c r="M11" s="3072">
        <f t="shared" ca="1" si="2"/>
        <v>0</v>
      </c>
      <c r="N11" s="3073" t="str">
        <f t="shared" ca="1" si="3"/>
        <v>√</v>
      </c>
      <c r="O11" s="641"/>
      <c r="P11" s="641"/>
      <c r="Q11" s="641"/>
      <c r="R11" s="641"/>
    </row>
    <row r="12" spans="1:18" ht="36">
      <c r="A12" s="30"/>
      <c r="B12" s="3067" t="s">
        <v>115</v>
      </c>
      <c r="C12" s="3068" t="s">
        <v>97</v>
      </c>
      <c r="D12" s="3069">
        <v>6811</v>
      </c>
      <c r="E12" s="3075" t="str">
        <f t="shared" si="0"/>
        <v>归属于母公司所有者的净利润</v>
      </c>
      <c r="F12" s="3070" t="str">
        <f>Area_RepDuration1</f>
        <v>2018年度</v>
      </c>
      <c r="G12" s="3080">
        <f ca="1">INDIRECT(C12&amp;"!CheckB"&amp;D12)</f>
        <v>2563577.15</v>
      </c>
      <c r="H12" s="3071" t="s">
        <v>99</v>
      </c>
      <c r="I12" s="3069">
        <v>8740</v>
      </c>
      <c r="J12" s="3075" t="str">
        <f t="shared" si="1"/>
        <v>未分配利润_综合收益总额增加权益</v>
      </c>
      <c r="K12" s="3070" t="str">
        <f>Area_RepDuration1</f>
        <v>2018年度</v>
      </c>
      <c r="L12" s="3080">
        <f ca="1">INDIRECT(H12&amp;"!CheckB"&amp;I12)</f>
        <v>2563577.15</v>
      </c>
      <c r="M12" s="3072">
        <f t="shared" ca="1" si="2"/>
        <v>0</v>
      </c>
      <c r="N12" s="3073" t="str">
        <f t="shared" ca="1" si="3"/>
        <v>√</v>
      </c>
      <c r="O12" s="641"/>
      <c r="P12" s="641"/>
      <c r="Q12" s="641"/>
      <c r="R12" s="641"/>
    </row>
    <row r="13" spans="1:18" ht="24">
      <c r="A13" s="30"/>
      <c r="B13" s="3067" t="s">
        <v>130</v>
      </c>
      <c r="C13" s="3068" t="s">
        <v>97</v>
      </c>
      <c r="D13" s="3069">
        <v>6839</v>
      </c>
      <c r="E13" s="3076" t="str">
        <f t="shared" si="0"/>
        <v>综合收益总额</v>
      </c>
      <c r="F13" s="3070" t="str">
        <f>Area_RepDuration</f>
        <v>2019年度</v>
      </c>
      <c r="G13" s="3081">
        <f ca="1">INDIRECT(C13&amp;"!CheckA"&amp;D13)</f>
        <v>-2563240.34</v>
      </c>
      <c r="H13" s="3071" t="s">
        <v>99</v>
      </c>
      <c r="I13" s="3069">
        <v>8040</v>
      </c>
      <c r="J13" s="3076" t="str">
        <f t="shared" si="1"/>
        <v>所有者权益_综合收益总额增加权益</v>
      </c>
      <c r="K13" s="3070" t="str">
        <f>Area_RepDuration</f>
        <v>2019年度</v>
      </c>
      <c r="L13" s="3081">
        <f ca="1">INDIRECT(H13&amp;"!CheckA"&amp;I13)</f>
        <v>-2563240.34</v>
      </c>
      <c r="M13" s="3072">
        <f t="shared" ca="1" si="2"/>
        <v>0</v>
      </c>
      <c r="N13" s="3073" t="str">
        <f t="shared" ca="1" si="3"/>
        <v>√</v>
      </c>
      <c r="O13" s="641"/>
      <c r="P13" s="641"/>
      <c r="Q13" s="641"/>
      <c r="R13" s="641"/>
    </row>
    <row r="14" spans="1:18" ht="36">
      <c r="A14" s="30"/>
      <c r="B14" s="3067" t="s">
        <v>143</v>
      </c>
      <c r="C14" s="3068" t="s">
        <v>97</v>
      </c>
      <c r="D14" s="3069">
        <v>6839</v>
      </c>
      <c r="E14" s="3075" t="str">
        <f t="shared" si="0"/>
        <v>综合收益总额</v>
      </c>
      <c r="F14" s="3070" t="str">
        <f>Area_RepDuration1</f>
        <v>2018年度</v>
      </c>
      <c r="G14" s="3080">
        <f ca="1">INDIRECT(C14&amp;"!CheckB"&amp;D14)</f>
        <v>2563577.15</v>
      </c>
      <c r="H14" s="3071" t="s">
        <v>99</v>
      </c>
      <c r="I14" s="3069">
        <v>8040</v>
      </c>
      <c r="J14" s="3075" t="str">
        <f t="shared" si="1"/>
        <v>所有者权益_综合收益总额增加权益</v>
      </c>
      <c r="K14" s="3070" t="str">
        <f>Area_RepDuration1</f>
        <v>2018年度</v>
      </c>
      <c r="L14" s="3080">
        <f ca="1">INDIRECT(H14&amp;"!CheckB"&amp;I14)</f>
        <v>2563577.15</v>
      </c>
      <c r="M14" s="3072">
        <f t="shared" ca="1" si="2"/>
        <v>0</v>
      </c>
      <c r="N14" s="3073" t="str">
        <f t="shared" ca="1" si="3"/>
        <v>√</v>
      </c>
      <c r="O14" s="641"/>
      <c r="P14" s="641"/>
      <c r="Q14" s="641"/>
      <c r="R14" s="641"/>
    </row>
    <row r="15" spans="1:18" ht="36">
      <c r="A15" s="30"/>
      <c r="B15" s="3067" t="s">
        <v>155</v>
      </c>
      <c r="C15" s="3068" t="s">
        <v>97</v>
      </c>
      <c r="D15" s="3069">
        <v>6842</v>
      </c>
      <c r="E15" s="3076" t="str">
        <f t="shared" si="0"/>
        <v>归属于少数股东的综合收益总额</v>
      </c>
      <c r="F15" s="3070" t="str">
        <f>Area_RepDuration</f>
        <v>2019年度</v>
      </c>
      <c r="G15" s="3081">
        <f ca="1">INDIRECT(C15&amp;"!CheckA"&amp;D15)</f>
        <v>0</v>
      </c>
      <c r="H15" s="3071" t="s">
        <v>99</v>
      </c>
      <c r="I15" s="3069">
        <v>8940</v>
      </c>
      <c r="J15" s="3076" t="str">
        <f t="shared" si="1"/>
        <v>少数股东权益_综合收益总额增加权益</v>
      </c>
      <c r="K15" s="3070" t="str">
        <f>Area_RepDuration</f>
        <v>2019年度</v>
      </c>
      <c r="L15" s="3081">
        <f ca="1">INDIRECT(H15&amp;"!CheckA"&amp;I15)</f>
        <v>0</v>
      </c>
      <c r="M15" s="3072">
        <f t="shared" ca="1" si="2"/>
        <v>0</v>
      </c>
      <c r="N15" s="3073" t="str">
        <f t="shared" ca="1" si="3"/>
        <v>√</v>
      </c>
      <c r="O15" s="641"/>
      <c r="P15" s="641"/>
      <c r="Q15" s="641"/>
      <c r="R15" s="641"/>
    </row>
    <row r="16" spans="1:18" ht="36">
      <c r="A16" s="30"/>
      <c r="B16" s="3067" t="s">
        <v>166</v>
      </c>
      <c r="C16" s="3068" t="s">
        <v>97</v>
      </c>
      <c r="D16" s="3069">
        <v>6842</v>
      </c>
      <c r="E16" s="3075" t="str">
        <f t="shared" si="0"/>
        <v>归属于少数股东的综合收益总额</v>
      </c>
      <c r="F16" s="3070" t="str">
        <f>Area_RepDuration1</f>
        <v>2018年度</v>
      </c>
      <c r="G16" s="3080">
        <f ca="1">INDIRECT(C16&amp;"!CheckB"&amp;D16)</f>
        <v>0</v>
      </c>
      <c r="H16" s="3071" t="s">
        <v>99</v>
      </c>
      <c r="I16" s="3069">
        <v>8940</v>
      </c>
      <c r="J16" s="3075" t="str">
        <f t="shared" si="1"/>
        <v>少数股东权益_综合收益总额增加权益</v>
      </c>
      <c r="K16" s="3070" t="str">
        <f t="shared" ref="K16:K25" si="4">Area_RepDuration1</f>
        <v>2018年度</v>
      </c>
      <c r="L16" s="3080">
        <f t="shared" ref="L16:L25" ca="1" si="5">INDIRECT(H16&amp;"!CheckB"&amp;I16)</f>
        <v>0</v>
      </c>
      <c r="M16" s="3072">
        <f t="shared" ca="1" si="2"/>
        <v>0</v>
      </c>
      <c r="N16" s="3073" t="str">
        <f t="shared" ca="1" si="3"/>
        <v>√</v>
      </c>
      <c r="O16" s="641"/>
      <c r="P16" s="641"/>
      <c r="Q16" s="641"/>
      <c r="R16" s="641"/>
    </row>
    <row r="17" spans="1:18" ht="24">
      <c r="A17" s="30"/>
      <c r="B17" s="3067" t="s">
        <v>175</v>
      </c>
      <c r="C17" s="3068" t="s">
        <v>99</v>
      </c>
      <c r="D17" s="3069">
        <v>8110</v>
      </c>
      <c r="E17" s="3076" t="str">
        <f t="shared" si="0"/>
        <v>实收资本_本年年初余额</v>
      </c>
      <c r="F17" s="3070" t="str">
        <f t="shared" ref="F17:F26" si="6">Area_RepDuration</f>
        <v>2019年度</v>
      </c>
      <c r="G17" s="3081">
        <f t="shared" ref="G17:G26" ca="1" si="7">INDIRECT(C17&amp;"!CheckA"&amp;D17)</f>
        <v>100000000</v>
      </c>
      <c r="H17" s="3071" t="s">
        <v>99</v>
      </c>
      <c r="I17" s="3069">
        <v>8199</v>
      </c>
      <c r="J17" s="3075" t="str">
        <f t="shared" si="1"/>
        <v>实收资本_本期期末余额</v>
      </c>
      <c r="K17" s="3070" t="str">
        <f t="shared" si="4"/>
        <v>2018年度</v>
      </c>
      <c r="L17" s="3080">
        <f t="shared" ca="1" si="5"/>
        <v>100000000</v>
      </c>
      <c r="M17" s="3072">
        <f t="shared" ca="1" si="2"/>
        <v>0</v>
      </c>
      <c r="N17" s="3073" t="str">
        <f t="shared" ca="1" si="3"/>
        <v>√</v>
      </c>
      <c r="O17" s="641"/>
      <c r="P17" s="641"/>
      <c r="Q17" s="641"/>
      <c r="R17" s="641"/>
    </row>
    <row r="18" spans="1:18" ht="24">
      <c r="A18" s="30"/>
      <c r="B18" s="3067" t="s">
        <v>184</v>
      </c>
      <c r="C18" s="3068" t="s">
        <v>99</v>
      </c>
      <c r="D18" s="3069">
        <v>8210</v>
      </c>
      <c r="E18" s="3076" t="str">
        <f t="shared" si="0"/>
        <v>资本公积_本年年初余额</v>
      </c>
      <c r="F18" s="3070" t="str">
        <f t="shared" si="6"/>
        <v>2019年度</v>
      </c>
      <c r="G18" s="3081">
        <f t="shared" ca="1" si="7"/>
        <v>0</v>
      </c>
      <c r="H18" s="3071" t="s">
        <v>99</v>
      </c>
      <c r="I18" s="3069">
        <v>8299</v>
      </c>
      <c r="J18" s="3075" t="str">
        <f t="shared" si="1"/>
        <v>资本公积_本期期末余额</v>
      </c>
      <c r="K18" s="3070" t="str">
        <f t="shared" si="4"/>
        <v>2018年度</v>
      </c>
      <c r="L18" s="3080">
        <f t="shared" ca="1" si="5"/>
        <v>0</v>
      </c>
      <c r="M18" s="3072">
        <f t="shared" ca="1" si="2"/>
        <v>0</v>
      </c>
      <c r="N18" s="3073" t="str">
        <f t="shared" ca="1" si="3"/>
        <v>√</v>
      </c>
      <c r="O18" s="641"/>
      <c r="P18" s="641"/>
      <c r="Q18" s="641"/>
      <c r="R18" s="641"/>
    </row>
    <row r="19" spans="1:18" ht="24">
      <c r="A19" s="30"/>
      <c r="B19" s="3067" t="s">
        <v>195</v>
      </c>
      <c r="C19" s="3068" t="s">
        <v>99</v>
      </c>
      <c r="D19" s="3069">
        <v>8310</v>
      </c>
      <c r="E19" s="3076" t="str">
        <f t="shared" si="0"/>
        <v>库存股_本年年初余额</v>
      </c>
      <c r="F19" s="3070" t="str">
        <f t="shared" si="6"/>
        <v>2019年度</v>
      </c>
      <c r="G19" s="3081">
        <f t="shared" ca="1" si="7"/>
        <v>0</v>
      </c>
      <c r="H19" s="3071" t="s">
        <v>99</v>
      </c>
      <c r="I19" s="3069">
        <v>8399</v>
      </c>
      <c r="J19" s="3075" t="str">
        <f t="shared" si="1"/>
        <v>库存股_本期期末余额</v>
      </c>
      <c r="K19" s="3070" t="str">
        <f t="shared" si="4"/>
        <v>2018年度</v>
      </c>
      <c r="L19" s="3080">
        <f t="shared" ca="1" si="5"/>
        <v>0</v>
      </c>
      <c r="M19" s="3072">
        <f t="shared" ca="1" si="2"/>
        <v>0</v>
      </c>
      <c r="N19" s="3073" t="str">
        <f t="shared" ca="1" si="3"/>
        <v>√</v>
      </c>
      <c r="O19" s="641"/>
      <c r="P19" s="641"/>
      <c r="Q19" s="641"/>
      <c r="R19" s="641"/>
    </row>
    <row r="20" spans="1:18" ht="24">
      <c r="A20" s="30"/>
      <c r="B20" s="3067" t="s">
        <v>204</v>
      </c>
      <c r="C20" s="3068" t="s">
        <v>99</v>
      </c>
      <c r="D20" s="3069">
        <v>8410</v>
      </c>
      <c r="E20" s="3076" t="str">
        <f t="shared" si="0"/>
        <v>专项储备_本年年初余额</v>
      </c>
      <c r="F20" s="3070" t="str">
        <f t="shared" si="6"/>
        <v>2019年度</v>
      </c>
      <c r="G20" s="3081">
        <f t="shared" ca="1" si="7"/>
        <v>0</v>
      </c>
      <c r="H20" s="3071" t="s">
        <v>99</v>
      </c>
      <c r="I20" s="3069">
        <v>8499</v>
      </c>
      <c r="J20" s="3075" t="str">
        <f t="shared" si="1"/>
        <v>专项储备_本期期末余额</v>
      </c>
      <c r="K20" s="3070" t="str">
        <f t="shared" si="4"/>
        <v>2018年度</v>
      </c>
      <c r="L20" s="3080">
        <f t="shared" ca="1" si="5"/>
        <v>0</v>
      </c>
      <c r="M20" s="3072">
        <f t="shared" ca="1" si="2"/>
        <v>0</v>
      </c>
      <c r="N20" s="3073" t="str">
        <f t="shared" ca="1" si="3"/>
        <v>√</v>
      </c>
      <c r="O20" s="641"/>
      <c r="P20" s="641"/>
      <c r="Q20" s="641"/>
      <c r="R20" s="641"/>
    </row>
    <row r="21" spans="1:18" ht="24">
      <c r="A21" s="30"/>
      <c r="B21" s="3067" t="s">
        <v>214</v>
      </c>
      <c r="C21" s="3068" t="s">
        <v>99</v>
      </c>
      <c r="D21" s="3069">
        <v>8510</v>
      </c>
      <c r="E21" s="3076" t="str">
        <f t="shared" si="0"/>
        <v>盈余公积_本年年初余额</v>
      </c>
      <c r="F21" s="3070" t="str">
        <f t="shared" si="6"/>
        <v>2019年度</v>
      </c>
      <c r="G21" s="3081">
        <f t="shared" ca="1" si="7"/>
        <v>418369.59</v>
      </c>
      <c r="H21" s="3071" t="s">
        <v>99</v>
      </c>
      <c r="I21" s="3069">
        <v>8599</v>
      </c>
      <c r="J21" s="3075" t="str">
        <f t="shared" si="1"/>
        <v>盈余公积_本期期末余额</v>
      </c>
      <c r="K21" s="3070" t="str">
        <f t="shared" si="4"/>
        <v>2018年度</v>
      </c>
      <c r="L21" s="3080">
        <f t="shared" ca="1" si="5"/>
        <v>418369.59</v>
      </c>
      <c r="M21" s="3072">
        <f t="shared" ca="1" si="2"/>
        <v>0</v>
      </c>
      <c r="N21" s="3073" t="str">
        <f t="shared" ca="1" si="3"/>
        <v>√</v>
      </c>
      <c r="O21" s="641"/>
      <c r="P21" s="641"/>
      <c r="Q21" s="641"/>
      <c r="R21" s="641"/>
    </row>
    <row r="22" spans="1:18" ht="24">
      <c r="A22" s="30"/>
      <c r="B22" s="3067" t="s">
        <v>224</v>
      </c>
      <c r="C22" s="3068" t="s">
        <v>99</v>
      </c>
      <c r="D22" s="3069">
        <v>8610</v>
      </c>
      <c r="E22" s="3076" t="str">
        <f t="shared" si="0"/>
        <v>一般风险准备_本年年初余额</v>
      </c>
      <c r="F22" s="3070" t="str">
        <f t="shared" si="6"/>
        <v>2019年度</v>
      </c>
      <c r="G22" s="3081">
        <f t="shared" ca="1" si="7"/>
        <v>0</v>
      </c>
      <c r="H22" s="3071" t="s">
        <v>99</v>
      </c>
      <c r="I22" s="3069">
        <v>8699</v>
      </c>
      <c r="J22" s="3075" t="str">
        <f t="shared" si="1"/>
        <v>一般风险准备_本期期末余额</v>
      </c>
      <c r="K22" s="3070" t="str">
        <f t="shared" si="4"/>
        <v>2018年度</v>
      </c>
      <c r="L22" s="3080">
        <f t="shared" ca="1" si="5"/>
        <v>0</v>
      </c>
      <c r="M22" s="3072">
        <f t="shared" ca="1" si="2"/>
        <v>0</v>
      </c>
      <c r="N22" s="3073" t="str">
        <f t="shared" ca="1" si="3"/>
        <v>√</v>
      </c>
      <c r="O22" s="641"/>
      <c r="P22" s="641"/>
      <c r="Q22" s="641"/>
      <c r="R22" s="641"/>
    </row>
    <row r="23" spans="1:18" ht="24">
      <c r="A23" s="30"/>
      <c r="B23" s="3067" t="s">
        <v>232</v>
      </c>
      <c r="C23" s="3068" t="s">
        <v>99</v>
      </c>
      <c r="D23" s="3069">
        <v>8710</v>
      </c>
      <c r="E23" s="3076" t="str">
        <f t="shared" si="0"/>
        <v>未分配利润_本年年初余额</v>
      </c>
      <c r="F23" s="3070" t="str">
        <f t="shared" si="6"/>
        <v>2019年度</v>
      </c>
      <c r="G23" s="3081">
        <f t="shared" ca="1" si="7"/>
        <v>3765326.31</v>
      </c>
      <c r="H23" s="3071" t="s">
        <v>99</v>
      </c>
      <c r="I23" s="3069">
        <v>8799</v>
      </c>
      <c r="J23" s="3075" t="str">
        <f t="shared" si="1"/>
        <v>未分配利润_本期期末余额</v>
      </c>
      <c r="K23" s="3070" t="str">
        <f t="shared" si="4"/>
        <v>2018年度</v>
      </c>
      <c r="L23" s="3080">
        <f t="shared" ca="1" si="5"/>
        <v>3765326.31</v>
      </c>
      <c r="M23" s="3072">
        <f t="shared" ca="1" si="2"/>
        <v>0</v>
      </c>
      <c r="N23" s="3073" t="str">
        <f t="shared" ca="1" si="3"/>
        <v>√</v>
      </c>
      <c r="O23" s="641"/>
      <c r="P23" s="641"/>
      <c r="Q23" s="641"/>
      <c r="R23" s="641"/>
    </row>
    <row r="24" spans="1:18" ht="36">
      <c r="A24" s="30"/>
      <c r="B24" s="3067" t="s">
        <v>240</v>
      </c>
      <c r="C24" s="3068" t="s">
        <v>99</v>
      </c>
      <c r="D24" s="3069">
        <v>8810</v>
      </c>
      <c r="E24" s="3076" t="str">
        <f t="shared" si="0"/>
        <v>其他归属于母公司所有者权益_本年年初余额</v>
      </c>
      <c r="F24" s="3070" t="str">
        <f t="shared" si="6"/>
        <v>2019年度</v>
      </c>
      <c r="G24" s="3081">
        <f t="shared" ca="1" si="7"/>
        <v>0</v>
      </c>
      <c r="H24" s="3071" t="s">
        <v>99</v>
      </c>
      <c r="I24" s="3069">
        <v>8899</v>
      </c>
      <c r="J24" s="3075" t="str">
        <f t="shared" si="1"/>
        <v>其他归属于母公司所有者权益_本期期末余额</v>
      </c>
      <c r="K24" s="3070" t="str">
        <f t="shared" si="4"/>
        <v>2018年度</v>
      </c>
      <c r="L24" s="3080">
        <f t="shared" ca="1" si="5"/>
        <v>0</v>
      </c>
      <c r="M24" s="3072">
        <f t="shared" ca="1" si="2"/>
        <v>0</v>
      </c>
      <c r="N24" s="3073" t="str">
        <f t="shared" ca="1" si="3"/>
        <v>√</v>
      </c>
      <c r="O24" s="641"/>
      <c r="P24" s="641"/>
      <c r="Q24" s="641"/>
      <c r="R24" s="641"/>
    </row>
    <row r="25" spans="1:18" ht="24">
      <c r="A25" s="30"/>
      <c r="B25" s="3067" t="s">
        <v>250</v>
      </c>
      <c r="C25" s="3068" t="s">
        <v>99</v>
      </c>
      <c r="D25" s="3069">
        <v>8010</v>
      </c>
      <c r="E25" s="3076" t="str">
        <f t="shared" si="0"/>
        <v>所有者权益_本年年初余额</v>
      </c>
      <c r="F25" s="3070" t="str">
        <f t="shared" si="6"/>
        <v>2019年度</v>
      </c>
      <c r="G25" s="3081">
        <f t="shared" ca="1" si="7"/>
        <v>104183695.90000001</v>
      </c>
      <c r="H25" s="3071" t="s">
        <v>99</v>
      </c>
      <c r="I25" s="3069">
        <v>8099</v>
      </c>
      <c r="J25" s="3075" t="str">
        <f t="shared" si="1"/>
        <v>所有者权益_本期期末余额</v>
      </c>
      <c r="K25" s="3070" t="str">
        <f t="shared" si="4"/>
        <v>2018年度</v>
      </c>
      <c r="L25" s="3080">
        <f t="shared" ca="1" si="5"/>
        <v>104183695.90000001</v>
      </c>
      <c r="M25" s="3072">
        <f t="shared" ca="1" si="2"/>
        <v>0</v>
      </c>
      <c r="N25" s="3073" t="str">
        <f t="shared" ca="1" si="3"/>
        <v>√</v>
      </c>
      <c r="O25" s="641"/>
      <c r="P25" s="641"/>
      <c r="Q25" s="641"/>
      <c r="R25" s="641"/>
    </row>
    <row r="26" spans="1:18" ht="24">
      <c r="A26" s="30"/>
      <c r="B26" s="3067" t="s">
        <v>260</v>
      </c>
      <c r="C26" s="3068" t="s">
        <v>99</v>
      </c>
      <c r="D26" s="3069">
        <v>8199</v>
      </c>
      <c r="E26" s="3076" t="str">
        <f t="shared" si="0"/>
        <v>实收资本_本期期末余额</v>
      </c>
      <c r="F26" s="3070" t="str">
        <f t="shared" si="6"/>
        <v>2019年度</v>
      </c>
      <c r="G26" s="3081">
        <f t="shared" ca="1" si="7"/>
        <v>100000000</v>
      </c>
      <c r="H26" s="3071" t="s">
        <v>59</v>
      </c>
      <c r="I26" s="3069">
        <v>4001</v>
      </c>
      <c r="J26" s="3076" t="str">
        <f t="shared" si="1"/>
        <v>实收资本</v>
      </c>
      <c r="K26" s="3070">
        <f>Area_RepDate</f>
        <v>43830</v>
      </c>
      <c r="L26" s="3081">
        <f ca="1">INDIRECT(H26&amp;"!CheckA"&amp;I26)</f>
        <v>100000000</v>
      </c>
      <c r="M26" s="3072">
        <f t="shared" ca="1" si="2"/>
        <v>0</v>
      </c>
      <c r="N26" s="3073" t="str">
        <f t="shared" ca="1" si="3"/>
        <v>√</v>
      </c>
      <c r="O26" s="641"/>
      <c r="P26" s="641"/>
      <c r="Q26" s="641"/>
      <c r="R26" s="641"/>
    </row>
    <row r="27" spans="1:18" ht="24">
      <c r="A27" s="30"/>
      <c r="B27" s="3067" t="s">
        <v>268</v>
      </c>
      <c r="C27" s="3068" t="s">
        <v>99</v>
      </c>
      <c r="D27" s="3069">
        <v>8199</v>
      </c>
      <c r="E27" s="3075" t="str">
        <f t="shared" si="0"/>
        <v>实收资本_本期期末余额</v>
      </c>
      <c r="F27" s="3070" t="str">
        <f>Area_RepDuration1</f>
        <v>2018年度</v>
      </c>
      <c r="G27" s="3080">
        <f ca="1">INDIRECT(C27&amp;"!CheckB"&amp;D27)</f>
        <v>100000000</v>
      </c>
      <c r="H27" s="3071" t="s">
        <v>59</v>
      </c>
      <c r="I27" s="3069">
        <v>4001</v>
      </c>
      <c r="J27" s="3075" t="str">
        <f t="shared" si="1"/>
        <v>实收资本</v>
      </c>
      <c r="K27" s="3070">
        <f>Area_RepDate1</f>
        <v>43465</v>
      </c>
      <c r="L27" s="3080">
        <f ca="1">INDIRECT(H27&amp;"!CheckB"&amp;I27)</f>
        <v>100000000</v>
      </c>
      <c r="M27" s="3072">
        <f t="shared" ca="1" si="2"/>
        <v>0</v>
      </c>
      <c r="N27" s="3073" t="str">
        <f t="shared" ca="1" si="3"/>
        <v>√</v>
      </c>
      <c r="O27" s="641"/>
      <c r="P27" s="641"/>
      <c r="Q27" s="641"/>
      <c r="R27" s="641"/>
    </row>
    <row r="28" spans="1:18" ht="24">
      <c r="A28" s="30"/>
      <c r="B28" s="3067" t="s">
        <v>277</v>
      </c>
      <c r="C28" s="3068" t="s">
        <v>99</v>
      </c>
      <c r="D28" s="3069">
        <v>8299</v>
      </c>
      <c r="E28" s="3076" t="str">
        <f t="shared" si="0"/>
        <v>资本公积_本期期末余额</v>
      </c>
      <c r="F28" s="3070" t="str">
        <f>Area_RepDuration</f>
        <v>2019年度</v>
      </c>
      <c r="G28" s="3081">
        <f ca="1">INDIRECT(C28&amp;"!CheckA"&amp;D28)</f>
        <v>0</v>
      </c>
      <c r="H28" s="3071" t="s">
        <v>59</v>
      </c>
      <c r="I28" s="3069">
        <v>4002</v>
      </c>
      <c r="J28" s="3076" t="str">
        <f t="shared" si="1"/>
        <v>资本公积</v>
      </c>
      <c r="K28" s="3070">
        <f>Area_RepDate</f>
        <v>43830</v>
      </c>
      <c r="L28" s="3081">
        <f ca="1">INDIRECT(H28&amp;"!CheckA"&amp;I28)</f>
        <v>0</v>
      </c>
      <c r="M28" s="3072">
        <f t="shared" ca="1" si="2"/>
        <v>0</v>
      </c>
      <c r="N28" s="3073" t="str">
        <f t="shared" ca="1" si="3"/>
        <v>√</v>
      </c>
      <c r="O28" s="641"/>
      <c r="P28" s="641"/>
      <c r="Q28" s="641"/>
      <c r="R28" s="641"/>
    </row>
    <row r="29" spans="1:18" ht="24">
      <c r="A29" s="30"/>
      <c r="B29" s="3067" t="s">
        <v>285</v>
      </c>
      <c r="C29" s="3068" t="s">
        <v>99</v>
      </c>
      <c r="D29" s="3069">
        <v>8299</v>
      </c>
      <c r="E29" s="3075" t="str">
        <f t="shared" si="0"/>
        <v>资本公积_本期期末余额</v>
      </c>
      <c r="F29" s="3070" t="str">
        <f>Area_RepDuration1</f>
        <v>2018年度</v>
      </c>
      <c r="G29" s="3080">
        <f ca="1">INDIRECT(C29&amp;"!CheckB"&amp;D29)</f>
        <v>0</v>
      </c>
      <c r="H29" s="3071" t="s">
        <v>59</v>
      </c>
      <c r="I29" s="3069">
        <v>4002</v>
      </c>
      <c r="J29" s="3075" t="str">
        <f t="shared" si="1"/>
        <v>资本公积</v>
      </c>
      <c r="K29" s="3070">
        <f>Area_RepDate1</f>
        <v>43465</v>
      </c>
      <c r="L29" s="3080">
        <f ca="1">INDIRECT(H29&amp;"!CheckB"&amp;I29)</f>
        <v>0</v>
      </c>
      <c r="M29" s="3072">
        <f t="shared" ca="1" si="2"/>
        <v>0</v>
      </c>
      <c r="N29" s="3073" t="str">
        <f t="shared" ca="1" si="3"/>
        <v>√</v>
      </c>
      <c r="O29" s="641"/>
      <c r="P29" s="641"/>
      <c r="Q29" s="641"/>
      <c r="R29" s="641"/>
    </row>
    <row r="30" spans="1:18" ht="24">
      <c r="A30" s="30"/>
      <c r="B30" s="3067" t="s">
        <v>296</v>
      </c>
      <c r="C30" s="3068" t="s">
        <v>99</v>
      </c>
      <c r="D30" s="3069">
        <v>8399</v>
      </c>
      <c r="E30" s="3076" t="str">
        <f t="shared" si="0"/>
        <v>库存股_本期期末余额</v>
      </c>
      <c r="F30" s="3070" t="str">
        <f>Area_RepDuration</f>
        <v>2019年度</v>
      </c>
      <c r="G30" s="3081">
        <f ca="1">INDIRECT(C30&amp;"!CheckA"&amp;D30)</f>
        <v>0</v>
      </c>
      <c r="H30" s="3071" t="s">
        <v>59</v>
      </c>
      <c r="I30" s="3069">
        <v>4201</v>
      </c>
      <c r="J30" s="3076" t="str">
        <f t="shared" si="1"/>
        <v>库存股</v>
      </c>
      <c r="K30" s="3070">
        <f>Area_RepDate</f>
        <v>43830</v>
      </c>
      <c r="L30" s="3081">
        <f ca="1">INDIRECT(H30&amp;"!CheckA"&amp;I30)</f>
        <v>0</v>
      </c>
      <c r="M30" s="3072">
        <f t="shared" ca="1" si="2"/>
        <v>0</v>
      </c>
      <c r="N30" s="3073" t="str">
        <f t="shared" ca="1" si="3"/>
        <v>√</v>
      </c>
      <c r="O30" s="641"/>
      <c r="P30" s="641"/>
      <c r="Q30" s="641"/>
      <c r="R30" s="641"/>
    </row>
    <row r="31" spans="1:18" ht="24">
      <c r="A31" s="30"/>
      <c r="B31" s="3067" t="s">
        <v>306</v>
      </c>
      <c r="C31" s="3068" t="s">
        <v>99</v>
      </c>
      <c r="D31" s="3069">
        <v>8399</v>
      </c>
      <c r="E31" s="3075" t="str">
        <f t="shared" si="0"/>
        <v>库存股_本期期末余额</v>
      </c>
      <c r="F31" s="3070" t="str">
        <f>Area_RepDuration1</f>
        <v>2018年度</v>
      </c>
      <c r="G31" s="3080">
        <f ca="1">INDIRECT(C31&amp;"!CheckB"&amp;D31)</f>
        <v>0</v>
      </c>
      <c r="H31" s="3071" t="s">
        <v>59</v>
      </c>
      <c r="I31" s="3069">
        <v>4201</v>
      </c>
      <c r="J31" s="3075" t="str">
        <f t="shared" si="1"/>
        <v>库存股</v>
      </c>
      <c r="K31" s="3070">
        <f>Area_RepDate1</f>
        <v>43465</v>
      </c>
      <c r="L31" s="3080">
        <f ca="1">INDIRECT(H31&amp;"!CheckB"&amp;I31)</f>
        <v>0</v>
      </c>
      <c r="M31" s="3072">
        <f t="shared" ca="1" si="2"/>
        <v>0</v>
      </c>
      <c r="N31" s="3073" t="str">
        <f t="shared" ca="1" si="3"/>
        <v>√</v>
      </c>
      <c r="O31" s="641"/>
      <c r="P31" s="641"/>
      <c r="Q31" s="641"/>
      <c r="R31" s="641"/>
    </row>
    <row r="32" spans="1:18" ht="24">
      <c r="A32" s="30"/>
      <c r="B32" s="3067" t="s">
        <v>312</v>
      </c>
      <c r="C32" s="3068" t="s">
        <v>99</v>
      </c>
      <c r="D32" s="3069">
        <v>8499</v>
      </c>
      <c r="E32" s="3076" t="str">
        <f t="shared" si="0"/>
        <v>专项储备_本期期末余额</v>
      </c>
      <c r="F32" s="3070" t="str">
        <f>Area_RepDuration</f>
        <v>2019年度</v>
      </c>
      <c r="G32" s="3081">
        <f ca="1">INDIRECT(C32&amp;"!CheckA"&amp;D32)</f>
        <v>0</v>
      </c>
      <c r="H32" s="3071" t="s">
        <v>59</v>
      </c>
      <c r="I32" s="3069">
        <v>4301</v>
      </c>
      <c r="J32" s="3076" t="str">
        <f t="shared" si="1"/>
        <v>专项储备</v>
      </c>
      <c r="K32" s="3070">
        <f>Area_RepDate</f>
        <v>43830</v>
      </c>
      <c r="L32" s="3081">
        <f ca="1">INDIRECT(H32&amp;"!CheckA"&amp;I32)</f>
        <v>0</v>
      </c>
      <c r="M32" s="3072">
        <f t="shared" ca="1" si="2"/>
        <v>0</v>
      </c>
      <c r="N32" s="3073" t="str">
        <f t="shared" ca="1" si="3"/>
        <v>√</v>
      </c>
      <c r="O32" s="641"/>
      <c r="P32" s="641"/>
      <c r="Q32" s="641"/>
      <c r="R32" s="641"/>
    </row>
    <row r="33" spans="1:18" ht="24">
      <c r="A33" s="30"/>
      <c r="B33" s="3067" t="s">
        <v>318</v>
      </c>
      <c r="C33" s="3068" t="s">
        <v>99</v>
      </c>
      <c r="D33" s="3069">
        <v>8499</v>
      </c>
      <c r="E33" s="3075" t="str">
        <f t="shared" si="0"/>
        <v>专项储备_本期期末余额</v>
      </c>
      <c r="F33" s="3070" t="str">
        <f>Area_RepDuration1</f>
        <v>2018年度</v>
      </c>
      <c r="G33" s="3080">
        <f ca="1">INDIRECT(C33&amp;"!CheckB"&amp;D33)</f>
        <v>0</v>
      </c>
      <c r="H33" s="3071" t="s">
        <v>59</v>
      </c>
      <c r="I33" s="3069">
        <v>4301</v>
      </c>
      <c r="J33" s="3075" t="str">
        <f t="shared" si="1"/>
        <v>专项储备</v>
      </c>
      <c r="K33" s="3070">
        <f>Area_RepDate1</f>
        <v>43465</v>
      </c>
      <c r="L33" s="3080">
        <f ca="1">INDIRECT(H33&amp;"!CheckB"&amp;I33)</f>
        <v>0</v>
      </c>
      <c r="M33" s="3072">
        <f t="shared" ca="1" si="2"/>
        <v>0</v>
      </c>
      <c r="N33" s="3073" t="str">
        <f t="shared" ca="1" si="3"/>
        <v>√</v>
      </c>
      <c r="O33" s="641"/>
      <c r="P33" s="641"/>
      <c r="Q33" s="641"/>
      <c r="R33" s="641"/>
    </row>
    <row r="34" spans="1:18" ht="24">
      <c r="A34" s="30"/>
      <c r="B34" s="3067" t="s">
        <v>324</v>
      </c>
      <c r="C34" s="3068" t="s">
        <v>99</v>
      </c>
      <c r="D34" s="3069">
        <v>8599</v>
      </c>
      <c r="E34" s="3076" t="str">
        <f t="shared" si="0"/>
        <v>盈余公积_本期期末余额</v>
      </c>
      <c r="F34" s="3070" t="str">
        <f>Area_RepDuration</f>
        <v>2019年度</v>
      </c>
      <c r="G34" s="3081">
        <f ca="1">INDIRECT(C34&amp;"!CheckA"&amp;D34)</f>
        <v>418369.59</v>
      </c>
      <c r="H34" s="3071" t="s">
        <v>59</v>
      </c>
      <c r="I34" s="3069">
        <v>4101</v>
      </c>
      <c r="J34" s="3076" t="str">
        <f t="shared" si="1"/>
        <v>盈余公积</v>
      </c>
      <c r="K34" s="3070">
        <f>Area_RepDate</f>
        <v>43830</v>
      </c>
      <c r="L34" s="3081">
        <f ca="1">INDIRECT(H34&amp;"!CheckA"&amp;I34)</f>
        <v>418369.59</v>
      </c>
      <c r="M34" s="3072">
        <f t="shared" ca="1" si="2"/>
        <v>0</v>
      </c>
      <c r="N34" s="3073" t="str">
        <f t="shared" ca="1" si="3"/>
        <v>√</v>
      </c>
      <c r="O34" s="641"/>
      <c r="P34" s="641"/>
      <c r="Q34" s="641"/>
      <c r="R34" s="641"/>
    </row>
    <row r="35" spans="1:18" ht="24">
      <c r="A35" s="30"/>
      <c r="B35" s="3067" t="s">
        <v>330</v>
      </c>
      <c r="C35" s="3068" t="s">
        <v>99</v>
      </c>
      <c r="D35" s="3069">
        <v>8599</v>
      </c>
      <c r="E35" s="3075" t="str">
        <f t="shared" si="0"/>
        <v>盈余公积_本期期末余额</v>
      </c>
      <c r="F35" s="3070" t="str">
        <f>Area_RepDuration1</f>
        <v>2018年度</v>
      </c>
      <c r="G35" s="3080">
        <f ca="1">INDIRECT(C35&amp;"!CheckB"&amp;D35)</f>
        <v>418369.59</v>
      </c>
      <c r="H35" s="3071" t="s">
        <v>59</v>
      </c>
      <c r="I35" s="3069">
        <v>4101</v>
      </c>
      <c r="J35" s="3075" t="str">
        <f t="shared" si="1"/>
        <v>盈余公积</v>
      </c>
      <c r="K35" s="3070">
        <f>Area_RepDate1</f>
        <v>43465</v>
      </c>
      <c r="L35" s="3080">
        <f ca="1">INDIRECT(H35&amp;"!CheckB"&amp;I35)</f>
        <v>418369.59</v>
      </c>
      <c r="M35" s="3072">
        <f t="shared" ca="1" si="2"/>
        <v>0</v>
      </c>
      <c r="N35" s="3073" t="str">
        <f t="shared" ca="1" si="3"/>
        <v>√</v>
      </c>
      <c r="O35" s="641"/>
      <c r="P35" s="641"/>
      <c r="Q35" s="641"/>
      <c r="R35" s="641"/>
    </row>
    <row r="36" spans="1:18" ht="24">
      <c r="A36" s="30"/>
      <c r="B36" s="3067" t="s">
        <v>338</v>
      </c>
      <c r="C36" s="3068" t="s">
        <v>99</v>
      </c>
      <c r="D36" s="3069">
        <v>8699</v>
      </c>
      <c r="E36" s="3076" t="str">
        <f t="shared" si="0"/>
        <v>一般风险准备_本期期末余额</v>
      </c>
      <c r="F36" s="3070" t="str">
        <f>Area_RepDuration</f>
        <v>2019年度</v>
      </c>
      <c r="G36" s="3081">
        <f ca="1">INDIRECT(C36&amp;"!CheckA"&amp;D36)</f>
        <v>0</v>
      </c>
      <c r="H36" s="3071" t="s">
        <v>59</v>
      </c>
      <c r="I36" s="3069">
        <v>4102</v>
      </c>
      <c r="J36" s="3076" t="str">
        <f t="shared" si="1"/>
        <v>一般风险准备</v>
      </c>
      <c r="K36" s="3070">
        <f>Area_RepDate</f>
        <v>43830</v>
      </c>
      <c r="L36" s="3081">
        <f ca="1">INDIRECT(H36&amp;"!CheckA"&amp;I36)</f>
        <v>0</v>
      </c>
      <c r="M36" s="3072">
        <f t="shared" ca="1" si="2"/>
        <v>0</v>
      </c>
      <c r="N36" s="3073" t="str">
        <f t="shared" ca="1" si="3"/>
        <v>√</v>
      </c>
      <c r="O36" s="641"/>
      <c r="P36" s="641"/>
      <c r="Q36" s="641"/>
      <c r="R36" s="641"/>
    </row>
    <row r="37" spans="1:18" ht="24">
      <c r="A37" s="30"/>
      <c r="B37" s="3067" t="s">
        <v>345</v>
      </c>
      <c r="C37" s="3068" t="s">
        <v>99</v>
      </c>
      <c r="D37" s="3069">
        <v>8699</v>
      </c>
      <c r="E37" s="3075" t="str">
        <f t="shared" si="0"/>
        <v>一般风险准备_本期期末余额</v>
      </c>
      <c r="F37" s="3070" t="str">
        <f>Area_RepDuration1</f>
        <v>2018年度</v>
      </c>
      <c r="G37" s="3080">
        <f ca="1">INDIRECT(C37&amp;"!CheckB"&amp;D37)</f>
        <v>0</v>
      </c>
      <c r="H37" s="3071" t="s">
        <v>59</v>
      </c>
      <c r="I37" s="3069">
        <v>4102</v>
      </c>
      <c r="J37" s="3075" t="str">
        <f t="shared" si="1"/>
        <v>一般风险准备</v>
      </c>
      <c r="K37" s="3070">
        <f>Area_RepDate1</f>
        <v>43465</v>
      </c>
      <c r="L37" s="3080">
        <f ca="1">INDIRECT(H37&amp;"!CheckB"&amp;I37)</f>
        <v>0</v>
      </c>
      <c r="M37" s="3072">
        <f t="shared" ca="1" si="2"/>
        <v>0</v>
      </c>
      <c r="N37" s="3073" t="str">
        <f t="shared" ca="1" si="3"/>
        <v>√</v>
      </c>
      <c r="O37" s="641"/>
      <c r="P37" s="641"/>
      <c r="Q37" s="641"/>
      <c r="R37" s="641"/>
    </row>
    <row r="38" spans="1:18" ht="24">
      <c r="A38" s="30"/>
      <c r="B38" s="3067" t="s">
        <v>352</v>
      </c>
      <c r="C38" s="3068" t="s">
        <v>99</v>
      </c>
      <c r="D38" s="3069">
        <v>8799</v>
      </c>
      <c r="E38" s="3076" t="str">
        <f t="shared" si="0"/>
        <v>未分配利润_本期期末余额</v>
      </c>
      <c r="F38" s="3070" t="str">
        <f>Area_RepDuration</f>
        <v>2019年度</v>
      </c>
      <c r="G38" s="3081">
        <f ca="1">INDIRECT(C38&amp;"!CheckA"&amp;D38)</f>
        <v>1202085.97</v>
      </c>
      <c r="H38" s="3071" t="s">
        <v>59</v>
      </c>
      <c r="I38" s="3069">
        <v>4200</v>
      </c>
      <c r="J38" s="3076" t="str">
        <f t="shared" si="1"/>
        <v>未分配利润</v>
      </c>
      <c r="K38" s="3070">
        <f>Area_RepDate</f>
        <v>43830</v>
      </c>
      <c r="L38" s="3081">
        <f ca="1">INDIRECT(H38&amp;"!CheckA"&amp;I38)</f>
        <v>1202085.97</v>
      </c>
      <c r="M38" s="3072">
        <f t="shared" ca="1" si="2"/>
        <v>0</v>
      </c>
      <c r="N38" s="3073" t="str">
        <f t="shared" ca="1" si="3"/>
        <v>√</v>
      </c>
      <c r="O38" s="641"/>
      <c r="P38" s="641"/>
      <c r="Q38" s="641"/>
      <c r="R38" s="641"/>
    </row>
    <row r="39" spans="1:18" ht="24">
      <c r="A39" s="30"/>
      <c r="B39" s="3067" t="s">
        <v>360</v>
      </c>
      <c r="C39" s="3068" t="s">
        <v>99</v>
      </c>
      <c r="D39" s="3069">
        <v>8799</v>
      </c>
      <c r="E39" s="3075" t="str">
        <f t="shared" si="0"/>
        <v>未分配利润_本期期末余额</v>
      </c>
      <c r="F39" s="3070" t="str">
        <f>Area_RepDuration1</f>
        <v>2018年度</v>
      </c>
      <c r="G39" s="3080">
        <f ca="1">INDIRECT(C39&amp;"!CheckB"&amp;D39)</f>
        <v>3765326.31</v>
      </c>
      <c r="H39" s="3071" t="s">
        <v>59</v>
      </c>
      <c r="I39" s="3069">
        <v>4200</v>
      </c>
      <c r="J39" s="3075" t="str">
        <f t="shared" si="1"/>
        <v>未分配利润</v>
      </c>
      <c r="K39" s="3070">
        <f>Area_RepDate1</f>
        <v>43465</v>
      </c>
      <c r="L39" s="3080">
        <f ca="1">INDIRECT(H39&amp;"!CheckB"&amp;I39)</f>
        <v>3765326.31</v>
      </c>
      <c r="M39" s="3072">
        <f t="shared" ca="1" si="2"/>
        <v>0</v>
      </c>
      <c r="N39" s="3073" t="str">
        <f t="shared" ca="1" si="3"/>
        <v>√</v>
      </c>
      <c r="O39" s="641"/>
      <c r="P39" s="641"/>
      <c r="Q39" s="641"/>
      <c r="R39" s="641"/>
    </row>
    <row r="40" spans="1:18" ht="24">
      <c r="A40" s="30"/>
      <c r="B40" s="3067" t="s">
        <v>368</v>
      </c>
      <c r="C40" s="3068" t="s">
        <v>99</v>
      </c>
      <c r="D40" s="3069">
        <v>8099</v>
      </c>
      <c r="E40" s="3076" t="str">
        <f t="shared" si="0"/>
        <v>所有者权益_本期期末余额</v>
      </c>
      <c r="F40" s="3070" t="str">
        <f>Area_RepDuration</f>
        <v>2019年度</v>
      </c>
      <c r="G40" s="3081">
        <f ca="1">INDIRECT(C40&amp;"!CheckA"&amp;D40)</f>
        <v>101620455.56</v>
      </c>
      <c r="H40" s="3071" t="s">
        <v>59</v>
      </c>
      <c r="I40" s="3069">
        <v>4999</v>
      </c>
      <c r="J40" s="3076" t="str">
        <f t="shared" si="1"/>
        <v>所有者权益</v>
      </c>
      <c r="K40" s="3070">
        <f>Area_RepDate</f>
        <v>43830</v>
      </c>
      <c r="L40" s="3081">
        <f ca="1">INDIRECT(H40&amp;"!CheckA"&amp;I40)</f>
        <v>101620455.56</v>
      </c>
      <c r="M40" s="3072">
        <f t="shared" ca="1" si="2"/>
        <v>0</v>
      </c>
      <c r="N40" s="3073" t="str">
        <f t="shared" ca="1" si="3"/>
        <v>√</v>
      </c>
      <c r="O40" s="641"/>
      <c r="P40" s="641"/>
      <c r="Q40" s="641"/>
      <c r="R40" s="641"/>
    </row>
    <row r="41" spans="1:18" ht="24">
      <c r="A41" s="30"/>
      <c r="B41" s="3067" t="s">
        <v>375</v>
      </c>
      <c r="C41" s="3068" t="s">
        <v>99</v>
      </c>
      <c r="D41" s="3069">
        <v>8099</v>
      </c>
      <c r="E41" s="3075" t="str">
        <f t="shared" ref="E41:E72" si="8">VLOOKUP(D41,Sheet_Items,2,0)</f>
        <v>所有者权益_本期期末余额</v>
      </c>
      <c r="F41" s="3070" t="str">
        <f>Area_RepDuration1</f>
        <v>2018年度</v>
      </c>
      <c r="G41" s="3080">
        <f ca="1">INDIRECT(C41&amp;"!CheckB"&amp;D41)</f>
        <v>104183695.90000001</v>
      </c>
      <c r="H41" s="3071" t="s">
        <v>59</v>
      </c>
      <c r="I41" s="3069">
        <v>4999</v>
      </c>
      <c r="J41" s="3075" t="str">
        <f t="shared" ref="J41:J72" si="9">VLOOKUP(I41,Sheet_Items,2,0)</f>
        <v>所有者权益</v>
      </c>
      <c r="K41" s="3070">
        <f>Area_RepDate1</f>
        <v>43465</v>
      </c>
      <c r="L41" s="3080">
        <f ca="1">INDIRECT(H41&amp;"!CheckB"&amp;I41)</f>
        <v>104183695.90000001</v>
      </c>
      <c r="M41" s="3072">
        <f t="shared" ref="M41:M72" ca="1" si="10">ROUND(G41-L41,2)</f>
        <v>0</v>
      </c>
      <c r="N41" s="3073" t="str">
        <f t="shared" ref="N41:N72" ca="1" si="11">IF(M41=0,"√","×")</f>
        <v>√</v>
      </c>
      <c r="O41" s="641"/>
      <c r="P41" s="641"/>
      <c r="Q41" s="641"/>
      <c r="R41" s="641"/>
    </row>
    <row r="42" spans="1:18" ht="24">
      <c r="A42" s="30"/>
      <c r="B42" s="3067" t="s">
        <v>382</v>
      </c>
      <c r="C42" s="3068" t="s">
        <v>383</v>
      </c>
      <c r="D42" s="3069">
        <v>7349</v>
      </c>
      <c r="E42" s="3076" t="str">
        <f t="shared" si="8"/>
        <v>期初现金及现金等价物余额</v>
      </c>
      <c r="F42" s="3070" t="str">
        <f>Area_RepDuration</f>
        <v>2019年度</v>
      </c>
      <c r="G42" s="3081">
        <f ca="1">INDIRECT(C42&amp;"!CheckA"&amp;D42)</f>
        <v>91308.84</v>
      </c>
      <c r="H42" s="3071" t="s">
        <v>383</v>
      </c>
      <c r="I42" s="3069">
        <v>7399</v>
      </c>
      <c r="J42" s="3075" t="str">
        <f t="shared" si="9"/>
        <v>期末现金及现金等价物余额</v>
      </c>
      <c r="K42" s="3070" t="str">
        <f>Area_RepDuration1</f>
        <v>2018年度</v>
      </c>
      <c r="L42" s="3080">
        <f ca="1">INDIRECT(H42&amp;"!CheckB"&amp;I42)</f>
        <v>91308.84</v>
      </c>
      <c r="M42" s="3072">
        <f t="shared" ca="1" si="10"/>
        <v>0</v>
      </c>
      <c r="N42" s="3073" t="str">
        <f t="shared" ca="1" si="11"/>
        <v>√</v>
      </c>
      <c r="O42" s="641"/>
      <c r="P42" s="641"/>
      <c r="Q42" s="641"/>
      <c r="R42" s="641"/>
    </row>
    <row r="43" spans="1:18" ht="18">
      <c r="A43" s="30"/>
      <c r="B43" s="3067" t="s">
        <v>389</v>
      </c>
      <c r="C43" s="3068" t="s">
        <v>383</v>
      </c>
      <c r="D43" s="3069">
        <v>7502</v>
      </c>
      <c r="E43" s="3076" t="str">
        <f t="shared" si="8"/>
        <v>净利润金额</v>
      </c>
      <c r="F43" s="3070" t="str">
        <f>Area_RepDuration</f>
        <v>2019年度</v>
      </c>
      <c r="G43" s="3081">
        <f ca="1">INDIRECT(C43&amp;"!CheckA"&amp;D43)</f>
        <v>-2563240.34</v>
      </c>
      <c r="H43" s="3071" t="s">
        <v>97</v>
      </c>
      <c r="I43" s="3069">
        <v>6799</v>
      </c>
      <c r="J43" s="3076" t="str">
        <f t="shared" si="9"/>
        <v>净利润</v>
      </c>
      <c r="K43" s="3070" t="str">
        <f>Area_RepDuration</f>
        <v>2019年度</v>
      </c>
      <c r="L43" s="3081">
        <f ca="1">INDIRECT(H43&amp;"!CheckA"&amp;I43)</f>
        <v>-2563240.34</v>
      </c>
      <c r="M43" s="3072">
        <f t="shared" ca="1" si="10"/>
        <v>0</v>
      </c>
      <c r="N43" s="3073" t="str">
        <f t="shared" ca="1" si="11"/>
        <v>√</v>
      </c>
      <c r="O43" s="641"/>
      <c r="P43" s="641"/>
      <c r="Q43" s="641"/>
      <c r="R43" s="641"/>
    </row>
    <row r="44" spans="1:18" ht="18">
      <c r="A44" s="30"/>
      <c r="B44" s="3067" t="s">
        <v>395</v>
      </c>
      <c r="C44" s="3068" t="s">
        <v>383</v>
      </c>
      <c r="D44" s="3069">
        <v>7502</v>
      </c>
      <c r="E44" s="3075" t="str">
        <f t="shared" si="8"/>
        <v>净利润金额</v>
      </c>
      <c r="F44" s="3070" t="str">
        <f>Area_RepDuration1</f>
        <v>2018年度</v>
      </c>
      <c r="G44" s="3080">
        <f ca="1">INDIRECT(C44&amp;"!CheckB"&amp;D44)</f>
        <v>2563577.15</v>
      </c>
      <c r="H44" s="3071" t="s">
        <v>97</v>
      </c>
      <c r="I44" s="3069">
        <v>6799</v>
      </c>
      <c r="J44" s="3075" t="str">
        <f t="shared" si="9"/>
        <v>净利润</v>
      </c>
      <c r="K44" s="3070" t="str">
        <f>Area_RepDuration1</f>
        <v>2018年度</v>
      </c>
      <c r="L44" s="3080">
        <f ca="1">INDIRECT(H44&amp;"!CheckB"&amp;I44)</f>
        <v>2563577.15</v>
      </c>
      <c r="M44" s="3072">
        <f t="shared" ca="1" si="10"/>
        <v>0</v>
      </c>
      <c r="N44" s="3073" t="str">
        <f t="shared" ca="1" si="11"/>
        <v>√</v>
      </c>
      <c r="O44" s="641"/>
      <c r="P44" s="641"/>
      <c r="Q44" s="641"/>
      <c r="R44" s="641"/>
    </row>
    <row r="45" spans="1:18" ht="24">
      <c r="A45" s="30"/>
      <c r="B45" s="3067" t="s">
        <v>401</v>
      </c>
      <c r="C45" s="3068" t="s">
        <v>383</v>
      </c>
      <c r="D45" s="3069">
        <v>7525</v>
      </c>
      <c r="E45" s="3076" t="str">
        <f t="shared" si="8"/>
        <v>经营活动产生的现金流量净额</v>
      </c>
      <c r="F45" s="3070" t="str">
        <f>Area_RepDuration</f>
        <v>2019年度</v>
      </c>
      <c r="G45" s="3081">
        <f ca="1">INDIRECT(C45&amp;"!CheckA"&amp;D45)</f>
        <v>-87572140.469999999</v>
      </c>
      <c r="H45" s="3071" t="s">
        <v>383</v>
      </c>
      <c r="I45" s="3069">
        <v>7099</v>
      </c>
      <c r="J45" s="3076" t="str">
        <f t="shared" si="9"/>
        <v>经营活动产生的现金流量净额</v>
      </c>
      <c r="K45" s="3070" t="str">
        <f>Area_RepDuration</f>
        <v>2019年度</v>
      </c>
      <c r="L45" s="3081">
        <f ca="1">INDIRECT(H45&amp;"!CheckA"&amp;I45)</f>
        <v>-87391640.469999999</v>
      </c>
      <c r="M45" s="3072">
        <f t="shared" ca="1" si="10"/>
        <v>-180500</v>
      </c>
      <c r="N45" s="3073" t="str">
        <f t="shared" ca="1" si="11"/>
        <v>×</v>
      </c>
      <c r="O45" s="641"/>
      <c r="P45" s="641"/>
      <c r="Q45" s="641"/>
      <c r="R45" s="641"/>
    </row>
    <row r="46" spans="1:18" ht="24">
      <c r="A46" s="30"/>
      <c r="B46" s="3067" t="s">
        <v>408</v>
      </c>
      <c r="C46" s="3068" t="s">
        <v>383</v>
      </c>
      <c r="D46" s="3069">
        <v>7525</v>
      </c>
      <c r="E46" s="3075" t="str">
        <f t="shared" si="8"/>
        <v>经营活动产生的现金流量净额</v>
      </c>
      <c r="F46" s="3070" t="str">
        <f>Area_RepDuration1</f>
        <v>2018年度</v>
      </c>
      <c r="G46" s="3080">
        <f ca="1">INDIRECT(C46&amp;"!CheckB"&amp;D46)</f>
        <v>77786868.519999996</v>
      </c>
      <c r="H46" s="3071" t="s">
        <v>383</v>
      </c>
      <c r="I46" s="3069">
        <v>7099</v>
      </c>
      <c r="J46" s="3075" t="str">
        <f t="shared" si="9"/>
        <v>经营活动产生的现金流量净额</v>
      </c>
      <c r="K46" s="3070" t="str">
        <f>Area_RepDuration1</f>
        <v>2018年度</v>
      </c>
      <c r="L46" s="3080">
        <f ca="1">INDIRECT(H46&amp;"!CheckB"&amp;I46)</f>
        <v>77786868.519999996</v>
      </c>
      <c r="M46" s="3072">
        <f t="shared" ca="1" si="10"/>
        <v>0</v>
      </c>
      <c r="N46" s="3073" t="str">
        <f t="shared" ca="1" si="11"/>
        <v>√</v>
      </c>
      <c r="O46" s="641"/>
      <c r="P46" s="641"/>
      <c r="Q46" s="641"/>
      <c r="R46" s="641"/>
    </row>
    <row r="47" spans="1:18" ht="24">
      <c r="A47" s="30"/>
      <c r="B47" s="3067" t="s">
        <v>414</v>
      </c>
      <c r="C47" s="3068" t="s">
        <v>383</v>
      </c>
      <c r="D47" s="3069">
        <v>7539</v>
      </c>
      <c r="E47" s="3076" t="str">
        <f t="shared" si="8"/>
        <v>现金及现金等价物净增加额</v>
      </c>
      <c r="F47" s="3070" t="str">
        <f>Area_RepDuration</f>
        <v>2019年度</v>
      </c>
      <c r="G47" s="3081">
        <f ca="1">INDIRECT(C47&amp;"!CheckA"&amp;D47)</f>
        <v>4208359.53</v>
      </c>
      <c r="H47" s="3071" t="s">
        <v>383</v>
      </c>
      <c r="I47" s="3069">
        <v>7348</v>
      </c>
      <c r="J47" s="3076" t="str">
        <f t="shared" si="9"/>
        <v>现金及现金等价物净增加额</v>
      </c>
      <c r="K47" s="3070" t="str">
        <f>Area_RepDuration</f>
        <v>2019年度</v>
      </c>
      <c r="L47" s="3081">
        <f ca="1">INDIRECT(H47&amp;"!CheckA"&amp;I47)</f>
        <v>4208359.53</v>
      </c>
      <c r="M47" s="3072">
        <f t="shared" ca="1" si="10"/>
        <v>0</v>
      </c>
      <c r="N47" s="3073" t="str">
        <f t="shared" ca="1" si="11"/>
        <v>√</v>
      </c>
      <c r="O47" s="641"/>
      <c r="P47" s="641"/>
      <c r="Q47" s="641"/>
      <c r="R47" s="641"/>
    </row>
    <row r="48" spans="1:18" ht="24">
      <c r="A48" s="30"/>
      <c r="B48" s="3067" t="s">
        <v>421</v>
      </c>
      <c r="C48" s="3068" t="s">
        <v>383</v>
      </c>
      <c r="D48" s="3069">
        <v>7539</v>
      </c>
      <c r="E48" s="3075" t="str">
        <f t="shared" si="8"/>
        <v>现金及现金等价物净增加额</v>
      </c>
      <c r="F48" s="3070" t="str">
        <f>Area_RepDuration1</f>
        <v>2018年度</v>
      </c>
      <c r="G48" s="3080">
        <f ca="1">INDIRECT(C48&amp;"!CheckB"&amp;D48)</f>
        <v>-2292045.13</v>
      </c>
      <c r="H48" s="3071" t="s">
        <v>383</v>
      </c>
      <c r="I48" s="3069">
        <v>7348</v>
      </c>
      <c r="J48" s="3075" t="str">
        <f t="shared" si="9"/>
        <v>现金及现金等价物净增加额</v>
      </c>
      <c r="K48" s="3070" t="str">
        <f>Area_RepDuration1</f>
        <v>2018年度</v>
      </c>
      <c r="L48" s="3080">
        <f ca="1">INDIRECT(H48&amp;"!CheckB"&amp;I48)</f>
        <v>-2292045.13</v>
      </c>
      <c r="M48" s="3072">
        <f t="shared" ca="1" si="10"/>
        <v>0</v>
      </c>
      <c r="N48" s="3073" t="str">
        <f t="shared" ca="1" si="11"/>
        <v>√</v>
      </c>
      <c r="O48" s="641"/>
      <c r="P48" s="641"/>
      <c r="Q48" s="641"/>
      <c r="R48" s="641"/>
    </row>
    <row r="49" spans="1:18" ht="18">
      <c r="A49" s="30"/>
      <c r="B49" s="3067" t="s">
        <v>427</v>
      </c>
      <c r="C49" s="3068" t="s">
        <v>428</v>
      </c>
      <c r="D49" s="3069">
        <v>1999</v>
      </c>
      <c r="E49" s="3076" t="str">
        <f t="shared" si="8"/>
        <v>资产</v>
      </c>
      <c r="F49" s="3070">
        <f>Area_RepDate</f>
        <v>43830</v>
      </c>
      <c r="G49" s="3081">
        <f ca="1">INDIRECT(C49&amp;"!CheckA"&amp;D49)</f>
        <v>106747804.67</v>
      </c>
      <c r="H49" s="3071" t="s">
        <v>428</v>
      </c>
      <c r="I49" s="3069">
        <v>5000</v>
      </c>
      <c r="J49" s="3076" t="str">
        <f t="shared" si="9"/>
        <v>负债和所有者权益</v>
      </c>
      <c r="K49" s="3070">
        <f>Area_RepDate</f>
        <v>43830</v>
      </c>
      <c r="L49" s="3081">
        <f ca="1">INDIRECT(H49&amp;"!CheckA"&amp;I49)</f>
        <v>106747804.67</v>
      </c>
      <c r="M49" s="3072">
        <f t="shared" ca="1" si="10"/>
        <v>0</v>
      </c>
      <c r="N49" s="3073" t="str">
        <f t="shared" ca="1" si="11"/>
        <v>√</v>
      </c>
      <c r="O49" s="641"/>
      <c r="P49" s="641"/>
      <c r="Q49" s="641"/>
      <c r="R49" s="641"/>
    </row>
    <row r="50" spans="1:18" ht="24">
      <c r="A50" s="30"/>
      <c r="B50" s="3067" t="s">
        <v>435</v>
      </c>
      <c r="C50" s="3068" t="s">
        <v>428</v>
      </c>
      <c r="D50" s="3069">
        <v>1999</v>
      </c>
      <c r="E50" s="3075" t="str">
        <f t="shared" si="8"/>
        <v>资产</v>
      </c>
      <c r="F50" s="3070">
        <f>Area_RepDate1</f>
        <v>43465</v>
      </c>
      <c r="G50" s="3080">
        <f ca="1">INDIRECT(C50&amp;"!CheckB"&amp;D50)</f>
        <v>218552283.09999999</v>
      </c>
      <c r="H50" s="3071" t="s">
        <v>428</v>
      </c>
      <c r="I50" s="3069">
        <v>5000</v>
      </c>
      <c r="J50" s="3075" t="str">
        <f t="shared" si="9"/>
        <v>负债和所有者权益</v>
      </c>
      <c r="K50" s="3070">
        <f>Area_RepDate1</f>
        <v>43465</v>
      </c>
      <c r="L50" s="3080">
        <f ca="1">INDIRECT(H50&amp;"!CheckB"&amp;I50)</f>
        <v>218552283.09999999</v>
      </c>
      <c r="M50" s="3072">
        <f t="shared" ca="1" si="10"/>
        <v>0</v>
      </c>
      <c r="N50" s="3073" t="str">
        <f t="shared" ca="1" si="11"/>
        <v>√</v>
      </c>
      <c r="O50" s="641"/>
      <c r="P50" s="641"/>
      <c r="Q50" s="641"/>
      <c r="R50" s="641"/>
    </row>
    <row r="51" spans="1:18" ht="24">
      <c r="A51" s="30"/>
      <c r="B51" s="3067" t="s">
        <v>440</v>
      </c>
      <c r="C51" s="3068" t="s">
        <v>441</v>
      </c>
      <c r="D51" s="3069">
        <v>6839</v>
      </c>
      <c r="E51" s="3076" t="str">
        <f t="shared" si="8"/>
        <v>综合收益总额</v>
      </c>
      <c r="F51" s="3070" t="str">
        <f>Area_RepDuration</f>
        <v>2019年度</v>
      </c>
      <c r="G51" s="3081">
        <f ca="1">INDIRECT(C51&amp;"!CheckA"&amp;D51)</f>
        <v>-2382740.34</v>
      </c>
      <c r="H51" s="3071" t="s">
        <v>442</v>
      </c>
      <c r="I51" s="3069">
        <v>8040</v>
      </c>
      <c r="J51" s="3076" t="str">
        <f t="shared" si="9"/>
        <v>所有者权益_综合收益总额增加权益</v>
      </c>
      <c r="K51" s="3070" t="str">
        <f>Area_RepDuration</f>
        <v>2019年度</v>
      </c>
      <c r="L51" s="3081">
        <f ca="1">INDIRECT(H51&amp;"!CheckA"&amp;I51)</f>
        <v>-2382740.34</v>
      </c>
      <c r="M51" s="3072">
        <f t="shared" ca="1" si="10"/>
        <v>0</v>
      </c>
      <c r="N51" s="3073" t="str">
        <f t="shared" ca="1" si="11"/>
        <v>√</v>
      </c>
      <c r="O51" s="641"/>
      <c r="P51" s="641"/>
      <c r="Q51" s="641"/>
      <c r="R51" s="641"/>
    </row>
    <row r="52" spans="1:18" ht="36">
      <c r="A52" s="30"/>
      <c r="B52" s="3067" t="s">
        <v>450</v>
      </c>
      <c r="C52" s="3068" t="s">
        <v>441</v>
      </c>
      <c r="D52" s="3069">
        <v>6839</v>
      </c>
      <c r="E52" s="3075" t="str">
        <f t="shared" si="8"/>
        <v>综合收益总额</v>
      </c>
      <c r="F52" s="3070" t="str">
        <f>Area_RepDuration1</f>
        <v>2018年度</v>
      </c>
      <c r="G52" s="3080">
        <f ca="1">INDIRECT(C52&amp;"!CheckB"&amp;D52)</f>
        <v>2563577.15</v>
      </c>
      <c r="H52" s="3071" t="s">
        <v>442</v>
      </c>
      <c r="I52" s="3069">
        <v>8040</v>
      </c>
      <c r="J52" s="3075" t="str">
        <f t="shared" si="9"/>
        <v>所有者权益_综合收益总额增加权益</v>
      </c>
      <c r="K52" s="3070" t="str">
        <f t="shared" ref="K52:K61" si="12">Area_RepDuration1</f>
        <v>2018年度</v>
      </c>
      <c r="L52" s="3080">
        <f t="shared" ref="L52:L61" ca="1" si="13">INDIRECT(H52&amp;"!CheckB"&amp;I52)</f>
        <v>2563577.15</v>
      </c>
      <c r="M52" s="3072">
        <f t="shared" ca="1" si="10"/>
        <v>0</v>
      </c>
      <c r="N52" s="3073" t="str">
        <f t="shared" ca="1" si="11"/>
        <v>√</v>
      </c>
      <c r="O52" s="641"/>
      <c r="P52" s="641"/>
      <c r="Q52" s="641"/>
      <c r="R52" s="641"/>
    </row>
    <row r="53" spans="1:18" ht="24">
      <c r="A53" s="30"/>
      <c r="B53" s="3067" t="s">
        <v>455</v>
      </c>
      <c r="C53" s="3068" t="s">
        <v>442</v>
      </c>
      <c r="D53" s="3069">
        <v>8110</v>
      </c>
      <c r="E53" s="3076" t="str">
        <f t="shared" si="8"/>
        <v>实收资本_本年年初余额</v>
      </c>
      <c r="F53" s="3070" t="str">
        <f t="shared" ref="F53:F62" si="14">Area_RepDuration</f>
        <v>2019年度</v>
      </c>
      <c r="G53" s="3081">
        <f t="shared" ref="G53:G62" ca="1" si="15">INDIRECT(C53&amp;"!CheckA"&amp;D53)</f>
        <v>100000000</v>
      </c>
      <c r="H53" s="3071" t="s">
        <v>442</v>
      </c>
      <c r="I53" s="3069">
        <v>8199</v>
      </c>
      <c r="J53" s="3075" t="str">
        <f t="shared" si="9"/>
        <v>实收资本_本期期末余额</v>
      </c>
      <c r="K53" s="3070" t="str">
        <f t="shared" si="12"/>
        <v>2018年度</v>
      </c>
      <c r="L53" s="3080">
        <f t="shared" ca="1" si="13"/>
        <v>100000000</v>
      </c>
      <c r="M53" s="3072">
        <f t="shared" ca="1" si="10"/>
        <v>0</v>
      </c>
      <c r="N53" s="3073" t="str">
        <f t="shared" ca="1" si="11"/>
        <v>√</v>
      </c>
      <c r="O53" s="641"/>
      <c r="P53" s="641"/>
      <c r="Q53" s="641"/>
      <c r="R53" s="641"/>
    </row>
    <row r="54" spans="1:18" ht="24">
      <c r="A54" s="30"/>
      <c r="B54" s="3067" t="s">
        <v>458</v>
      </c>
      <c r="C54" s="3068" t="s">
        <v>442</v>
      </c>
      <c r="D54" s="3069">
        <v>8210</v>
      </c>
      <c r="E54" s="3076" t="str">
        <f t="shared" si="8"/>
        <v>资本公积_本年年初余额</v>
      </c>
      <c r="F54" s="3070" t="str">
        <f t="shared" si="14"/>
        <v>2019年度</v>
      </c>
      <c r="G54" s="3081">
        <f t="shared" ca="1" si="15"/>
        <v>0</v>
      </c>
      <c r="H54" s="3071" t="s">
        <v>442</v>
      </c>
      <c r="I54" s="3069">
        <v>8299</v>
      </c>
      <c r="J54" s="3075" t="str">
        <f t="shared" si="9"/>
        <v>资本公积_本期期末余额</v>
      </c>
      <c r="K54" s="3070" t="str">
        <f t="shared" si="12"/>
        <v>2018年度</v>
      </c>
      <c r="L54" s="3080">
        <f t="shared" ca="1" si="13"/>
        <v>0</v>
      </c>
      <c r="M54" s="3072">
        <f t="shared" ca="1" si="10"/>
        <v>0</v>
      </c>
      <c r="N54" s="3073" t="str">
        <f t="shared" ca="1" si="11"/>
        <v>√</v>
      </c>
      <c r="O54" s="641"/>
      <c r="P54" s="641"/>
      <c r="Q54" s="641"/>
      <c r="R54" s="641"/>
    </row>
    <row r="55" spans="1:18" ht="24">
      <c r="A55" s="30"/>
      <c r="B55" s="3067" t="s">
        <v>463</v>
      </c>
      <c r="C55" s="3068" t="s">
        <v>442</v>
      </c>
      <c r="D55" s="3069">
        <v>8310</v>
      </c>
      <c r="E55" s="3076" t="str">
        <f t="shared" si="8"/>
        <v>库存股_本年年初余额</v>
      </c>
      <c r="F55" s="3070" t="str">
        <f t="shared" si="14"/>
        <v>2019年度</v>
      </c>
      <c r="G55" s="3081">
        <f t="shared" ca="1" si="15"/>
        <v>0</v>
      </c>
      <c r="H55" s="3071" t="s">
        <v>442</v>
      </c>
      <c r="I55" s="3069">
        <v>8399</v>
      </c>
      <c r="J55" s="3075" t="str">
        <f t="shared" si="9"/>
        <v>库存股_本期期末余额</v>
      </c>
      <c r="K55" s="3070" t="str">
        <f t="shared" si="12"/>
        <v>2018年度</v>
      </c>
      <c r="L55" s="3080">
        <f t="shared" ca="1" si="13"/>
        <v>0</v>
      </c>
      <c r="M55" s="3072">
        <f t="shared" ca="1" si="10"/>
        <v>0</v>
      </c>
      <c r="N55" s="3073" t="str">
        <f t="shared" ca="1" si="11"/>
        <v>√</v>
      </c>
      <c r="O55" s="641"/>
      <c r="P55" s="641"/>
      <c r="Q55" s="641"/>
      <c r="R55" s="641"/>
    </row>
    <row r="56" spans="1:18" ht="24">
      <c r="A56" s="30"/>
      <c r="B56" s="3067" t="s">
        <v>468</v>
      </c>
      <c r="C56" s="3068" t="s">
        <v>442</v>
      </c>
      <c r="D56" s="3069">
        <v>8410</v>
      </c>
      <c r="E56" s="3076" t="str">
        <f t="shared" si="8"/>
        <v>专项储备_本年年初余额</v>
      </c>
      <c r="F56" s="3070" t="str">
        <f t="shared" si="14"/>
        <v>2019年度</v>
      </c>
      <c r="G56" s="3081">
        <f t="shared" ca="1" si="15"/>
        <v>0</v>
      </c>
      <c r="H56" s="3071" t="s">
        <v>442</v>
      </c>
      <c r="I56" s="3069">
        <v>8499</v>
      </c>
      <c r="J56" s="3075" t="str">
        <f t="shared" si="9"/>
        <v>专项储备_本期期末余额</v>
      </c>
      <c r="K56" s="3070" t="str">
        <f t="shared" si="12"/>
        <v>2018年度</v>
      </c>
      <c r="L56" s="3080">
        <f t="shared" ca="1" si="13"/>
        <v>0</v>
      </c>
      <c r="M56" s="3072">
        <f t="shared" ca="1" si="10"/>
        <v>0</v>
      </c>
      <c r="N56" s="3073" t="str">
        <f t="shared" ca="1" si="11"/>
        <v>√</v>
      </c>
      <c r="O56" s="641"/>
      <c r="P56" s="641"/>
      <c r="Q56" s="641"/>
      <c r="R56" s="641"/>
    </row>
    <row r="57" spans="1:18" ht="24">
      <c r="A57" s="30"/>
      <c r="B57" s="3067" t="s">
        <v>472</v>
      </c>
      <c r="C57" s="3068" t="s">
        <v>442</v>
      </c>
      <c r="D57" s="3069">
        <v>8510</v>
      </c>
      <c r="E57" s="3076" t="str">
        <f t="shared" si="8"/>
        <v>盈余公积_本年年初余额</v>
      </c>
      <c r="F57" s="3070" t="str">
        <f t="shared" si="14"/>
        <v>2019年度</v>
      </c>
      <c r="G57" s="3081">
        <f t="shared" ca="1" si="15"/>
        <v>418369.59</v>
      </c>
      <c r="H57" s="3071" t="s">
        <v>442</v>
      </c>
      <c r="I57" s="3069">
        <v>8599</v>
      </c>
      <c r="J57" s="3075" t="str">
        <f t="shared" si="9"/>
        <v>盈余公积_本期期末余额</v>
      </c>
      <c r="K57" s="3070" t="str">
        <f t="shared" si="12"/>
        <v>2018年度</v>
      </c>
      <c r="L57" s="3080">
        <f t="shared" ca="1" si="13"/>
        <v>418369.59</v>
      </c>
      <c r="M57" s="3072">
        <f t="shared" ca="1" si="10"/>
        <v>0</v>
      </c>
      <c r="N57" s="3073" t="str">
        <f t="shared" ca="1" si="11"/>
        <v>√</v>
      </c>
      <c r="O57" s="641"/>
      <c r="P57" s="641"/>
      <c r="Q57" s="641"/>
      <c r="R57" s="641"/>
    </row>
    <row r="58" spans="1:18" ht="24">
      <c r="A58" s="30"/>
      <c r="B58" s="3067" t="s">
        <v>477</v>
      </c>
      <c r="C58" s="3068" t="s">
        <v>442</v>
      </c>
      <c r="D58" s="3069">
        <v>8610</v>
      </c>
      <c r="E58" s="3076" t="str">
        <f t="shared" si="8"/>
        <v>一般风险准备_本年年初余额</v>
      </c>
      <c r="F58" s="3070" t="str">
        <f t="shared" si="14"/>
        <v>2019年度</v>
      </c>
      <c r="G58" s="3081" t="e">
        <f t="shared" ca="1" si="15"/>
        <v>#REF!</v>
      </c>
      <c r="H58" s="3071" t="s">
        <v>442</v>
      </c>
      <c r="I58" s="3069">
        <v>8699</v>
      </c>
      <c r="J58" s="3075" t="str">
        <f t="shared" si="9"/>
        <v>一般风险准备_本期期末余额</v>
      </c>
      <c r="K58" s="3070" t="str">
        <f t="shared" si="12"/>
        <v>2018年度</v>
      </c>
      <c r="L58" s="3080">
        <f t="shared" ca="1" si="13"/>
        <v>0</v>
      </c>
      <c r="M58" s="3072" t="e">
        <f t="shared" ca="1" si="10"/>
        <v>#REF!</v>
      </c>
      <c r="N58" s="3073" t="e">
        <f t="shared" ca="1" si="11"/>
        <v>#REF!</v>
      </c>
      <c r="O58" s="641"/>
      <c r="P58" s="641"/>
      <c r="Q58" s="641"/>
      <c r="R58" s="641"/>
    </row>
    <row r="59" spans="1:18" ht="24">
      <c r="A59" s="30"/>
      <c r="B59" s="3067" t="s">
        <v>481</v>
      </c>
      <c r="C59" s="3068" t="s">
        <v>442</v>
      </c>
      <c r="D59" s="3069">
        <v>8710</v>
      </c>
      <c r="E59" s="3076" t="str">
        <f t="shared" si="8"/>
        <v>未分配利润_本年年初余额</v>
      </c>
      <c r="F59" s="3070" t="str">
        <f t="shared" si="14"/>
        <v>2019年度</v>
      </c>
      <c r="G59" s="3081">
        <f t="shared" ca="1" si="15"/>
        <v>3765326.31</v>
      </c>
      <c r="H59" s="3071" t="s">
        <v>442</v>
      </c>
      <c r="I59" s="3069">
        <v>8799</v>
      </c>
      <c r="J59" s="3075" t="str">
        <f t="shared" si="9"/>
        <v>未分配利润_本期期末余额</v>
      </c>
      <c r="K59" s="3070" t="str">
        <f t="shared" si="12"/>
        <v>2018年度</v>
      </c>
      <c r="L59" s="3080">
        <f t="shared" ca="1" si="13"/>
        <v>3765326.31</v>
      </c>
      <c r="M59" s="3072">
        <f t="shared" ca="1" si="10"/>
        <v>0</v>
      </c>
      <c r="N59" s="3073" t="str">
        <f t="shared" ca="1" si="11"/>
        <v>√</v>
      </c>
      <c r="O59" s="641"/>
      <c r="P59" s="641"/>
      <c r="Q59" s="641"/>
      <c r="R59" s="641"/>
    </row>
    <row r="60" spans="1:18" ht="36">
      <c r="A60" s="30"/>
      <c r="B60" s="3067" t="s">
        <v>485</v>
      </c>
      <c r="C60" s="3068" t="s">
        <v>442</v>
      </c>
      <c r="D60" s="3069">
        <v>8810</v>
      </c>
      <c r="E60" s="3076" t="str">
        <f t="shared" si="8"/>
        <v>其他归属于母公司所有者权益_本年年初余额</v>
      </c>
      <c r="F60" s="3070" t="str">
        <f t="shared" si="14"/>
        <v>2019年度</v>
      </c>
      <c r="G60" s="3081">
        <f t="shared" ca="1" si="15"/>
        <v>0</v>
      </c>
      <c r="H60" s="3071" t="s">
        <v>442</v>
      </c>
      <c r="I60" s="3069">
        <v>8899</v>
      </c>
      <c r="J60" s="3075" t="str">
        <f t="shared" si="9"/>
        <v>其他归属于母公司所有者权益_本期期末余额</v>
      </c>
      <c r="K60" s="3070" t="str">
        <f t="shared" si="12"/>
        <v>2018年度</v>
      </c>
      <c r="L60" s="3080">
        <f t="shared" ca="1" si="13"/>
        <v>0</v>
      </c>
      <c r="M60" s="3072">
        <f t="shared" ca="1" si="10"/>
        <v>0</v>
      </c>
      <c r="N60" s="3073" t="str">
        <f t="shared" ca="1" si="11"/>
        <v>√</v>
      </c>
      <c r="O60" s="641"/>
      <c r="P60" s="641"/>
      <c r="Q60" s="641"/>
      <c r="R60" s="641"/>
    </row>
    <row r="61" spans="1:18" ht="24">
      <c r="A61" s="30"/>
      <c r="B61" s="3067" t="s">
        <v>490</v>
      </c>
      <c r="C61" s="3068" t="s">
        <v>442</v>
      </c>
      <c r="D61" s="3069">
        <v>8010</v>
      </c>
      <c r="E61" s="3076" t="str">
        <f t="shared" si="8"/>
        <v>所有者权益_本年年初余额</v>
      </c>
      <c r="F61" s="3070" t="str">
        <f t="shared" si="14"/>
        <v>2019年度</v>
      </c>
      <c r="G61" s="3081">
        <f t="shared" ca="1" si="15"/>
        <v>104183695.90000001</v>
      </c>
      <c r="H61" s="3071" t="s">
        <v>442</v>
      </c>
      <c r="I61" s="3069">
        <v>8099</v>
      </c>
      <c r="J61" s="3075" t="str">
        <f t="shared" si="9"/>
        <v>所有者权益_本期期末余额</v>
      </c>
      <c r="K61" s="3070" t="str">
        <f t="shared" si="12"/>
        <v>2018年度</v>
      </c>
      <c r="L61" s="3080">
        <f t="shared" ca="1" si="13"/>
        <v>104183695.90000001</v>
      </c>
      <c r="M61" s="3072">
        <f t="shared" ca="1" si="10"/>
        <v>0</v>
      </c>
      <c r="N61" s="3073" t="str">
        <f t="shared" ca="1" si="11"/>
        <v>√</v>
      </c>
      <c r="O61" s="641"/>
      <c r="P61" s="641"/>
      <c r="Q61" s="641"/>
      <c r="R61" s="641"/>
    </row>
    <row r="62" spans="1:18" ht="24">
      <c r="A62" s="30"/>
      <c r="B62" s="3067" t="s">
        <v>495</v>
      </c>
      <c r="C62" s="3068" t="s">
        <v>442</v>
      </c>
      <c r="D62" s="3069">
        <v>8199</v>
      </c>
      <c r="E62" s="3076" t="str">
        <f t="shared" si="8"/>
        <v>实收资本_本期期末余额</v>
      </c>
      <c r="F62" s="3070" t="str">
        <f t="shared" si="14"/>
        <v>2019年度</v>
      </c>
      <c r="G62" s="3081">
        <f t="shared" ca="1" si="15"/>
        <v>100000000</v>
      </c>
      <c r="H62" s="3071" t="s">
        <v>428</v>
      </c>
      <c r="I62" s="3069">
        <v>4001</v>
      </c>
      <c r="J62" s="3076" t="str">
        <f t="shared" si="9"/>
        <v>实收资本</v>
      </c>
      <c r="K62" s="3070">
        <f>Area_RepDate</f>
        <v>43830</v>
      </c>
      <c r="L62" s="3081">
        <f ca="1">INDIRECT(H62&amp;"!CheckA"&amp;I62)</f>
        <v>100000000</v>
      </c>
      <c r="M62" s="3072">
        <f t="shared" ca="1" si="10"/>
        <v>0</v>
      </c>
      <c r="N62" s="3073" t="str">
        <f t="shared" ca="1" si="11"/>
        <v>√</v>
      </c>
      <c r="O62" s="641"/>
      <c r="P62" s="641"/>
      <c r="Q62" s="641"/>
      <c r="R62" s="641"/>
    </row>
    <row r="63" spans="1:18" ht="24">
      <c r="A63" s="30"/>
      <c r="B63" s="3067" t="s">
        <v>500</v>
      </c>
      <c r="C63" s="3068" t="s">
        <v>442</v>
      </c>
      <c r="D63" s="3069">
        <v>8199</v>
      </c>
      <c r="E63" s="3075" t="str">
        <f t="shared" si="8"/>
        <v>实收资本_本期期末余额</v>
      </c>
      <c r="F63" s="3070" t="str">
        <f>Area_RepDuration1</f>
        <v>2018年度</v>
      </c>
      <c r="G63" s="3080">
        <f ca="1">INDIRECT(C63&amp;"!CheckB"&amp;D63)</f>
        <v>100000000</v>
      </c>
      <c r="H63" s="3071" t="s">
        <v>428</v>
      </c>
      <c r="I63" s="3069">
        <v>4001</v>
      </c>
      <c r="J63" s="3075" t="str">
        <f t="shared" si="9"/>
        <v>实收资本</v>
      </c>
      <c r="K63" s="3070">
        <f>Area_RepDate1</f>
        <v>43465</v>
      </c>
      <c r="L63" s="3080">
        <f ca="1">INDIRECT(H63&amp;"!CheckB"&amp;I63)</f>
        <v>100000000</v>
      </c>
      <c r="M63" s="3072">
        <f t="shared" ca="1" si="10"/>
        <v>0</v>
      </c>
      <c r="N63" s="3073" t="str">
        <f t="shared" ca="1" si="11"/>
        <v>√</v>
      </c>
      <c r="O63" s="641"/>
      <c r="P63" s="641"/>
      <c r="Q63" s="641"/>
      <c r="R63" s="641"/>
    </row>
    <row r="64" spans="1:18" ht="24">
      <c r="A64" s="30"/>
      <c r="B64" s="3067" t="s">
        <v>508</v>
      </c>
      <c r="C64" s="3068" t="s">
        <v>442</v>
      </c>
      <c r="D64" s="3069">
        <v>8299</v>
      </c>
      <c r="E64" s="3076" t="str">
        <f t="shared" si="8"/>
        <v>资本公积_本期期末余额</v>
      </c>
      <c r="F64" s="3070" t="str">
        <f>Area_RepDuration</f>
        <v>2019年度</v>
      </c>
      <c r="G64" s="3081">
        <f ca="1">INDIRECT(C64&amp;"!CheckA"&amp;D64)</f>
        <v>0</v>
      </c>
      <c r="H64" s="3071" t="s">
        <v>428</v>
      </c>
      <c r="I64" s="3069">
        <v>4002</v>
      </c>
      <c r="J64" s="3076" t="str">
        <f t="shared" si="9"/>
        <v>资本公积</v>
      </c>
      <c r="K64" s="3070">
        <f>Area_RepDate</f>
        <v>43830</v>
      </c>
      <c r="L64" s="3081">
        <f ca="1">INDIRECT(H64&amp;"!CheckA"&amp;I64)</f>
        <v>0</v>
      </c>
      <c r="M64" s="3072">
        <f t="shared" ca="1" si="10"/>
        <v>0</v>
      </c>
      <c r="N64" s="3073" t="str">
        <f t="shared" ca="1" si="11"/>
        <v>√</v>
      </c>
      <c r="O64" s="641"/>
      <c r="P64" s="641"/>
      <c r="Q64" s="641"/>
      <c r="R64" s="641"/>
    </row>
    <row r="65" spans="1:18" ht="24">
      <c r="A65" s="30"/>
      <c r="B65" s="3067" t="s">
        <v>514</v>
      </c>
      <c r="C65" s="3068" t="s">
        <v>442</v>
      </c>
      <c r="D65" s="3069">
        <v>8299</v>
      </c>
      <c r="E65" s="3075" t="str">
        <f t="shared" si="8"/>
        <v>资本公积_本期期末余额</v>
      </c>
      <c r="F65" s="3070" t="str">
        <f>Area_RepDuration1</f>
        <v>2018年度</v>
      </c>
      <c r="G65" s="3080">
        <f ca="1">INDIRECT(C65&amp;"!CheckB"&amp;D65)</f>
        <v>0</v>
      </c>
      <c r="H65" s="3071" t="s">
        <v>428</v>
      </c>
      <c r="I65" s="3069">
        <v>4002</v>
      </c>
      <c r="J65" s="3075" t="str">
        <f t="shared" si="9"/>
        <v>资本公积</v>
      </c>
      <c r="K65" s="3070">
        <f>Area_RepDate1</f>
        <v>43465</v>
      </c>
      <c r="L65" s="3080">
        <f ca="1">INDIRECT(H65&amp;"!CheckB"&amp;I65)</f>
        <v>0</v>
      </c>
      <c r="M65" s="3072">
        <f t="shared" ca="1" si="10"/>
        <v>0</v>
      </c>
      <c r="N65" s="3073" t="str">
        <f t="shared" ca="1" si="11"/>
        <v>√</v>
      </c>
      <c r="O65" s="641"/>
      <c r="P65" s="641"/>
      <c r="Q65" s="641"/>
      <c r="R65" s="641"/>
    </row>
    <row r="66" spans="1:18" ht="24">
      <c r="A66" s="30"/>
      <c r="B66" s="3067" t="s">
        <v>520</v>
      </c>
      <c r="C66" s="3068" t="s">
        <v>442</v>
      </c>
      <c r="D66" s="3069">
        <v>8399</v>
      </c>
      <c r="E66" s="3076" t="str">
        <f t="shared" si="8"/>
        <v>库存股_本期期末余额</v>
      </c>
      <c r="F66" s="3070" t="str">
        <f>Area_RepDuration</f>
        <v>2019年度</v>
      </c>
      <c r="G66" s="3081">
        <f ca="1">INDIRECT(C66&amp;"!CheckA"&amp;D66)</f>
        <v>0</v>
      </c>
      <c r="H66" s="3071" t="s">
        <v>428</v>
      </c>
      <c r="I66" s="3069">
        <v>4201</v>
      </c>
      <c r="J66" s="3076" t="str">
        <f t="shared" si="9"/>
        <v>库存股</v>
      </c>
      <c r="K66" s="3070">
        <f>Area_RepDate</f>
        <v>43830</v>
      </c>
      <c r="L66" s="3081">
        <f ca="1">INDIRECT(H66&amp;"!CheckA"&amp;I66)</f>
        <v>0</v>
      </c>
      <c r="M66" s="3072">
        <f t="shared" ca="1" si="10"/>
        <v>0</v>
      </c>
      <c r="N66" s="3073" t="str">
        <f t="shared" ca="1" si="11"/>
        <v>√</v>
      </c>
      <c r="O66" s="641"/>
      <c r="P66" s="641"/>
      <c r="Q66" s="641"/>
      <c r="R66" s="641"/>
    </row>
    <row r="67" spans="1:18" ht="24">
      <c r="A67" s="30"/>
      <c r="B67" s="3067" t="s">
        <v>525</v>
      </c>
      <c r="C67" s="3068" t="s">
        <v>442</v>
      </c>
      <c r="D67" s="3069">
        <v>8399</v>
      </c>
      <c r="E67" s="3075" t="str">
        <f t="shared" si="8"/>
        <v>库存股_本期期末余额</v>
      </c>
      <c r="F67" s="3070" t="str">
        <f>Area_RepDuration1</f>
        <v>2018年度</v>
      </c>
      <c r="G67" s="3080">
        <f ca="1">INDIRECT(C67&amp;"!CheckB"&amp;D67)</f>
        <v>0</v>
      </c>
      <c r="H67" s="3071" t="s">
        <v>428</v>
      </c>
      <c r="I67" s="3069">
        <v>4201</v>
      </c>
      <c r="J67" s="3075" t="str">
        <f t="shared" si="9"/>
        <v>库存股</v>
      </c>
      <c r="K67" s="3070">
        <f>Area_RepDate1</f>
        <v>43465</v>
      </c>
      <c r="L67" s="3080">
        <f ca="1">INDIRECT(H67&amp;"!CheckB"&amp;I67)</f>
        <v>0</v>
      </c>
      <c r="M67" s="3072">
        <f t="shared" ca="1" si="10"/>
        <v>0</v>
      </c>
      <c r="N67" s="3073" t="str">
        <f t="shared" ca="1" si="11"/>
        <v>√</v>
      </c>
      <c r="O67" s="641"/>
      <c r="P67" s="641"/>
      <c r="Q67" s="641"/>
      <c r="R67" s="641"/>
    </row>
    <row r="68" spans="1:18" ht="24">
      <c r="A68" s="30"/>
      <c r="B68" s="3067" t="s">
        <v>530</v>
      </c>
      <c r="C68" s="3068" t="s">
        <v>442</v>
      </c>
      <c r="D68" s="3069">
        <v>8499</v>
      </c>
      <c r="E68" s="3076" t="str">
        <f t="shared" si="8"/>
        <v>专项储备_本期期末余额</v>
      </c>
      <c r="F68" s="3070" t="str">
        <f>Area_RepDuration</f>
        <v>2019年度</v>
      </c>
      <c r="G68" s="3081">
        <f ca="1">INDIRECT(C68&amp;"!CheckA"&amp;D68)</f>
        <v>0</v>
      </c>
      <c r="H68" s="3071" t="s">
        <v>428</v>
      </c>
      <c r="I68" s="3069">
        <v>4301</v>
      </c>
      <c r="J68" s="3076" t="str">
        <f t="shared" si="9"/>
        <v>专项储备</v>
      </c>
      <c r="K68" s="3070">
        <f>Area_RepDate</f>
        <v>43830</v>
      </c>
      <c r="L68" s="3081">
        <f ca="1">INDIRECT(H68&amp;"!CheckA"&amp;I68)</f>
        <v>0</v>
      </c>
      <c r="M68" s="3072">
        <f t="shared" ca="1" si="10"/>
        <v>0</v>
      </c>
      <c r="N68" s="3073" t="str">
        <f t="shared" ca="1" si="11"/>
        <v>√</v>
      </c>
      <c r="O68" s="641"/>
      <c r="P68" s="641"/>
      <c r="Q68" s="641"/>
      <c r="R68" s="641"/>
    </row>
    <row r="69" spans="1:18" ht="24">
      <c r="A69" s="30"/>
      <c r="B69" s="3067" t="s">
        <v>535</v>
      </c>
      <c r="C69" s="3068" t="s">
        <v>442</v>
      </c>
      <c r="D69" s="3069">
        <v>8499</v>
      </c>
      <c r="E69" s="3075" t="str">
        <f t="shared" si="8"/>
        <v>专项储备_本期期末余额</v>
      </c>
      <c r="F69" s="3070" t="str">
        <f>Area_RepDuration1</f>
        <v>2018年度</v>
      </c>
      <c r="G69" s="3080">
        <f ca="1">INDIRECT(C69&amp;"!CheckB"&amp;D69)</f>
        <v>0</v>
      </c>
      <c r="H69" s="3071" t="s">
        <v>428</v>
      </c>
      <c r="I69" s="3069">
        <v>4301</v>
      </c>
      <c r="J69" s="3075" t="str">
        <f t="shared" si="9"/>
        <v>专项储备</v>
      </c>
      <c r="K69" s="3070">
        <f>Area_RepDate1</f>
        <v>43465</v>
      </c>
      <c r="L69" s="3080">
        <f ca="1">INDIRECT(H69&amp;"!CheckB"&amp;I69)</f>
        <v>0</v>
      </c>
      <c r="M69" s="3072">
        <f t="shared" ca="1" si="10"/>
        <v>0</v>
      </c>
      <c r="N69" s="3073" t="str">
        <f t="shared" ca="1" si="11"/>
        <v>√</v>
      </c>
      <c r="O69" s="641"/>
      <c r="P69" s="641"/>
      <c r="Q69" s="641"/>
      <c r="R69" s="641"/>
    </row>
    <row r="70" spans="1:18" ht="24">
      <c r="A70" s="30"/>
      <c r="B70" s="3067" t="s">
        <v>542</v>
      </c>
      <c r="C70" s="3068" t="s">
        <v>442</v>
      </c>
      <c r="D70" s="3069">
        <v>8599</v>
      </c>
      <c r="E70" s="3076" t="str">
        <f t="shared" si="8"/>
        <v>盈余公积_本期期末余额</v>
      </c>
      <c r="F70" s="3070" t="str">
        <f>Area_RepDuration</f>
        <v>2019年度</v>
      </c>
      <c r="G70" s="3081">
        <f ca="1">INDIRECT(C70&amp;"!CheckA"&amp;D70)</f>
        <v>418369.59</v>
      </c>
      <c r="H70" s="3071" t="s">
        <v>428</v>
      </c>
      <c r="I70" s="3069">
        <v>4101</v>
      </c>
      <c r="J70" s="3076" t="str">
        <f t="shared" si="9"/>
        <v>盈余公积</v>
      </c>
      <c r="K70" s="3070">
        <f>Area_RepDate</f>
        <v>43830</v>
      </c>
      <c r="L70" s="3081">
        <f ca="1">INDIRECT(H70&amp;"!CheckA"&amp;I70)</f>
        <v>418369.59</v>
      </c>
      <c r="M70" s="3072">
        <f t="shared" ca="1" si="10"/>
        <v>0</v>
      </c>
      <c r="N70" s="3073" t="str">
        <f t="shared" ca="1" si="11"/>
        <v>√</v>
      </c>
      <c r="O70" s="641"/>
      <c r="P70" s="641"/>
      <c r="Q70" s="641"/>
      <c r="R70" s="641"/>
    </row>
    <row r="71" spans="1:18" ht="24">
      <c r="A71" s="30"/>
      <c r="B71" s="3067" t="s">
        <v>547</v>
      </c>
      <c r="C71" s="3068" t="s">
        <v>442</v>
      </c>
      <c r="D71" s="3069">
        <v>8599</v>
      </c>
      <c r="E71" s="3075" t="str">
        <f t="shared" si="8"/>
        <v>盈余公积_本期期末余额</v>
      </c>
      <c r="F71" s="3070" t="str">
        <f>Area_RepDuration1</f>
        <v>2018年度</v>
      </c>
      <c r="G71" s="3080">
        <f ca="1">INDIRECT(C71&amp;"!CheckB"&amp;D71)</f>
        <v>418369.59</v>
      </c>
      <c r="H71" s="3071" t="s">
        <v>428</v>
      </c>
      <c r="I71" s="3069">
        <v>4101</v>
      </c>
      <c r="J71" s="3075" t="str">
        <f t="shared" si="9"/>
        <v>盈余公积</v>
      </c>
      <c r="K71" s="3070">
        <f>Area_RepDate1</f>
        <v>43465</v>
      </c>
      <c r="L71" s="3080">
        <f ca="1">INDIRECT(H71&amp;"!CheckB"&amp;I71)</f>
        <v>418369.59</v>
      </c>
      <c r="M71" s="3072">
        <f t="shared" ca="1" si="10"/>
        <v>0</v>
      </c>
      <c r="N71" s="3073" t="str">
        <f t="shared" ca="1" si="11"/>
        <v>√</v>
      </c>
      <c r="O71" s="641"/>
      <c r="P71" s="641"/>
      <c r="Q71" s="641"/>
      <c r="R71" s="641"/>
    </row>
    <row r="72" spans="1:18" ht="24">
      <c r="A72" s="30"/>
      <c r="B72" s="3067" t="s">
        <v>551</v>
      </c>
      <c r="C72" s="3068" t="s">
        <v>442</v>
      </c>
      <c r="D72" s="3069">
        <v>8699</v>
      </c>
      <c r="E72" s="3076" t="str">
        <f t="shared" si="8"/>
        <v>一般风险准备_本期期末余额</v>
      </c>
      <c r="F72" s="3070" t="str">
        <f>Area_RepDuration</f>
        <v>2019年度</v>
      </c>
      <c r="G72" s="3081">
        <f ca="1">INDIRECT(C72&amp;"!CheckA"&amp;D72)</f>
        <v>0</v>
      </c>
      <c r="H72" s="3071" t="s">
        <v>428</v>
      </c>
      <c r="I72" s="3069">
        <v>4102</v>
      </c>
      <c r="J72" s="3076" t="str">
        <f t="shared" si="9"/>
        <v>一般风险准备</v>
      </c>
      <c r="K72" s="3070">
        <f>Area_RepDate</f>
        <v>43830</v>
      </c>
      <c r="L72" s="3081">
        <f ca="1">INDIRECT(H72&amp;"!CheckA"&amp;I72)</f>
        <v>0</v>
      </c>
      <c r="M72" s="3072">
        <f t="shared" ca="1" si="10"/>
        <v>0</v>
      </c>
      <c r="N72" s="3073" t="str">
        <f t="shared" ca="1" si="11"/>
        <v>√</v>
      </c>
      <c r="O72" s="641"/>
      <c r="P72" s="641"/>
      <c r="Q72" s="641"/>
      <c r="R72" s="641"/>
    </row>
    <row r="73" spans="1:18" ht="24">
      <c r="A73" s="30"/>
      <c r="B73" s="3067" t="s">
        <v>555</v>
      </c>
      <c r="C73" s="3068" t="s">
        <v>442</v>
      </c>
      <c r="D73" s="3069">
        <v>8699</v>
      </c>
      <c r="E73" s="3075" t="str">
        <f t="shared" ref="E73:E84" si="16">VLOOKUP(D73,Sheet_Items,2,0)</f>
        <v>一般风险准备_本期期末余额</v>
      </c>
      <c r="F73" s="3070" t="str">
        <f>Area_RepDuration1</f>
        <v>2018年度</v>
      </c>
      <c r="G73" s="3080">
        <f ca="1">INDIRECT(C73&amp;"!CheckB"&amp;D73)</f>
        <v>0</v>
      </c>
      <c r="H73" s="3071" t="s">
        <v>428</v>
      </c>
      <c r="I73" s="3069">
        <v>4102</v>
      </c>
      <c r="J73" s="3075" t="str">
        <f t="shared" ref="J73:J84" si="17">VLOOKUP(I73,Sheet_Items,2,0)</f>
        <v>一般风险准备</v>
      </c>
      <c r="K73" s="3070">
        <f>Area_RepDate1</f>
        <v>43465</v>
      </c>
      <c r="L73" s="3080">
        <f ca="1">INDIRECT(H73&amp;"!CheckB"&amp;I73)</f>
        <v>0</v>
      </c>
      <c r="M73" s="3072">
        <f t="shared" ref="M73:M84" ca="1" si="18">ROUND(G73-L73,2)</f>
        <v>0</v>
      </c>
      <c r="N73" s="3073" t="str">
        <f t="shared" ref="N73:N84" ca="1" si="19">IF(M73=0,"√","×")</f>
        <v>√</v>
      </c>
      <c r="O73" s="641"/>
      <c r="P73" s="641"/>
      <c r="Q73" s="641"/>
      <c r="R73" s="641"/>
    </row>
    <row r="74" spans="1:18" ht="24">
      <c r="A74" s="30"/>
      <c r="B74" s="3067" t="s">
        <v>560</v>
      </c>
      <c r="C74" s="3068" t="s">
        <v>442</v>
      </c>
      <c r="D74" s="3069">
        <v>8799</v>
      </c>
      <c r="E74" s="3076" t="str">
        <f t="shared" si="16"/>
        <v>未分配利润_本期期末余额</v>
      </c>
      <c r="F74" s="3070" t="str">
        <f>Area_RepDuration</f>
        <v>2019年度</v>
      </c>
      <c r="G74" s="3081">
        <f ca="1">INDIRECT(C74&amp;"!CheckA"&amp;D74)</f>
        <v>1382585.97</v>
      </c>
      <c r="H74" s="3071" t="s">
        <v>428</v>
      </c>
      <c r="I74" s="3069">
        <v>4200</v>
      </c>
      <c r="J74" s="3076" t="str">
        <f t="shared" si="17"/>
        <v>未分配利润</v>
      </c>
      <c r="K74" s="3070">
        <f>Area_RepDate</f>
        <v>43830</v>
      </c>
      <c r="L74" s="3081">
        <f ca="1">INDIRECT(H74&amp;"!CheckA"&amp;I74)</f>
        <v>1382585.97</v>
      </c>
      <c r="M74" s="3072">
        <f t="shared" ca="1" si="18"/>
        <v>0</v>
      </c>
      <c r="N74" s="3073" t="str">
        <f t="shared" ca="1" si="19"/>
        <v>√</v>
      </c>
      <c r="O74" s="641"/>
      <c r="P74" s="641"/>
      <c r="Q74" s="641"/>
      <c r="R74" s="641"/>
    </row>
    <row r="75" spans="1:18" ht="24">
      <c r="A75" s="30"/>
      <c r="B75" s="3067" t="s">
        <v>563</v>
      </c>
      <c r="C75" s="3068" t="s">
        <v>442</v>
      </c>
      <c r="D75" s="3069">
        <v>8799</v>
      </c>
      <c r="E75" s="3075" t="str">
        <f t="shared" si="16"/>
        <v>未分配利润_本期期末余额</v>
      </c>
      <c r="F75" s="3070" t="str">
        <f>Area_RepDuration1</f>
        <v>2018年度</v>
      </c>
      <c r="G75" s="3080">
        <f ca="1">INDIRECT(C75&amp;"!CheckB"&amp;D75)</f>
        <v>3765326.31</v>
      </c>
      <c r="H75" s="3071" t="s">
        <v>428</v>
      </c>
      <c r="I75" s="3069">
        <v>4200</v>
      </c>
      <c r="J75" s="3075" t="str">
        <f t="shared" si="17"/>
        <v>未分配利润</v>
      </c>
      <c r="K75" s="3070">
        <f>Area_RepDate1</f>
        <v>43465</v>
      </c>
      <c r="L75" s="3080">
        <f ca="1">INDIRECT(H75&amp;"!CheckB"&amp;I75)</f>
        <v>3765326.31</v>
      </c>
      <c r="M75" s="3072">
        <f t="shared" ca="1" si="18"/>
        <v>0</v>
      </c>
      <c r="N75" s="3073" t="str">
        <f t="shared" ca="1" si="19"/>
        <v>√</v>
      </c>
      <c r="O75" s="641"/>
      <c r="P75" s="641"/>
      <c r="Q75" s="641"/>
      <c r="R75" s="641"/>
    </row>
    <row r="76" spans="1:18" ht="24">
      <c r="A76" s="30"/>
      <c r="B76" s="31" t="s">
        <v>565</v>
      </c>
      <c r="C76" s="35" t="s">
        <v>442</v>
      </c>
      <c r="D76" s="1269">
        <v>8099</v>
      </c>
      <c r="E76" s="3074" t="str">
        <f t="shared" si="16"/>
        <v>所有者权益_本期期末余额</v>
      </c>
      <c r="F76" s="1270" t="str">
        <f>Area_RepDuration</f>
        <v>2019年度</v>
      </c>
      <c r="G76" s="3079">
        <f ca="1">INDIRECT(C76&amp;"!CheckA"&amp;D76)</f>
        <v>101800955.56</v>
      </c>
      <c r="H76" s="1271" t="s">
        <v>428</v>
      </c>
      <c r="I76" s="1269">
        <v>4999</v>
      </c>
      <c r="J76" s="3074" t="str">
        <f t="shared" si="17"/>
        <v>所有者权益</v>
      </c>
      <c r="K76" s="1270">
        <f>Area_RepDate</f>
        <v>43830</v>
      </c>
      <c r="L76" s="3079">
        <f ca="1">INDIRECT(H76&amp;"!CheckA"&amp;I76)</f>
        <v>101800955.56</v>
      </c>
      <c r="M76" s="70">
        <f t="shared" ca="1" si="18"/>
        <v>0</v>
      </c>
      <c r="N76" s="1293" t="str">
        <f t="shared" ca="1" si="19"/>
        <v>√</v>
      </c>
      <c r="O76" s="641"/>
      <c r="P76" s="641"/>
      <c r="Q76" s="641"/>
      <c r="R76" s="641"/>
    </row>
    <row r="77" spans="1:18" ht="24">
      <c r="A77" s="30"/>
      <c r="B77" s="31" t="s">
        <v>571</v>
      </c>
      <c r="C77" s="35" t="s">
        <v>442</v>
      </c>
      <c r="D77" s="1269">
        <v>8099</v>
      </c>
      <c r="E77" s="3077" t="str">
        <f t="shared" si="16"/>
        <v>所有者权益_本期期末余额</v>
      </c>
      <c r="F77" s="1270" t="str">
        <f>Area_RepDuration1</f>
        <v>2018年度</v>
      </c>
      <c r="G77" s="3082">
        <f ca="1">INDIRECT(C77&amp;"!CheckB"&amp;D77)</f>
        <v>104183695.90000001</v>
      </c>
      <c r="H77" s="1271" t="s">
        <v>428</v>
      </c>
      <c r="I77" s="1269">
        <v>4999</v>
      </c>
      <c r="J77" s="3077" t="str">
        <f t="shared" si="17"/>
        <v>所有者权益</v>
      </c>
      <c r="K77" s="1270">
        <f>Area_RepDate1</f>
        <v>43465</v>
      </c>
      <c r="L77" s="3082">
        <f ca="1">INDIRECT(H77&amp;"!CheckB"&amp;I77)</f>
        <v>104183695.90000001</v>
      </c>
      <c r="M77" s="70">
        <f t="shared" ca="1" si="18"/>
        <v>0</v>
      </c>
      <c r="N77" s="1293" t="str">
        <f t="shared" ca="1" si="19"/>
        <v>√</v>
      </c>
      <c r="O77" s="641"/>
      <c r="P77" s="641"/>
      <c r="Q77" s="641"/>
      <c r="R77" s="641"/>
    </row>
    <row r="78" spans="1:18" ht="24">
      <c r="A78" s="30"/>
      <c r="B78" s="31" t="s">
        <v>577</v>
      </c>
      <c r="C78" s="35" t="s">
        <v>578</v>
      </c>
      <c r="D78" s="1269">
        <v>7349</v>
      </c>
      <c r="E78" s="3074" t="str">
        <f t="shared" si="16"/>
        <v>期初现金及现金等价物余额</v>
      </c>
      <c r="F78" s="1270" t="str">
        <f>Area_RepDuration</f>
        <v>2019年度</v>
      </c>
      <c r="G78" s="3079">
        <f ca="1">INDIRECT(C78&amp;"!CheckA"&amp;D78)</f>
        <v>91308.84</v>
      </c>
      <c r="H78" s="1271" t="s">
        <v>578</v>
      </c>
      <c r="I78" s="1269">
        <v>7399</v>
      </c>
      <c r="J78" s="3077" t="str">
        <f t="shared" si="17"/>
        <v>期末现金及现金等价物余额</v>
      </c>
      <c r="K78" s="1270" t="str">
        <f>Area_RepDuration1</f>
        <v>2018年度</v>
      </c>
      <c r="L78" s="3082">
        <f ca="1">INDIRECT(H78&amp;"!CheckB"&amp;I78)</f>
        <v>91308.84</v>
      </c>
      <c r="M78" s="70">
        <f t="shared" ca="1" si="18"/>
        <v>0</v>
      </c>
      <c r="N78" s="1293" t="str">
        <f t="shared" ca="1" si="19"/>
        <v>√</v>
      </c>
      <c r="O78" s="641"/>
      <c r="P78" s="641"/>
      <c r="Q78" s="641"/>
      <c r="R78" s="641"/>
    </row>
    <row r="79" spans="1:18" ht="18">
      <c r="A79" s="30"/>
      <c r="B79" s="31" t="s">
        <v>582</v>
      </c>
      <c r="C79" s="35" t="s">
        <v>578</v>
      </c>
      <c r="D79" s="1269">
        <v>7502</v>
      </c>
      <c r="E79" s="3074" t="str">
        <f t="shared" si="16"/>
        <v>净利润金额</v>
      </c>
      <c r="F79" s="1270" t="str">
        <f>Area_RepDuration</f>
        <v>2019年度</v>
      </c>
      <c r="G79" s="3079">
        <f ca="1">INDIRECT(C79&amp;"!CheckA"&amp;D79)</f>
        <v>-2382740.34</v>
      </c>
      <c r="H79" s="1271" t="s">
        <v>441</v>
      </c>
      <c r="I79" s="1269">
        <v>6799</v>
      </c>
      <c r="J79" s="3074" t="str">
        <f t="shared" si="17"/>
        <v>净利润</v>
      </c>
      <c r="K79" s="1270" t="str">
        <f>Area_RepDuration</f>
        <v>2019年度</v>
      </c>
      <c r="L79" s="3079">
        <f ca="1">INDIRECT(H79&amp;"!CheckA"&amp;I79)</f>
        <v>-2382740.34</v>
      </c>
      <c r="M79" s="70">
        <f t="shared" ca="1" si="18"/>
        <v>0</v>
      </c>
      <c r="N79" s="1293" t="str">
        <f t="shared" ca="1" si="19"/>
        <v>√</v>
      </c>
      <c r="O79" s="641"/>
      <c r="P79" s="641"/>
      <c r="Q79" s="641"/>
      <c r="R79" s="641"/>
    </row>
    <row r="80" spans="1:18" ht="18">
      <c r="A80" s="30"/>
      <c r="B80" s="31" t="s">
        <v>587</v>
      </c>
      <c r="C80" s="35" t="s">
        <v>578</v>
      </c>
      <c r="D80" s="1269">
        <v>7502</v>
      </c>
      <c r="E80" s="3077" t="str">
        <f t="shared" si="16"/>
        <v>净利润金额</v>
      </c>
      <c r="F80" s="1270" t="str">
        <f>Area_RepDuration1</f>
        <v>2018年度</v>
      </c>
      <c r="G80" s="3082">
        <f ca="1">INDIRECT(C80&amp;"!CheckB"&amp;D80)</f>
        <v>2563577.15</v>
      </c>
      <c r="H80" s="1271" t="s">
        <v>441</v>
      </c>
      <c r="I80" s="1269">
        <v>6799</v>
      </c>
      <c r="J80" s="3077" t="str">
        <f t="shared" si="17"/>
        <v>净利润</v>
      </c>
      <c r="K80" s="1270" t="str">
        <f>Area_RepDuration1</f>
        <v>2018年度</v>
      </c>
      <c r="L80" s="3082">
        <f ca="1">INDIRECT(H80&amp;"!CheckB"&amp;I80)</f>
        <v>2563577.15</v>
      </c>
      <c r="M80" s="70">
        <f t="shared" ca="1" si="18"/>
        <v>0</v>
      </c>
      <c r="N80" s="1293" t="str">
        <f t="shared" ca="1" si="19"/>
        <v>√</v>
      </c>
      <c r="O80" s="641"/>
      <c r="P80" s="641"/>
      <c r="Q80" s="641"/>
      <c r="R80" s="641"/>
    </row>
    <row r="81" spans="1:18" ht="24">
      <c r="A81" s="30"/>
      <c r="B81" s="31" t="s">
        <v>593</v>
      </c>
      <c r="C81" s="35" t="s">
        <v>578</v>
      </c>
      <c r="D81" s="1269">
        <v>7525</v>
      </c>
      <c r="E81" s="3074" t="str">
        <f t="shared" si="16"/>
        <v>经营活动产生的现金流量净额</v>
      </c>
      <c r="F81" s="1270" t="str">
        <f>Area_RepDuration</f>
        <v>2019年度</v>
      </c>
      <c r="G81" s="3079">
        <f ca="1">INDIRECT(C81&amp;"!CheckA"&amp;D81)</f>
        <v>-87391640.469999999</v>
      </c>
      <c r="H81" s="1271" t="s">
        <v>578</v>
      </c>
      <c r="I81" s="1269">
        <v>7099</v>
      </c>
      <c r="J81" s="3074" t="str">
        <f t="shared" si="17"/>
        <v>经营活动产生的现金流量净额</v>
      </c>
      <c r="K81" s="1270" t="str">
        <f>Area_RepDuration</f>
        <v>2019年度</v>
      </c>
      <c r="L81" s="3079">
        <f ca="1">INDIRECT(H81&amp;"!CheckA"&amp;I81)</f>
        <v>-87391640.469999999</v>
      </c>
      <c r="M81" s="70">
        <f t="shared" ca="1" si="18"/>
        <v>0</v>
      </c>
      <c r="N81" s="1293" t="str">
        <f t="shared" ca="1" si="19"/>
        <v>√</v>
      </c>
      <c r="O81" s="641"/>
      <c r="P81" s="641"/>
      <c r="Q81" s="641"/>
      <c r="R81" s="641"/>
    </row>
    <row r="82" spans="1:18" ht="24">
      <c r="A82" s="30"/>
      <c r="B82" s="31" t="s">
        <v>598</v>
      </c>
      <c r="C82" s="35" t="s">
        <v>578</v>
      </c>
      <c r="D82" s="1269">
        <v>7525</v>
      </c>
      <c r="E82" s="3077" t="str">
        <f t="shared" si="16"/>
        <v>经营活动产生的现金流量净额</v>
      </c>
      <c r="F82" s="1270" t="str">
        <f>Area_RepDuration1</f>
        <v>2018年度</v>
      </c>
      <c r="G82" s="3082">
        <f ca="1">INDIRECT(C82&amp;"!CheckB"&amp;D82)</f>
        <v>77786868.519999996</v>
      </c>
      <c r="H82" s="1271" t="s">
        <v>578</v>
      </c>
      <c r="I82" s="1269">
        <v>7099</v>
      </c>
      <c r="J82" s="3077" t="str">
        <f t="shared" si="17"/>
        <v>经营活动产生的现金流量净额</v>
      </c>
      <c r="K82" s="1270" t="str">
        <f>Area_RepDuration1</f>
        <v>2018年度</v>
      </c>
      <c r="L82" s="3082">
        <f ca="1">INDIRECT(H82&amp;"!CheckB"&amp;I82)</f>
        <v>77786868.519999996</v>
      </c>
      <c r="M82" s="70">
        <f t="shared" ca="1" si="18"/>
        <v>0</v>
      </c>
      <c r="N82" s="1293" t="str">
        <f t="shared" ca="1" si="19"/>
        <v>√</v>
      </c>
      <c r="O82" s="641"/>
      <c r="P82" s="641"/>
      <c r="Q82" s="641"/>
      <c r="R82" s="641"/>
    </row>
    <row r="83" spans="1:18" ht="24">
      <c r="A83" s="30"/>
      <c r="B83" s="31" t="s">
        <v>603</v>
      </c>
      <c r="C83" s="35" t="s">
        <v>578</v>
      </c>
      <c r="D83" s="1269">
        <v>7539</v>
      </c>
      <c r="E83" s="3074" t="str">
        <f t="shared" si="16"/>
        <v>现金及现金等价物净增加额</v>
      </c>
      <c r="F83" s="1270" t="str">
        <f>Area_RepDuration</f>
        <v>2019年度</v>
      </c>
      <c r="G83" s="3079">
        <f ca="1">INDIRECT(C83&amp;"!CheckA"&amp;D83)</f>
        <v>4208359.53</v>
      </c>
      <c r="H83" s="1271" t="s">
        <v>578</v>
      </c>
      <c r="I83" s="1269">
        <v>7348</v>
      </c>
      <c r="J83" s="3074" t="str">
        <f t="shared" si="17"/>
        <v>现金及现金等价物净增加额</v>
      </c>
      <c r="K83" s="1270" t="str">
        <f>Area_RepDuration</f>
        <v>2019年度</v>
      </c>
      <c r="L83" s="3079">
        <f ca="1">INDIRECT(H83&amp;"!CheckA"&amp;I83)</f>
        <v>4208359.53</v>
      </c>
      <c r="M83" s="70">
        <f t="shared" ca="1" si="18"/>
        <v>0</v>
      </c>
      <c r="N83" s="1293" t="str">
        <f t="shared" ca="1" si="19"/>
        <v>√</v>
      </c>
      <c r="O83" s="641"/>
      <c r="P83" s="641"/>
      <c r="Q83" s="641"/>
      <c r="R83" s="641"/>
    </row>
    <row r="84" spans="1:18" ht="24">
      <c r="A84" s="30"/>
      <c r="B84" s="36" t="s">
        <v>608</v>
      </c>
      <c r="C84" s="37" t="s">
        <v>578</v>
      </c>
      <c r="D84" s="1272">
        <v>7539</v>
      </c>
      <c r="E84" s="3078" t="str">
        <f t="shared" si="16"/>
        <v>现金及现金等价物净增加额</v>
      </c>
      <c r="F84" s="1273" t="str">
        <f>Area_RepDuration1</f>
        <v>2018年度</v>
      </c>
      <c r="G84" s="3083">
        <f ca="1">INDIRECT(C84&amp;"!CheckB"&amp;D84)</f>
        <v>-2292045.13</v>
      </c>
      <c r="H84" s="1274" t="s">
        <v>578</v>
      </c>
      <c r="I84" s="1272">
        <v>7348</v>
      </c>
      <c r="J84" s="3078" t="str">
        <f t="shared" si="17"/>
        <v>现金及现金等价物净增加额</v>
      </c>
      <c r="K84" s="1273" t="str">
        <f>Area_RepDuration1</f>
        <v>2018年度</v>
      </c>
      <c r="L84" s="3083">
        <f ca="1">INDIRECT(H84&amp;"!CheckB"&amp;I84)</f>
        <v>-2292045.13</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KwXPF/lNehnx03PQ48MdcyTt/TQG/BKdlaTOLGVqnL8bjs1t/9zxk8zEKXGbZjdXEgef1yYtEq/NSt4zDOtrCQ==" saltValue="K4bwOY1kI6u3JElp35q+yw==" spinCount="100000" sheet="1" scenarios="1" formatCells="0" autoFilter="0"/>
  <phoneticPr fontId="163" type="noConversion"/>
  <conditionalFormatting sqref="M9:M84">
    <cfRule type="expression" dxfId="4094"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workbookViewId="0">
      <selection activeCell="K64" sqref="K64"/>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编制单位：北京天马金信供应链管理有限公司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c r="F10" s="1198">
        <v>4299668.37</v>
      </c>
      <c r="G10" s="1199">
        <f t="shared" si="3"/>
        <v>91308.84</v>
      </c>
      <c r="H10" s="2817">
        <v>2001</v>
      </c>
      <c r="I10" s="1206" t="str">
        <f t="shared" si="4"/>
        <v>短期借款</v>
      </c>
      <c r="J10" s="1197"/>
      <c r="K10" s="1198"/>
      <c r="L10" s="1207">
        <f t="shared" si="5"/>
        <v>0</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c r="F17" s="1198">
        <v>1200000</v>
      </c>
      <c r="G17" s="1199">
        <f t="shared" si="3"/>
        <v>0</v>
      </c>
      <c r="H17" s="2817">
        <v>2202</v>
      </c>
      <c r="I17" s="1206" t="str">
        <f t="shared" si="4"/>
        <v>应付账款</v>
      </c>
      <c r="J17" s="1197"/>
      <c r="K17" s="1198"/>
      <c r="L17" s="1207">
        <f t="shared" si="5"/>
        <v>182031</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c r="K18" s="1198"/>
      <c r="L18" s="1207">
        <f t="shared" si="5"/>
        <v>0</v>
      </c>
      <c r="M18" s="641"/>
      <c r="N18" s="641"/>
      <c r="O18" s="641"/>
      <c r="P18" s="641"/>
    </row>
    <row r="19" spans="1:16" ht="18">
      <c r="A19" s="2752">
        <f t="shared" si="0"/>
        <v>0</v>
      </c>
      <c r="B19" s="2752" t="str">
        <f t="shared" si="1"/>
        <v>_SR</v>
      </c>
      <c r="C19" s="2809">
        <v>1125</v>
      </c>
      <c r="D19" s="975" t="str">
        <f>VLOOKUP($C19,Sheet_Items,6,0)</f>
        <v>预付款项</v>
      </c>
      <c r="E19" s="1197"/>
      <c r="F19" s="1198"/>
      <c r="G19" s="1199">
        <f t="shared" si="3"/>
        <v>0</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50300000</v>
      </c>
      <c r="G23" s="1202">
        <f>SUM(G24:G26)</f>
        <v>35000000</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c r="G24" s="1199">
        <f t="shared" ref="G24:G34" si="6">IF($C24="","",IF(ISERROR(VLOOKUP($C24,Sheet_Balance1,2,0)),0,VLOOKUP($C24,Sheet_Balance1,2,0)))</f>
        <v>0</v>
      </c>
      <c r="H24" s="2817">
        <v>2211</v>
      </c>
      <c r="I24" s="1206" t="str">
        <f t="shared" si="4"/>
        <v>应付职工薪酬</v>
      </c>
      <c r="J24" s="1197"/>
      <c r="K24" s="1198">
        <v>807099.09</v>
      </c>
      <c r="L24" s="1207">
        <f t="shared" si="5"/>
        <v>306477.86</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c r="K25" s="1198">
        <v>95790.66</v>
      </c>
      <c r="L25" s="1207">
        <f t="shared" si="5"/>
        <v>27898.14</v>
      </c>
      <c r="M25" s="641"/>
      <c r="N25" s="641"/>
      <c r="O25" s="641"/>
      <c r="P25" s="641"/>
    </row>
    <row r="26" spans="1:16" ht="18">
      <c r="A26" s="2752">
        <f t="shared" si="0"/>
        <v>0</v>
      </c>
      <c r="B26" s="2752">
        <f t="shared" si="1"/>
        <v>0</v>
      </c>
      <c r="C26" s="2809">
        <v>1221</v>
      </c>
      <c r="D26" s="1140" t="str">
        <f t="shared" si="2"/>
        <v>其他应收款</v>
      </c>
      <c r="E26" s="1197"/>
      <c r="F26" s="1198">
        <v>50300000</v>
      </c>
      <c r="G26" s="1199">
        <f t="shared" si="6"/>
        <v>35000000</v>
      </c>
      <c r="H26" s="2817">
        <v>2246</v>
      </c>
      <c r="I26" s="1206" t="str">
        <f>VLOOKUP($H26,Sheet_Items,2,0)</f>
        <v>其他应付款（报表项目）</v>
      </c>
      <c r="J26" s="1200"/>
      <c r="K26" s="1201">
        <f>SUM(K27:K29)</f>
        <v>4224459.3600000003</v>
      </c>
      <c r="L26" s="1208">
        <f>SUM(L27,L28,L29)</f>
        <v>113852180.2</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2">
        <f t="shared" si="0"/>
        <v>0</v>
      </c>
      <c r="B28" s="2752">
        <f t="shared" si="1"/>
        <v>0</v>
      </c>
      <c r="C28" s="2809">
        <v>1400</v>
      </c>
      <c r="D28" s="975" t="str">
        <f t="shared" si="2"/>
        <v>存货</v>
      </c>
      <c r="E28" s="1197"/>
      <c r="F28" s="1198"/>
      <c r="G28" s="1199">
        <f t="shared" si="6"/>
        <v>17540765.449999999</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c r="K29" s="1198">
        <v>4224459.3600000003</v>
      </c>
      <c r="L29" s="1207">
        <f t="shared" si="7"/>
        <v>113852180.2</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1197"/>
      <c r="F32" s="1198"/>
      <c r="G32" s="1199">
        <f t="shared" si="6"/>
        <v>2966551.07</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0</v>
      </c>
      <c r="M34" s="641"/>
      <c r="N34" s="641"/>
      <c r="O34" s="641"/>
      <c r="P34" s="641"/>
    </row>
    <row r="35" spans="1:16" ht="18">
      <c r="A35" s="2752" t="str">
        <f t="shared" si="0"/>
        <v>＝</v>
      </c>
      <c r="B35" s="2752" t="str">
        <f t="shared" si="1"/>
        <v>＝</v>
      </c>
      <c r="C35" s="2809">
        <v>1498</v>
      </c>
      <c r="D35" s="1195" t="str">
        <f t="shared" si="2"/>
        <v>流动资产合计</v>
      </c>
      <c r="E35" s="1200"/>
      <c r="F35" s="1203">
        <f>SUM(F10:F34)-SUM(F23)</f>
        <v>55799668.369999997</v>
      </c>
      <c r="G35" s="1204">
        <f>SUM(G10:G34)-SUM(G23)</f>
        <v>55598625.359999999</v>
      </c>
      <c r="H35" s="2818">
        <v>2498</v>
      </c>
      <c r="I35" s="1205" t="str">
        <f t="shared" si="4"/>
        <v>流动负债合计</v>
      </c>
      <c r="J35" s="1200"/>
      <c r="K35" s="1203">
        <f>SUM(K10:K34)-SUM(K26)</f>
        <v>5127349.1100000003</v>
      </c>
      <c r="L35" s="1209">
        <f>SUM(L10:L34)-SUM(L26)</f>
        <v>114368587.2</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v>50000000</v>
      </c>
      <c r="G43" s="1199">
        <f t="shared" si="8"/>
        <v>162000000</v>
      </c>
      <c r="H43" s="2817">
        <v>2706</v>
      </c>
      <c r="I43" s="1206" t="str">
        <f>VLOOKUP($H43,Sheet_Items,2,0)</f>
        <v>长期应付款（报表项目）</v>
      </c>
      <c r="J43" s="1200"/>
      <c r="K43" s="1201">
        <f>SUM(K44:K45)</f>
        <v>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11018.74</v>
      </c>
      <c r="G47" s="1202">
        <f>SUM(G48:G49)</f>
        <v>16540.18</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1197"/>
      <c r="F48" s="1198">
        <v>11018.74</v>
      </c>
      <c r="G48" s="1199">
        <f>IF($C48="","",IF(ISERROR(VLOOKUP($C48,Sheet_Balance1,2,0)),0,VLOOKUP($C48,Sheet_Balance1,2,0)))</f>
        <v>16540.18</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f t="shared" si="10"/>
        <v>0</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5127349.1100000003</v>
      </c>
      <c r="L52" s="1209">
        <f>SUM(L35,L51)</f>
        <v>114368587.2</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c r="K54" s="1198">
        <v>100000000</v>
      </c>
      <c r="L54" s="1207">
        <f t="shared" si="13"/>
        <v>100000000</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1197"/>
      <c r="F56" s="1198"/>
      <c r="G56" s="1199">
        <f t="shared" si="11"/>
        <v>0</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1197"/>
      <c r="F57" s="1198"/>
      <c r="G57" s="1199">
        <f t="shared" si="11"/>
        <v>0</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8">
      <c r="A59" s="2752">
        <f t="shared" si="0"/>
        <v>0</v>
      </c>
      <c r="B59" s="2752">
        <f t="shared" si="1"/>
        <v>0</v>
      </c>
      <c r="C59" s="2809">
        <v>1801</v>
      </c>
      <c r="D59" s="975" t="str">
        <f t="shared" si="14"/>
        <v>长期待摊费用</v>
      </c>
      <c r="E59" s="1197"/>
      <c r="F59" s="1198"/>
      <c r="G59" s="1199">
        <f t="shared" si="11"/>
        <v>0</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c r="F60" s="1198">
        <v>937117.56</v>
      </c>
      <c r="G60" s="1199">
        <f t="shared" si="11"/>
        <v>937117.56</v>
      </c>
      <c r="H60" s="2817">
        <v>4215</v>
      </c>
      <c r="I60" s="1206" t="str">
        <f t="shared" si="12"/>
        <v>其他综合收益</v>
      </c>
      <c r="J60" s="1197"/>
      <c r="K60" s="1198"/>
      <c r="L60" s="1207">
        <f t="shared" si="13"/>
        <v>0</v>
      </c>
      <c r="M60" s="641"/>
      <c r="N60" s="641"/>
      <c r="O60" s="641"/>
      <c r="P60" s="641"/>
    </row>
    <row r="61" spans="1:16" ht="18">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c r="K62" s="1198">
        <v>418369.59</v>
      </c>
      <c r="L62" s="1207">
        <f t="shared" si="13"/>
        <v>418369.59</v>
      </c>
      <c r="M62" s="641"/>
      <c r="N62" s="641"/>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c r="K64" s="1198">
        <v>1202085.97</v>
      </c>
      <c r="L64" s="1207">
        <f t="shared" si="13"/>
        <v>3765326.31</v>
      </c>
      <c r="M64" s="641"/>
      <c r="N64" s="641"/>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101620455.56</v>
      </c>
      <c r="L65" s="1232">
        <f>SUM(L54:L55,L58,-L59,L60:L64)</f>
        <v>104183695.90000001</v>
      </c>
      <c r="M65" s="641"/>
      <c r="N65" s="641"/>
      <c r="O65" s="641"/>
      <c r="P65" s="641"/>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8">
      <c r="A67" s="2752" t="str">
        <f t="shared" si="0"/>
        <v>＝</v>
      </c>
      <c r="B67" s="2752" t="str">
        <f t="shared" si="1"/>
        <v>＝</v>
      </c>
      <c r="C67" s="2809">
        <v>1998</v>
      </c>
      <c r="D67" s="1195" t="str">
        <f t="shared" si="14"/>
        <v>非流动资产合计</v>
      </c>
      <c r="E67" s="1200"/>
      <c r="F67" s="1203">
        <f>SUM(F37:F66)-SUM(F47,F50)</f>
        <v>50948136.299999997</v>
      </c>
      <c r="G67" s="1204">
        <f>SUM(G37:G66)-SUM(G47,G50)</f>
        <v>162953657.74000001</v>
      </c>
      <c r="H67" s="2820">
        <v>4999</v>
      </c>
      <c r="I67" s="1233" t="str">
        <f t="shared" si="12"/>
        <v>所有者权益（或股东权益）合计</v>
      </c>
      <c r="J67" s="1200"/>
      <c r="K67" s="1203">
        <f>SUM(K65,K66)</f>
        <v>101620455.56</v>
      </c>
      <c r="L67" s="1209">
        <f>SUM(L65,L66)</f>
        <v>104183695.90000001</v>
      </c>
      <c r="M67" s="641"/>
      <c r="N67" s="641"/>
      <c r="O67" s="641"/>
      <c r="P67" s="641"/>
    </row>
    <row r="68" spans="1:16" ht="24">
      <c r="A68" s="2752" t="str">
        <f t="shared" si="0"/>
        <v>＝</v>
      </c>
      <c r="B68" s="2752" t="str">
        <f t="shared" si="1"/>
        <v>＝</v>
      </c>
      <c r="C68" s="2809">
        <v>1999</v>
      </c>
      <c r="D68" s="1210" t="str">
        <f t="shared" si="14"/>
        <v>资产总计</v>
      </c>
      <c r="E68" s="1211"/>
      <c r="F68" s="1212">
        <f>SUM(F35,F67)</f>
        <v>106747804.67</v>
      </c>
      <c r="G68" s="1213">
        <f>SUM(G35,G67)</f>
        <v>218552283.09999999</v>
      </c>
      <c r="H68" s="2821">
        <v>5000</v>
      </c>
      <c r="I68" s="1234" t="str">
        <f t="shared" si="12"/>
        <v>负债和所有者权益（或股东权益）总计</v>
      </c>
      <c r="J68" s="1211"/>
      <c r="K68" s="1212">
        <f>SUM(K52,K67)</f>
        <v>106747804.67</v>
      </c>
      <c r="L68" s="1235">
        <f>SUM(L52,L67)</f>
        <v>218552283.09999999</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106747804.67</v>
      </c>
      <c r="H94" s="2825"/>
      <c r="I94" s="1236" t="str">
        <f>I68</f>
        <v>负债和所有者权益（或股东权益）总计</v>
      </c>
      <c r="J94" s="1222"/>
      <c r="K94" s="1001">
        <f>K68</f>
        <v>106747804.67</v>
      </c>
      <c r="L94" s="1054">
        <f>ROUND(G94-K94,2)</f>
        <v>0</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218552283.09999999</v>
      </c>
      <c r="H96" s="2825"/>
      <c r="I96" s="1241" t="str">
        <f>I68</f>
        <v>负债和所有者权益（或股东权益）总计</v>
      </c>
      <c r="J96" s="1222"/>
      <c r="K96" s="1001">
        <f>L68</f>
        <v>218552283.09999999</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0</v>
      </c>
      <c r="M97" s="956" t="str">
        <f>IF(L97=0,"Balanced","Diff "&amp;TEXT(ROUND(L97,2),"#,###.00"))</f>
        <v>Balanced</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7PVTVWuIOBVR/Y2WiH8Ir7W++MjcKUUdx3BIq3Rzpn9IwHKy+QNioydk6FIuD8YGOFy6UiJ3RLwa26EO4A9yOA==" saltValue="opq6gWE39XZ/V2pRWAmQ+g==" spinCount="100000" sheet="1" scenarios="1" formatCells="0" autoFilter="0"/>
  <phoneticPr fontId="163" type="noConversion"/>
  <conditionalFormatting sqref="F68:G68">
    <cfRule type="expression" dxfId="4093" priority="1" stopIfTrue="1">
      <formula>ROUND(F68-K68,2)&lt;&gt;0</formula>
    </cfRule>
  </conditionalFormatting>
  <conditionalFormatting sqref="K68:L68">
    <cfRule type="expression" dxfId="4092" priority="2" stopIfTrue="1">
      <formula>ROUND(K68-F68,2)&lt;&gt;0</formula>
    </cfRule>
  </conditionalFormatting>
  <conditionalFormatting sqref="L94 L92 L96:L97">
    <cfRule type="cellIs" dxfId="4091"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workbookViewId="0">
      <selection activeCell="F44" sqref="F44"/>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编制单位：北京天马金信供应链管理有限公司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c r="E9" s="921">
        <f>SUM(E10:E13)</f>
        <v>20266366.969999999</v>
      </c>
      <c r="F9" s="1135">
        <f>SUM(F10:F13)</f>
        <v>9961204.6999999993</v>
      </c>
      <c r="G9" s="641"/>
      <c r="H9" s="641"/>
      <c r="I9" s="641"/>
      <c r="J9" s="641"/>
    </row>
    <row r="10" spans="1:10" ht="18">
      <c r="A10" s="2752">
        <f t="shared" si="0"/>
        <v>0</v>
      </c>
      <c r="B10" s="2809">
        <v>6001</v>
      </c>
      <c r="C10" s="1654" t="str">
        <f>VLOOKUP($B10,Sheet_Items,7,0)</f>
        <v>其中：营业收入</v>
      </c>
      <c r="D10" s="1136"/>
      <c r="E10" s="1079">
        <v>20266366.969999999</v>
      </c>
      <c r="F10" s="1080">
        <f>IF($B10="","",IF(ISERROR(VLOOKUP($B10,Sheet_Balance1,2,0)),0,VLOOKUP($B10,Sheet_Balance1,2,0)))</f>
        <v>9961204.6999999993</v>
      </c>
      <c r="G10" s="641"/>
      <c r="H10" s="641"/>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22840097.489999998</v>
      </c>
      <c r="F14" s="1135">
        <f>SUM(F15:F27)</f>
        <v>13845297.869999999</v>
      </c>
      <c r="G14" s="641"/>
      <c r="H14" s="641"/>
      <c r="I14" s="641"/>
      <c r="J14" s="641"/>
    </row>
    <row r="15" spans="1:10" ht="18">
      <c r="A15" s="2752">
        <f t="shared" si="0"/>
        <v>0</v>
      </c>
      <c r="B15" s="2809">
        <v>6401</v>
      </c>
      <c r="C15" s="1138" t="str">
        <f t="shared" si="1"/>
        <v>减：营业成本</v>
      </c>
      <c r="D15" s="1081"/>
      <c r="E15" s="1079">
        <v>17540765.449999999</v>
      </c>
      <c r="F15" s="1080">
        <f t="shared" ref="F15:F39" si="2">IF($B15="","",IF(ISERROR(VLOOKUP($B15,Sheet_Balance1,2,0)),0,VLOOKUP($B15,Sheet_Balance1,2,0)))</f>
        <v>8620689.6300000008</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c r="E23" s="1079">
        <v>78151.759999999995</v>
      </c>
      <c r="F23" s="1080">
        <f t="shared" si="2"/>
        <v>68861.460000000006</v>
      </c>
      <c r="G23" s="641"/>
      <c r="H23" s="641"/>
      <c r="I23" s="641"/>
      <c r="J23" s="641"/>
    </row>
    <row r="24" spans="1:10" ht="18">
      <c r="A24" s="2752">
        <f t="shared" si="0"/>
        <v>0</v>
      </c>
      <c r="B24" s="2809">
        <v>6601</v>
      </c>
      <c r="C24" s="975" t="str">
        <f t="shared" si="1"/>
        <v>销售费用</v>
      </c>
      <c r="D24" s="1081"/>
      <c r="E24" s="1079"/>
      <c r="F24" s="1080">
        <f t="shared" si="2"/>
        <v>0</v>
      </c>
      <c r="G24" s="641"/>
      <c r="H24" s="641"/>
      <c r="I24" s="641"/>
      <c r="J24" s="641"/>
    </row>
    <row r="25" spans="1:10" ht="18">
      <c r="A25" s="2752">
        <f t="shared" si="0"/>
        <v>0</v>
      </c>
      <c r="B25" s="2809">
        <v>6602</v>
      </c>
      <c r="C25" s="975" t="str">
        <f t="shared" si="1"/>
        <v>管理费用</v>
      </c>
      <c r="D25" s="1081"/>
      <c r="E25" s="1079">
        <v>5231717.3499999996</v>
      </c>
      <c r="F25" s="1080">
        <f t="shared" si="2"/>
        <v>5160685.92</v>
      </c>
      <c r="G25" s="641"/>
      <c r="H25" s="641"/>
      <c r="I25" s="641"/>
      <c r="J25" s="641"/>
    </row>
    <row r="26" spans="1:10" ht="18">
      <c r="A26" s="2752">
        <f>VLOOKUP($B26,Sheet_Items,4,0)</f>
        <v>0</v>
      </c>
      <c r="B26" s="2809">
        <v>6606</v>
      </c>
      <c r="C26" s="975" t="str">
        <f>VLOOKUP($B26,Sheet_Items,6,0)</f>
        <v>研发费用</v>
      </c>
      <c r="D26" s="1081"/>
      <c r="E26" s="1079"/>
      <c r="F26" s="1080">
        <f t="shared" si="2"/>
        <v>0</v>
      </c>
      <c r="G26" s="641"/>
      <c r="H26" s="641"/>
      <c r="I26" s="641"/>
      <c r="J26" s="641"/>
    </row>
    <row r="27" spans="1:10" ht="18">
      <c r="A27" s="2752">
        <f t="shared" si="0"/>
        <v>0</v>
      </c>
      <c r="B27" s="2809">
        <v>6603</v>
      </c>
      <c r="C27" s="975" t="str">
        <f t="shared" si="1"/>
        <v>财务费用</v>
      </c>
      <c r="D27" s="1081"/>
      <c r="E27" s="1079">
        <v>-10537.07</v>
      </c>
      <c r="F27" s="1080">
        <f t="shared" si="2"/>
        <v>-4939.1400000000003</v>
      </c>
      <c r="G27" s="641"/>
      <c r="H27" s="641"/>
      <c r="I27" s="641"/>
      <c r="J27" s="641"/>
    </row>
    <row r="28" spans="1:10" ht="18">
      <c r="A28" s="2752">
        <f>VLOOKUP($B28,Sheet_Items,4,0)</f>
        <v>0</v>
      </c>
      <c r="B28" s="2809" t="s">
        <v>803</v>
      </c>
      <c r="C28" s="975" t="str">
        <f>VLOOKUP($B28,Sheet_Items,6,0)</f>
        <v>其中：利息费用</v>
      </c>
      <c r="D28" s="1081"/>
      <c r="E28" s="1079"/>
      <c r="F28" s="1080">
        <f t="shared" si="2"/>
        <v>0</v>
      </c>
      <c r="G28" s="641"/>
      <c r="H28" s="641"/>
      <c r="I28" s="641"/>
      <c r="J28" s="641"/>
    </row>
    <row r="29" spans="1:10" ht="18">
      <c r="A29" s="2752">
        <f>VLOOKUP($B29,Sheet_Items,4,0)</f>
        <v>0</v>
      </c>
      <c r="B29" s="2809" t="s">
        <v>810</v>
      </c>
      <c r="C29" s="1140" t="str">
        <f>VLOOKUP($B29,Sheet_Items,6,0)</f>
        <v>利息收入</v>
      </c>
      <c r="D29" s="1081"/>
      <c r="E29" s="1079">
        <v>10615</v>
      </c>
      <c r="F29" s="1080">
        <f t="shared" si="2"/>
        <v>0</v>
      </c>
      <c r="G29" s="641"/>
      <c r="H29" s="641"/>
      <c r="I29" s="641"/>
      <c r="J29" s="641"/>
    </row>
    <row r="30" spans="1:10" ht="18">
      <c r="A30" s="2752">
        <f>VLOOKUP($B30,Sheet_Items,4,0)</f>
        <v>0</v>
      </c>
      <c r="B30" s="2809">
        <v>6181</v>
      </c>
      <c r="C30" s="1139" t="str">
        <f>VLOOKUP($B30,Sheet_Items,7,0)</f>
        <v>加：其他收益</v>
      </c>
      <c r="D30" s="1081"/>
      <c r="E30" s="1079">
        <v>10490.18</v>
      </c>
      <c r="F30" s="1080">
        <f t="shared" si="2"/>
        <v>0</v>
      </c>
      <c r="G30" s="641"/>
      <c r="H30" s="641"/>
      <c r="I30" s="641"/>
      <c r="J30" s="641"/>
    </row>
    <row r="31" spans="1:10" ht="18">
      <c r="A31" s="2752">
        <f t="shared" si="0"/>
        <v>0</v>
      </c>
      <c r="B31" s="2809">
        <v>6111</v>
      </c>
      <c r="C31" s="975" t="str">
        <f t="shared" si="1"/>
        <v>投资收益（损失以“-”号填列）</v>
      </c>
      <c r="D31" s="1081"/>
      <c r="E31" s="1079"/>
      <c r="F31" s="1080">
        <f t="shared" si="2"/>
        <v>5521086.3499999996</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c r="F37" s="1080">
        <f t="shared" si="2"/>
        <v>0</v>
      </c>
      <c r="G37" s="641"/>
      <c r="H37" s="641"/>
      <c r="I37" s="641"/>
      <c r="J37" s="641"/>
    </row>
    <row r="38" spans="1:10" ht="18">
      <c r="A38" s="2752">
        <f>VLOOKUP($B38,Sheet_Items,4,0)</f>
        <v>0</v>
      </c>
      <c r="B38" s="2809">
        <v>6671</v>
      </c>
      <c r="C38" s="975" t="str">
        <f>VLOOKUP($B38,Sheet_Items,6,0)</f>
        <v>资产减值损失（损失以“-”号填列）</v>
      </c>
      <c r="D38" s="1081"/>
      <c r="E38" s="1079"/>
      <c r="F38" s="1080">
        <f t="shared" si="2"/>
        <v>0</v>
      </c>
      <c r="G38" s="641"/>
      <c r="H38" s="641"/>
      <c r="I38" s="641"/>
      <c r="J38" s="641"/>
    </row>
    <row r="39" spans="1:10" ht="18">
      <c r="A39" s="2752">
        <f>VLOOKUP($B39,Sheet_Items,4,0)</f>
        <v>0</v>
      </c>
      <c r="B39" s="2809">
        <v>6171</v>
      </c>
      <c r="C39" s="1139" t="str">
        <f>VLOOKUP($B39,Sheet_Items,6,0)</f>
        <v>资产处置收益（损失以“-”号填列）</v>
      </c>
      <c r="D39" s="1081"/>
      <c r="E39" s="1079"/>
      <c r="F39" s="1080">
        <f t="shared" si="2"/>
        <v>0</v>
      </c>
      <c r="G39" s="641"/>
      <c r="H39" s="641"/>
      <c r="I39" s="641"/>
      <c r="J39" s="641"/>
    </row>
    <row r="40" spans="1:10" ht="18">
      <c r="A40" s="2752" t="str">
        <f t="shared" si="0"/>
        <v>＝</v>
      </c>
      <c r="B40" s="2809">
        <v>6689</v>
      </c>
      <c r="C40" s="1143" t="str">
        <f>VLOOKUP($B40,Sheet_Items,7,0)</f>
        <v>三、营业利润（亏损以“-”号填列）</v>
      </c>
      <c r="D40" s="1081"/>
      <c r="E40" s="1079">
        <f>SUM(E10:E13)-SUM(E15:E27)+SUM(E30:E39)-SUM(E32,E33)</f>
        <v>-2563240.34</v>
      </c>
      <c r="F40" s="1080">
        <f>SUM(F10:F13)-SUM(F15:F27)+SUM(F30:F39)-SUM(F32,F33)</f>
        <v>1636993.18</v>
      </c>
      <c r="G40" s="641"/>
      <c r="H40" s="641"/>
      <c r="I40" s="641"/>
      <c r="J40" s="641"/>
    </row>
    <row r="41" spans="1:10" ht="18">
      <c r="A41" s="2752">
        <f t="shared" si="0"/>
        <v>0</v>
      </c>
      <c r="B41" s="2809">
        <v>6710</v>
      </c>
      <c r="C41" s="975" t="str">
        <f t="shared" si="1"/>
        <v>加：营业外收入</v>
      </c>
      <c r="D41" s="1081"/>
      <c r="E41" s="1079"/>
      <c r="F41" s="1080">
        <f>IF($B41="","",IF(ISERROR(VLOOKUP($B41,Sheet_Balance1,2,0)),0,VLOOKUP($B41,Sheet_Balance1,2,0)))</f>
        <v>0</v>
      </c>
      <c r="G41" s="641"/>
      <c r="H41" s="641"/>
      <c r="I41" s="641"/>
      <c r="J41" s="641"/>
    </row>
    <row r="42" spans="1:10" ht="18">
      <c r="A42" s="2752">
        <f t="shared" si="0"/>
        <v>0</v>
      </c>
      <c r="B42" s="2809">
        <v>6711</v>
      </c>
      <c r="C42" s="975" t="str">
        <f t="shared" si="1"/>
        <v>减：营业外支出</v>
      </c>
      <c r="D42" s="1081"/>
      <c r="E42" s="1079"/>
      <c r="F42" s="1080">
        <f>IF($B42="","",IF(ISERROR(VLOOKUP($B42,Sheet_Balance1,2,0)),0,VLOOKUP($B42,Sheet_Balance1,2,0)))</f>
        <v>0</v>
      </c>
      <c r="G42" s="641"/>
      <c r="H42" s="641"/>
      <c r="I42" s="641"/>
      <c r="J42" s="641"/>
    </row>
    <row r="43" spans="1:10" ht="18">
      <c r="A43" s="2752" t="str">
        <f t="shared" si="0"/>
        <v>＝</v>
      </c>
      <c r="B43" s="2809">
        <v>6788</v>
      </c>
      <c r="C43" s="1144" t="str">
        <f>VLOOKUP($B43,Sheet_Items,7,0)</f>
        <v>四、利润总额（亏损总额以“-”号填列）</v>
      </c>
      <c r="D43" s="1081"/>
      <c r="E43" s="1082">
        <f>SUM(E40,E41,-E42)</f>
        <v>-2563240.34</v>
      </c>
      <c r="F43" s="1083">
        <f>SUM(F40,F41,-F42)</f>
        <v>1636993.18</v>
      </c>
      <c r="G43" s="641"/>
      <c r="H43" s="641"/>
      <c r="I43" s="641"/>
      <c r="J43" s="641"/>
    </row>
    <row r="44" spans="1:10" ht="18">
      <c r="A44" s="2752">
        <f t="shared" si="0"/>
        <v>0</v>
      </c>
      <c r="B44" s="2809">
        <v>6791</v>
      </c>
      <c r="C44" s="975" t="str">
        <f t="shared" si="1"/>
        <v>减：所得税费用</v>
      </c>
      <c r="D44" s="1081"/>
      <c r="E44" s="1079"/>
      <c r="F44" s="1080">
        <f>IF($B44="","",IF(ISERROR(VLOOKUP($B44,Sheet_Balance1,2,0)),0,VLOOKUP($B44,Sheet_Balance1,2,0)))</f>
        <v>-926583.97</v>
      </c>
      <c r="G44" s="641"/>
      <c r="H44" s="641"/>
      <c r="I44" s="641"/>
      <c r="J44" s="641"/>
    </row>
    <row r="45" spans="1:10" ht="18">
      <c r="A45" s="2752" t="str">
        <f t="shared" si="0"/>
        <v>＝</v>
      </c>
      <c r="B45" s="2809">
        <v>6799</v>
      </c>
      <c r="C45" s="1144" t="str">
        <f>VLOOKUP($B45,Sheet_Items,7,0)</f>
        <v>五、净利润（净亏损以“-”号填列）</v>
      </c>
      <c r="D45" s="1081"/>
      <c r="E45" s="1082">
        <f>SUM(E43,-E44)</f>
        <v>-2563240.34</v>
      </c>
      <c r="F45" s="1083">
        <f>SUM(F43,-F44)</f>
        <v>2563577.15</v>
      </c>
      <c r="G45" s="641"/>
      <c r="H45" s="641"/>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2">
        <f t="shared" si="3"/>
        <v>0</v>
      </c>
      <c r="B47" s="2809">
        <v>6816</v>
      </c>
      <c r="C47" s="975" t="str">
        <f t="shared" si="4"/>
        <v>1.持续经营净利润（净亏损以“-”号填列）</v>
      </c>
      <c r="D47" s="1081" t="s">
        <v>19</v>
      </c>
      <c r="E47" s="1079">
        <v>-2563240.34</v>
      </c>
      <c r="F47" s="1080">
        <f>F45</f>
        <v>2563577.15</v>
      </c>
      <c r="G47" s="641"/>
      <c r="H47" s="641"/>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-2563240.34</v>
      </c>
      <c r="F50" s="1080">
        <f>SUM(F45)</f>
        <v>2563577.15</v>
      </c>
      <c r="G50" s="641"/>
      <c r="H50" s="641"/>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-2563240.34</v>
      </c>
      <c r="F74" s="1083">
        <f>SUM(F45,F52)</f>
        <v>2563577.15</v>
      </c>
      <c r="G74" s="641"/>
      <c r="H74" s="641"/>
      <c r="I74" s="641"/>
      <c r="J74" s="641"/>
    </row>
    <row r="75" spans="1:10" ht="18">
      <c r="A75" s="2752" t="str">
        <f t="shared" si="0"/>
        <v>※</v>
      </c>
      <c r="B75" s="2809">
        <v>6841</v>
      </c>
      <c r="C75" s="1151" t="str">
        <f t="shared" si="5"/>
        <v>（一）归属于母公司所有者的综合收益总额</v>
      </c>
      <c r="D75" s="1152"/>
      <c r="E75" s="1153">
        <f>SUM(E50,E53)</f>
        <v>-2563240.34</v>
      </c>
      <c r="F75" s="1154">
        <f>SUM(F50,F53)</f>
        <v>2563577.15</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5648</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-2563240.34</v>
      </c>
      <c r="F88" s="1171">
        <f>F45</f>
        <v>2563577.15</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-2563240.34</v>
      </c>
      <c r="F89" s="1171">
        <f>F50+F51</f>
        <v>2563577.15</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-2563240.34</v>
      </c>
      <c r="F92" s="1171">
        <f>F45</f>
        <v>2563577.15</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-2563240.34</v>
      </c>
      <c r="F93" s="1171">
        <f>F47+F48</f>
        <v>2563577.15</v>
      </c>
      <c r="G93" s="709"/>
      <c r="H93" s="709"/>
      <c r="I93" s="709"/>
      <c r="J93" s="734"/>
      <c r="K93" s="1189"/>
      <c r="L93" s="1190"/>
    </row>
    <row r="94" spans="1:12" ht="18.75" thickBot="1">
      <c r="A94" s="2813" t="s">
        <v>2565</v>
      </c>
      <c r="B94" s="2812"/>
      <c r="C94" s="1173" t="s">
        <v>2580</v>
      </c>
      <c r="D94" s="1029"/>
      <c r="E94" s="1032">
        <f>ROUND(E92-E93,2)</f>
        <v>0</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-2563240.34</v>
      </c>
      <c r="F96" s="1055">
        <f>F74</f>
        <v>2563577.15</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-2563240.34</v>
      </c>
      <c r="F97" s="1171">
        <f>F75+F76</f>
        <v>2563577.15</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-2563240.34</v>
      </c>
      <c r="F105" s="1055">
        <f>F50</f>
        <v>2563577.15</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-2563240.34</v>
      </c>
      <c r="F106" s="1055">
        <f>preCE!AB18</f>
        <v>2563577.15</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-2563240.34</v>
      </c>
      <c r="F117" s="1055">
        <f>F74</f>
        <v>2563577.15</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-2563240.34</v>
      </c>
      <c r="F118" s="1055">
        <f>preCE!AE18</f>
        <v>2563577.15</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-2563240.34</v>
      </c>
      <c r="F121" s="1055">
        <f>F75</f>
        <v>2563577.15</v>
      </c>
      <c r="G121" s="709"/>
      <c r="H121" s="641"/>
      <c r="I121" s="641"/>
      <c r="J121" s="641"/>
      <c r="K121" s="1189"/>
      <c r="L121" s="1190"/>
    </row>
    <row r="122" spans="1:12" ht="18">
      <c r="A122" s="2813" t="s">
        <v>2565</v>
      </c>
      <c r="B122" s="2812"/>
      <c r="C122" s="1179" t="str">
        <f>preCE!$C$18</f>
        <v>（一）综合收益总额</v>
      </c>
      <c r="D122" s="1029" t="s">
        <v>442</v>
      </c>
      <c r="E122" s="1028">
        <f>preCE!Q18-preCE!P18</f>
        <v>-2563240.34</v>
      </c>
      <c r="F122" s="1055">
        <f>preCE!AE18-preCE!AD18</f>
        <v>2563577.15</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n1w3bQdLguOG12tr8QOgYstC++rqsTwXinL5lkHtnwWcEIP+N1UJM6jptslbOFuL2fFLPsmfSjBq0VMyaR6CvA==" saltValue="780DUDAoUOM+msWLuV7CeA==" spinCount="100000" sheet="1" scenarios="1" formatCells="0" autoFilter="0"/>
  <phoneticPr fontId="163" type="noConversion"/>
  <conditionalFormatting sqref="C9:F74">
    <cfRule type="expression" dxfId="4090" priority="23" stopIfTrue="1">
      <formula>AND($A9&lt;&gt;"＝",MOD(ROW(),3)=0)</formula>
    </cfRule>
    <cfRule type="expression" dxfId="4089" priority="24" stopIfTrue="1">
      <formula>$A9="："</formula>
    </cfRule>
    <cfRule type="expression" dxfId="4088" priority="25" stopIfTrue="1">
      <formula>$A9="＝"</formula>
    </cfRule>
  </conditionalFormatting>
  <conditionalFormatting sqref="E90:F90 E98:F98 E103:F103 E107:F107 E111:F111 E115:F115 E123:F123 E127:F127 E129:F129 E119:F119">
    <cfRule type="cellIs" dxfId="4087" priority="27" stopIfTrue="1" operator="notEqual">
      <formula>0</formula>
    </cfRule>
  </conditionalFormatting>
  <conditionalFormatting sqref="E94:F94">
    <cfRule type="cellIs" dxfId="4086"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22" workbookViewId="0">
      <selection activeCell="E34" sqref="E34"/>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编制单位：北京天马金信供应链管理有限公司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f>35000000+22038231</f>
        <v>57038231</v>
      </c>
      <c r="F10" s="1080">
        <f t="shared" si="2"/>
        <v>11427639</v>
      </c>
      <c r="G10" s="641"/>
      <c r="H10" s="641"/>
      <c r="I10" s="641"/>
      <c r="J10" s="641"/>
    </row>
    <row r="11" spans="1:10" ht="18">
      <c r="A11" s="2752" t="str">
        <f t="shared" si="0"/>
        <v>△</v>
      </c>
      <c r="B11" s="2809">
        <v>7011</v>
      </c>
      <c r="C11" s="975" t="str">
        <f t="shared" si="1"/>
        <v>客户存款和同业存放款项净增加额</v>
      </c>
      <c r="D11" s="1081"/>
      <c r="E11" s="1079"/>
      <c r="F11" s="1080">
        <f t="shared" si="2"/>
        <v>0</v>
      </c>
      <c r="G11" s="641"/>
      <c r="H11" s="641"/>
      <c r="I11" s="641"/>
      <c r="J11" s="641"/>
    </row>
    <row r="12" spans="1:10" ht="18">
      <c r="A12" s="2752" t="str">
        <f t="shared" si="0"/>
        <v>△</v>
      </c>
      <c r="B12" s="2809">
        <v>7012</v>
      </c>
      <c r="C12" s="1077" t="str">
        <f t="shared" si="1"/>
        <v>向中央银行借款净增加额</v>
      </c>
      <c r="D12" s="1078"/>
      <c r="E12" s="1079"/>
      <c r="F12" s="1080">
        <f t="shared" si="2"/>
        <v>0</v>
      </c>
      <c r="G12" s="641"/>
      <c r="H12" s="641"/>
      <c r="I12" s="641"/>
      <c r="J12" s="641"/>
    </row>
    <row r="13" spans="1:10" ht="18">
      <c r="A13" s="2752" t="str">
        <f t="shared" si="0"/>
        <v>△</v>
      </c>
      <c r="B13" s="2809">
        <v>7013</v>
      </c>
      <c r="C13" s="1077" t="str">
        <f t="shared" si="1"/>
        <v>向其他金融机构拆入资金净增加额</v>
      </c>
      <c r="D13" s="1078"/>
      <c r="E13" s="1079"/>
      <c r="F13" s="1080">
        <f t="shared" si="2"/>
        <v>0</v>
      </c>
      <c r="G13" s="641"/>
      <c r="H13" s="641"/>
      <c r="I13" s="641"/>
      <c r="J13" s="641"/>
    </row>
    <row r="14" spans="1:10" ht="18">
      <c r="A14" s="2752" t="str">
        <f t="shared" si="0"/>
        <v>△</v>
      </c>
      <c r="B14" s="2809">
        <v>7014</v>
      </c>
      <c r="C14" s="1077" t="str">
        <f t="shared" si="1"/>
        <v>收到原保险合同保费取得的现金</v>
      </c>
      <c r="D14" s="1078"/>
      <c r="E14" s="1079"/>
      <c r="F14" s="1080">
        <f t="shared" si="2"/>
        <v>0</v>
      </c>
      <c r="G14" s="641"/>
      <c r="H14" s="641"/>
      <c r="I14" s="641"/>
      <c r="J14" s="641"/>
    </row>
    <row r="15" spans="1:10" ht="18">
      <c r="A15" s="2752" t="str">
        <f t="shared" si="0"/>
        <v>△</v>
      </c>
      <c r="B15" s="2809">
        <v>7015</v>
      </c>
      <c r="C15" s="1077" t="str">
        <f t="shared" si="1"/>
        <v>收到再保业务现金净额</v>
      </c>
      <c r="D15" s="1078"/>
      <c r="E15" s="1079"/>
      <c r="F15" s="1080">
        <f t="shared" si="2"/>
        <v>0</v>
      </c>
      <c r="G15" s="641"/>
      <c r="H15" s="641"/>
      <c r="I15" s="641"/>
      <c r="J15" s="641"/>
    </row>
    <row r="16" spans="1:10" ht="18">
      <c r="A16" s="2752" t="str">
        <f t="shared" si="0"/>
        <v>△</v>
      </c>
      <c r="B16" s="2809">
        <v>7016</v>
      </c>
      <c r="C16" s="1077" t="str">
        <f t="shared" si="1"/>
        <v>保户储金及投资款净增加额</v>
      </c>
      <c r="D16" s="1078"/>
      <c r="E16" s="1079"/>
      <c r="F16" s="1080">
        <f t="shared" si="2"/>
        <v>0</v>
      </c>
      <c r="G16" s="641"/>
      <c r="H16" s="641"/>
      <c r="I16" s="641"/>
      <c r="J16" s="641"/>
    </row>
    <row r="17" spans="1:10" ht="18">
      <c r="A17" s="2752" t="str">
        <f t="shared" si="0"/>
        <v>△</v>
      </c>
      <c r="B17" s="2809">
        <v>7023</v>
      </c>
      <c r="C17" s="1077" t="str">
        <f t="shared" si="1"/>
        <v>收取利息、手续费及佣金的现金</v>
      </c>
      <c r="D17" s="1078"/>
      <c r="E17" s="1079"/>
      <c r="F17" s="1080">
        <f t="shared" si="2"/>
        <v>0</v>
      </c>
      <c r="G17" s="641"/>
      <c r="H17" s="641"/>
      <c r="I17" s="641"/>
      <c r="J17" s="641"/>
    </row>
    <row r="18" spans="1:10" ht="18">
      <c r="A18" s="2752" t="str">
        <f t="shared" si="0"/>
        <v>△</v>
      </c>
      <c r="B18" s="2809">
        <v>7025</v>
      </c>
      <c r="C18" s="1077" t="str">
        <f t="shared" si="1"/>
        <v>拆入资金净增加额</v>
      </c>
      <c r="D18" s="1078"/>
      <c r="E18" s="1079"/>
      <c r="F18" s="1080">
        <f t="shared" si="2"/>
        <v>0</v>
      </c>
      <c r="G18" s="641"/>
      <c r="H18" s="641"/>
      <c r="I18" s="641"/>
      <c r="J18" s="641"/>
    </row>
    <row r="19" spans="1:10" ht="18">
      <c r="A19" s="2752" t="str">
        <f t="shared" si="0"/>
        <v>△</v>
      </c>
      <c r="B19" s="2809">
        <v>7026</v>
      </c>
      <c r="C19" s="1077" t="str">
        <f t="shared" si="1"/>
        <v>回购业务资金净增加额</v>
      </c>
      <c r="D19" s="1078"/>
      <c r="E19" s="1079"/>
      <c r="F19" s="1080">
        <f t="shared" si="2"/>
        <v>0</v>
      </c>
      <c r="G19" s="641"/>
      <c r="H19" s="641"/>
      <c r="I19" s="641"/>
      <c r="J19" s="641"/>
    </row>
    <row r="20" spans="1:10" ht="18">
      <c r="A20" s="2752" t="str">
        <f t="shared" si="0"/>
        <v>△</v>
      </c>
      <c r="B20" s="2809">
        <v>7024</v>
      </c>
      <c r="C20" s="1077" t="str">
        <f t="shared" si="1"/>
        <v>代理买卖证券收到的现金净额</v>
      </c>
      <c r="D20" s="1078"/>
      <c r="E20" s="1079"/>
      <c r="F20" s="1080">
        <f t="shared" si="2"/>
        <v>0</v>
      </c>
      <c r="G20" s="641"/>
      <c r="H20" s="641"/>
      <c r="I20" s="641"/>
      <c r="J20" s="641"/>
    </row>
    <row r="21" spans="1:10" ht="18">
      <c r="A21" s="2752">
        <f t="shared" si="0"/>
        <v>0</v>
      </c>
      <c r="B21" s="2809">
        <v>7031</v>
      </c>
      <c r="C21" s="1077" t="str">
        <f t="shared" si="1"/>
        <v>收到的税费返还</v>
      </c>
      <c r="D21" s="1078"/>
      <c r="E21" s="1079"/>
      <c r="F21" s="1080">
        <f t="shared" si="2"/>
        <v>0</v>
      </c>
      <c r="G21" s="641"/>
      <c r="H21" s="641"/>
      <c r="I21" s="641"/>
      <c r="J21" s="641"/>
    </row>
    <row r="22" spans="1:10" ht="18">
      <c r="A22" s="2752">
        <f t="shared" si="0"/>
        <v>0</v>
      </c>
      <c r="B22" s="2809">
        <v>7046</v>
      </c>
      <c r="C22" s="1077" t="str">
        <f t="shared" si="1"/>
        <v>收到其他与经营活动有关的现金</v>
      </c>
      <c r="D22" s="1078"/>
      <c r="E22" s="1079">
        <f>81393105.18-35000000-9400000</f>
        <v>36993105.18</v>
      </c>
      <c r="F22" s="1080">
        <f t="shared" si="2"/>
        <v>202044775.52000001</v>
      </c>
      <c r="G22" s="641"/>
      <c r="H22" s="641"/>
      <c r="I22" s="641"/>
      <c r="J22" s="641"/>
    </row>
    <row r="23" spans="1:10" ht="18">
      <c r="A23" s="2752" t="str">
        <f t="shared" si="0"/>
        <v>＝</v>
      </c>
      <c r="B23" s="2809">
        <v>7048</v>
      </c>
      <c r="C23" s="1073" t="str">
        <f t="shared" si="1"/>
        <v>经营活动现金流入小计</v>
      </c>
      <c r="D23" s="1078"/>
      <c r="E23" s="1082">
        <f>SUM(E10:E22)</f>
        <v>94031336.180000007</v>
      </c>
      <c r="F23" s="1083">
        <f>SUM(F10:F22)</f>
        <v>213472414.52000001</v>
      </c>
      <c r="G23" s="641"/>
      <c r="H23" s="641"/>
      <c r="I23" s="641"/>
      <c r="J23" s="641"/>
    </row>
    <row r="24" spans="1:10" ht="18">
      <c r="A24" s="2752">
        <f t="shared" si="0"/>
        <v>0</v>
      </c>
      <c r="B24" s="2809">
        <v>7051</v>
      </c>
      <c r="C24" s="1077" t="str">
        <f t="shared" si="1"/>
        <v>购买商品、接受劳务支付的现金</v>
      </c>
      <c r="D24" s="1078"/>
      <c r="E24" s="1079"/>
      <c r="F24" s="1080">
        <f t="shared" ref="F24:F33" si="3">IF($B24="","",IF(ISERROR(VLOOKUP($B24,Sheet_Balance1,2,0)),0,VLOOKUP($B24,Sheet_Balance1,2,0)))</f>
        <v>68088088</v>
      </c>
      <c r="G24" s="641"/>
      <c r="H24" s="641"/>
      <c r="I24" s="641"/>
      <c r="J24" s="641"/>
    </row>
    <row r="25" spans="1:10" ht="18">
      <c r="A25" s="2752" t="str">
        <f t="shared" si="0"/>
        <v>△</v>
      </c>
      <c r="B25" s="2809">
        <v>7053</v>
      </c>
      <c r="C25" s="1077" t="str">
        <f t="shared" si="1"/>
        <v>客户贷款及垫款净增加额</v>
      </c>
      <c r="D25" s="1078"/>
      <c r="E25" s="1079"/>
      <c r="F25" s="1080">
        <f t="shared" si="3"/>
        <v>0</v>
      </c>
      <c r="G25" s="641"/>
      <c r="H25" s="641"/>
      <c r="I25" s="641"/>
      <c r="J25" s="641"/>
    </row>
    <row r="26" spans="1:10" ht="18">
      <c r="A26" s="2752" t="str">
        <f t="shared" si="0"/>
        <v>△</v>
      </c>
      <c r="B26" s="2809">
        <v>7054</v>
      </c>
      <c r="C26" s="1077" t="str">
        <f t="shared" si="1"/>
        <v>存放中央银行和同业款项净增加额</v>
      </c>
      <c r="D26" s="1078"/>
      <c r="E26" s="1079"/>
      <c r="F26" s="1080">
        <f t="shared" si="3"/>
        <v>0</v>
      </c>
      <c r="G26" s="641"/>
      <c r="H26" s="641"/>
      <c r="I26" s="641"/>
      <c r="J26" s="641"/>
    </row>
    <row r="27" spans="1:10" ht="18">
      <c r="A27" s="2752" t="str">
        <f t="shared" si="0"/>
        <v>△</v>
      </c>
      <c r="B27" s="2809">
        <v>7055</v>
      </c>
      <c r="C27" s="1077" t="str">
        <f t="shared" si="1"/>
        <v>支付原保险合同赔付款项的现金</v>
      </c>
      <c r="D27" s="1078"/>
      <c r="E27" s="1079"/>
      <c r="F27" s="1080">
        <f t="shared" si="3"/>
        <v>0</v>
      </c>
      <c r="G27" s="641"/>
      <c r="H27" s="641"/>
      <c r="I27" s="641"/>
      <c r="J27" s="641"/>
    </row>
    <row r="28" spans="1:10" ht="18">
      <c r="A28" s="2752" t="str">
        <f t="shared" si="0"/>
        <v>△</v>
      </c>
      <c r="B28" s="2809">
        <v>7058</v>
      </c>
      <c r="C28" s="1077" t="str">
        <f t="shared" si="1"/>
        <v>拆出资金净增加额</v>
      </c>
      <c r="D28" s="1078"/>
      <c r="E28" s="1079"/>
      <c r="F28" s="1080">
        <f t="shared" si="3"/>
        <v>0</v>
      </c>
      <c r="G28" s="641"/>
      <c r="H28" s="641"/>
      <c r="I28" s="641"/>
      <c r="J28" s="641"/>
    </row>
    <row r="29" spans="1:10" ht="18">
      <c r="A29" s="2752" t="str">
        <f t="shared" si="0"/>
        <v>△</v>
      </c>
      <c r="B29" s="2809">
        <v>7056</v>
      </c>
      <c r="C29" s="1077" t="str">
        <f t="shared" si="1"/>
        <v>支付利息、手续费及佣金的现金</v>
      </c>
      <c r="D29" s="1078"/>
      <c r="E29" s="1079"/>
      <c r="F29" s="1080">
        <f t="shared" si="3"/>
        <v>0</v>
      </c>
      <c r="G29" s="641"/>
      <c r="H29" s="641"/>
      <c r="I29" s="641"/>
      <c r="J29" s="641"/>
    </row>
    <row r="30" spans="1:10" ht="18">
      <c r="A30" s="2752" t="str">
        <f t="shared" si="0"/>
        <v>△</v>
      </c>
      <c r="B30" s="2809">
        <v>7057</v>
      </c>
      <c r="C30" s="1077" t="str">
        <f t="shared" si="1"/>
        <v>支付保单红利的现金</v>
      </c>
      <c r="D30" s="1078"/>
      <c r="E30" s="1079"/>
      <c r="F30" s="1080">
        <f t="shared" si="3"/>
        <v>0</v>
      </c>
      <c r="G30" s="641"/>
      <c r="H30" s="641"/>
      <c r="I30" s="641"/>
      <c r="J30" s="641"/>
    </row>
    <row r="31" spans="1:10" ht="18">
      <c r="A31" s="2752">
        <f t="shared" si="0"/>
        <v>0</v>
      </c>
      <c r="B31" s="2809">
        <v>7061</v>
      </c>
      <c r="C31" s="1077" t="str">
        <f t="shared" si="1"/>
        <v>支付给职工以及为职工支付的现金</v>
      </c>
      <c r="D31" s="1078"/>
      <c r="E31" s="1079">
        <v>4451795.68</v>
      </c>
      <c r="F31" s="1080">
        <f t="shared" si="3"/>
        <v>2346963.46</v>
      </c>
      <c r="G31" s="641"/>
      <c r="H31" s="641"/>
      <c r="I31" s="641"/>
      <c r="J31" s="641"/>
    </row>
    <row r="32" spans="1:10" ht="18">
      <c r="A32" s="2752">
        <f t="shared" si="0"/>
        <v>0</v>
      </c>
      <c r="B32" s="2809">
        <v>7071</v>
      </c>
      <c r="C32" s="1077" t="str">
        <f t="shared" si="1"/>
        <v>支付的各项税费</v>
      </c>
      <c r="D32" s="1078"/>
      <c r="E32" s="1079">
        <v>42795.23</v>
      </c>
      <c r="F32" s="1080">
        <f t="shared" si="3"/>
        <v>966124.53</v>
      </c>
      <c r="G32" s="641"/>
      <c r="H32" s="641"/>
      <c r="I32" s="641"/>
      <c r="J32" s="641"/>
    </row>
    <row r="33" spans="1:10" ht="18">
      <c r="A33" s="2752">
        <f t="shared" si="0"/>
        <v>0</v>
      </c>
      <c r="B33" s="2809">
        <v>7096</v>
      </c>
      <c r="C33" s="1077" t="str">
        <f t="shared" si="1"/>
        <v>支付其他与经营活动有关的现金</v>
      </c>
      <c r="D33" s="1078"/>
      <c r="E33" s="1079">
        <f>186328385.74-9400000</f>
        <v>176928385.74000001</v>
      </c>
      <c r="F33" s="1080">
        <f t="shared" si="3"/>
        <v>64284370.009999998</v>
      </c>
      <c r="G33" s="641"/>
      <c r="H33" s="641"/>
      <c r="I33" s="641"/>
      <c r="J33" s="641"/>
    </row>
    <row r="34" spans="1:10" ht="18">
      <c r="A34" s="2752" t="str">
        <f t="shared" si="0"/>
        <v>＝</v>
      </c>
      <c r="B34" s="2809">
        <v>7098</v>
      </c>
      <c r="C34" s="1073" t="str">
        <f t="shared" si="1"/>
        <v>经营活动现金流出小计</v>
      </c>
      <c r="D34" s="1078"/>
      <c r="E34" s="1082">
        <f>SUM(E24:E33)</f>
        <v>181422976.65000001</v>
      </c>
      <c r="F34" s="1083">
        <f>SUM(F24:F33)</f>
        <v>135685546</v>
      </c>
      <c r="G34" s="641"/>
      <c r="H34" s="641"/>
      <c r="I34" s="641"/>
      <c r="J34" s="641"/>
    </row>
    <row r="35" spans="1:10" ht="18">
      <c r="A35" s="2752" t="str">
        <f t="shared" si="0"/>
        <v>＝</v>
      </c>
      <c r="B35" s="2809">
        <v>7099</v>
      </c>
      <c r="C35" s="1073" t="str">
        <f t="shared" si="1"/>
        <v>经营活动产生的现金流量净额</v>
      </c>
      <c r="D35" s="1078"/>
      <c r="E35" s="1082">
        <f>SUM(E23,-E34)</f>
        <v>-87391640.469999999</v>
      </c>
      <c r="F35" s="1083">
        <f>SUM(F23,-F34)</f>
        <v>77786868.519999996</v>
      </c>
      <c r="G35" s="641"/>
      <c r="H35" s="641"/>
      <c r="I35" s="641"/>
      <c r="J35" s="641"/>
    </row>
    <row r="36" spans="1:10" ht="18">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2">
        <f t="shared" si="0"/>
        <v>0</v>
      </c>
      <c r="B37" s="2809">
        <v>7101</v>
      </c>
      <c r="C37" s="1077" t="str">
        <f t="shared" si="1"/>
        <v>收回投资收到的现金</v>
      </c>
      <c r="D37" s="1078"/>
      <c r="E37" s="1079"/>
      <c r="F37" s="1080">
        <f t="shared" si="4"/>
        <v>10000000</v>
      </c>
      <c r="G37" s="641"/>
      <c r="H37" s="641"/>
      <c r="I37" s="641"/>
      <c r="J37" s="641"/>
    </row>
    <row r="38" spans="1:10" ht="18">
      <c r="A38" s="2752">
        <f t="shared" si="0"/>
        <v>0</v>
      </c>
      <c r="B38" s="2809">
        <v>7105</v>
      </c>
      <c r="C38" s="1077" t="str">
        <f t="shared" si="1"/>
        <v>取得投资收益收到的现金</v>
      </c>
      <c r="D38" s="1078"/>
      <c r="E38" s="1079"/>
      <c r="F38" s="1080">
        <f t="shared" si="4"/>
        <v>5521086.3499999996</v>
      </c>
      <c r="G38" s="641"/>
      <c r="H38" s="641"/>
      <c r="I38" s="641"/>
      <c r="J38" s="641"/>
    </row>
    <row r="39" spans="1:10" ht="18">
      <c r="A39" s="2752">
        <f t="shared" si="0"/>
        <v>0</v>
      </c>
      <c r="B39" s="2809">
        <v>7111</v>
      </c>
      <c r="C39" s="1077" t="str">
        <f t="shared" si="1"/>
        <v>处置固定资产、无形资产和其他长期资产收回的现金净额</v>
      </c>
      <c r="D39" s="1078"/>
      <c r="E39" s="1079"/>
      <c r="F39" s="1080">
        <f t="shared" si="4"/>
        <v>0</v>
      </c>
      <c r="G39" s="641"/>
      <c r="H39" s="641"/>
      <c r="I39" s="641"/>
      <c r="J39" s="641"/>
    </row>
    <row r="40" spans="1:10" ht="18">
      <c r="A40" s="2752">
        <f t="shared" si="0"/>
        <v>0</v>
      </c>
      <c r="B40" s="2809">
        <v>7121</v>
      </c>
      <c r="C40" s="1077" t="str">
        <f t="shared" si="1"/>
        <v>处置子公司及其他营业单位收到的现金净额</v>
      </c>
      <c r="D40" s="1078"/>
      <c r="E40" s="1079">
        <v>91600000</v>
      </c>
      <c r="F40" s="1080">
        <f t="shared" si="4"/>
        <v>0</v>
      </c>
      <c r="G40" s="641"/>
      <c r="H40" s="641"/>
      <c r="I40" s="641"/>
      <c r="J40" s="641"/>
    </row>
    <row r="41" spans="1:10" ht="18">
      <c r="A41" s="2752">
        <f t="shared" si="0"/>
        <v>0</v>
      </c>
      <c r="B41" s="2809">
        <v>7146</v>
      </c>
      <c r="C41" s="1077" t="str">
        <f t="shared" si="1"/>
        <v>收到其他与投资活动有关的现金</v>
      </c>
      <c r="D41" s="1078"/>
      <c r="E41" s="1079"/>
      <c r="F41" s="1080">
        <f t="shared" si="4"/>
        <v>0</v>
      </c>
      <c r="G41" s="641"/>
      <c r="H41" s="641"/>
      <c r="I41" s="641"/>
      <c r="J41" s="641"/>
    </row>
    <row r="42" spans="1:10" ht="18">
      <c r="A42" s="2752" t="str">
        <f t="shared" ref="A42:A65" si="5">VLOOKUP($B42,Sheet_Items,4,0)</f>
        <v>＝</v>
      </c>
      <c r="B42" s="2809">
        <v>7148</v>
      </c>
      <c r="C42" s="1073" t="str">
        <f t="shared" ref="C42:C65" si="6">VLOOKUP($B42,Sheet_Items,6,0)</f>
        <v>投资活动现金流入小计</v>
      </c>
      <c r="D42" s="1078"/>
      <c r="E42" s="1082">
        <f>SUM(E37:E41)</f>
        <v>91600000</v>
      </c>
      <c r="F42" s="1083">
        <f>SUM(F37:F41)</f>
        <v>15521086.35</v>
      </c>
      <c r="G42" s="641"/>
      <c r="H42" s="641"/>
      <c r="I42" s="641"/>
      <c r="J42" s="641"/>
    </row>
    <row r="43" spans="1:10" ht="18">
      <c r="A43" s="2752">
        <f t="shared" si="5"/>
        <v>0</v>
      </c>
      <c r="B43" s="2809">
        <v>7151</v>
      </c>
      <c r="C43" s="1077" t="str">
        <f t="shared" si="6"/>
        <v>购建固定资产、无形资产和其他长期资产支付的现金</v>
      </c>
      <c r="D43" s="1078"/>
      <c r="E43" s="1079"/>
      <c r="F43" s="1080">
        <f>IF($B43="","",IF(ISERROR(VLOOKUP($B43,Sheet_Balance1,2,0)),0,VLOOKUP($B43,Sheet_Balance1,2,0)))</f>
        <v>0</v>
      </c>
      <c r="G43" s="641"/>
      <c r="H43" s="641"/>
      <c r="I43" s="641"/>
      <c r="J43" s="641"/>
    </row>
    <row r="44" spans="1:10" ht="18">
      <c r="A44" s="2752">
        <f t="shared" si="5"/>
        <v>0</v>
      </c>
      <c r="B44" s="2809">
        <v>7161</v>
      </c>
      <c r="C44" s="1077" t="str">
        <f t="shared" si="6"/>
        <v>投资支付的现金</v>
      </c>
      <c r="D44" s="1078"/>
      <c r="E44" s="1079"/>
      <c r="F44" s="1080">
        <f>IF($B44="","",IF(ISERROR(VLOOKUP($B44,Sheet_Balance1,2,0)),0,VLOOKUP($B44,Sheet_Balance1,2,0)))</f>
        <v>0</v>
      </c>
      <c r="G44" s="641"/>
      <c r="H44" s="641"/>
      <c r="I44" s="641"/>
      <c r="J44" s="641"/>
    </row>
    <row r="45" spans="1:10" ht="18">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8">
      <c r="A46" s="2752">
        <f t="shared" si="5"/>
        <v>0</v>
      </c>
      <c r="B46" s="2809">
        <v>7171</v>
      </c>
      <c r="C46" s="1077" t="str">
        <f t="shared" si="6"/>
        <v>取得子公司及其他营业单位支付的现金净额</v>
      </c>
      <c r="D46" s="1078"/>
      <c r="E46" s="1079"/>
      <c r="F46" s="1080">
        <f>IF($B46="","",IF(ISERROR(VLOOKUP($B46,Sheet_Balance1,2,0)),0,VLOOKUP($B46,Sheet_Balance1,2,0)))</f>
        <v>95600000</v>
      </c>
      <c r="G46" s="641"/>
      <c r="H46" s="641"/>
      <c r="I46" s="641"/>
      <c r="J46" s="641"/>
    </row>
    <row r="47" spans="1:10" ht="18">
      <c r="A47" s="2752">
        <f t="shared" si="5"/>
        <v>0</v>
      </c>
      <c r="B47" s="2809">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2" t="str">
        <f t="shared" si="5"/>
        <v>＝</v>
      </c>
      <c r="B48" s="2809">
        <v>7198</v>
      </c>
      <c r="C48" s="1073" t="str">
        <f t="shared" si="6"/>
        <v>投资活动现金流出小计</v>
      </c>
      <c r="D48" s="1078"/>
      <c r="E48" s="1082">
        <f>SUM(E43:E47)</f>
        <v>0</v>
      </c>
      <c r="F48" s="1083">
        <f>SUM(F43:F47)</f>
        <v>95600000</v>
      </c>
      <c r="G48" s="641"/>
      <c r="H48" s="641"/>
      <c r="I48" s="641"/>
      <c r="J48" s="641"/>
    </row>
    <row r="49" spans="1:10" ht="18">
      <c r="A49" s="2752" t="str">
        <f t="shared" si="5"/>
        <v>＝</v>
      </c>
      <c r="B49" s="2809">
        <v>7199</v>
      </c>
      <c r="C49" s="1073" t="str">
        <f t="shared" si="6"/>
        <v>投资活动产生的现金流量净额</v>
      </c>
      <c r="D49" s="1078"/>
      <c r="E49" s="1082">
        <f>SUM(E42,-E48)</f>
        <v>91600000</v>
      </c>
      <c r="F49" s="1083">
        <f>SUM(F42,-F48)</f>
        <v>-80078913.650000006</v>
      </c>
      <c r="G49" s="641"/>
      <c r="H49" s="641"/>
      <c r="I49" s="641"/>
      <c r="J49" s="641"/>
    </row>
    <row r="50" spans="1:10" ht="18">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2">
        <f t="shared" si="5"/>
        <v>0</v>
      </c>
      <c r="B51" s="2809">
        <v>7201</v>
      </c>
      <c r="C51" s="1077" t="str">
        <f t="shared" si="6"/>
        <v>吸收投资收到的现金</v>
      </c>
      <c r="D51" s="1078"/>
      <c r="E51" s="1079"/>
      <c r="F51" s="1080">
        <f>IF($B51="","",IF(ISERROR(VLOOKUP($B51,Sheet_Balance1,2,0)),0,VLOOKUP($B51,Sheet_Balance1,2,0)))</f>
        <v>0</v>
      </c>
      <c r="G51" s="641"/>
      <c r="H51" s="641"/>
      <c r="I51" s="641"/>
      <c r="J51" s="641"/>
    </row>
    <row r="52" spans="1:10" ht="18">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2">
        <f t="shared" si="5"/>
        <v>0</v>
      </c>
      <c r="B53" s="2809">
        <v>7211</v>
      </c>
      <c r="C53" s="1077" t="str">
        <f t="shared" si="6"/>
        <v>取得借款收到的现金</v>
      </c>
      <c r="D53" s="1078"/>
      <c r="E53" s="1079"/>
      <c r="F53" s="1080">
        <f>IF($B53="","",IF(ISERROR(VLOOKUP($B53,Sheet_Balance1,2,0)),0,VLOOKUP($B53,Sheet_Balance1,2,0)))</f>
        <v>0</v>
      </c>
      <c r="G53" s="641"/>
      <c r="H53" s="641"/>
      <c r="I53" s="641"/>
      <c r="J53" s="641"/>
    </row>
    <row r="54" spans="1:10" ht="18">
      <c r="A54" s="2752">
        <f t="shared" si="5"/>
        <v>0</v>
      </c>
      <c r="B54" s="2809">
        <v>7246</v>
      </c>
      <c r="C54" s="1077" t="str">
        <f t="shared" si="6"/>
        <v>收到其他与筹资活动有关的现金</v>
      </c>
      <c r="D54" s="1078"/>
      <c r="E54" s="1079"/>
      <c r="F54" s="1080">
        <f>IF($B54="","",IF(ISERROR(VLOOKUP($B54,Sheet_Balance1,2,0)),0,VLOOKUP($B54,Sheet_Balance1,2,0)))</f>
        <v>0</v>
      </c>
      <c r="G54" s="641"/>
      <c r="H54" s="641"/>
      <c r="I54" s="641"/>
      <c r="J54" s="641"/>
    </row>
    <row r="55" spans="1:10" ht="18">
      <c r="A55" s="2752" t="str">
        <f t="shared" si="5"/>
        <v>＝</v>
      </c>
      <c r="B55" s="2809">
        <v>7248</v>
      </c>
      <c r="C55" s="1073" t="str">
        <f t="shared" si="6"/>
        <v>筹资活动现金流入小计</v>
      </c>
      <c r="D55" s="1078"/>
      <c r="E55" s="1082">
        <f>SUM(E51,E53:E54)</f>
        <v>0</v>
      </c>
      <c r="F55" s="1083">
        <f>SUM(F51,F53:F54)</f>
        <v>0</v>
      </c>
      <c r="G55" s="641"/>
      <c r="H55" s="641"/>
      <c r="I55" s="641"/>
      <c r="J55" s="641"/>
    </row>
    <row r="56" spans="1:10" ht="18">
      <c r="A56" s="2752">
        <f t="shared" si="5"/>
        <v>0</v>
      </c>
      <c r="B56" s="2809">
        <v>7251</v>
      </c>
      <c r="C56" s="1077" t="str">
        <f t="shared" si="6"/>
        <v>偿还债务支付的现金</v>
      </c>
      <c r="D56" s="1078"/>
      <c r="E56" s="1079"/>
      <c r="F56" s="1080">
        <f>IF($B56="","",IF(ISERROR(VLOOKUP($B56,Sheet_Balance1,2,0)),0,VLOOKUP($B56,Sheet_Balance1,2,0)))</f>
        <v>0</v>
      </c>
      <c r="G56" s="641"/>
      <c r="H56" s="641"/>
      <c r="I56" s="641"/>
      <c r="J56" s="641"/>
    </row>
    <row r="57" spans="1:10" ht="18">
      <c r="A57" s="2752">
        <f t="shared" si="5"/>
        <v>0</v>
      </c>
      <c r="B57" s="2809">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2">
        <f t="shared" si="5"/>
        <v>0</v>
      </c>
      <c r="B59" s="2809">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2" t="str">
        <f t="shared" si="5"/>
        <v>＝</v>
      </c>
      <c r="B60" s="2809">
        <v>7298</v>
      </c>
      <c r="C60" s="1073" t="str">
        <f t="shared" si="6"/>
        <v>筹资活动现金流出小计</v>
      </c>
      <c r="D60" s="1078"/>
      <c r="E60" s="1082">
        <f>SUM(E56:E57,E59)</f>
        <v>0</v>
      </c>
      <c r="F60" s="1083">
        <f>SUM(F56:F57,F59)</f>
        <v>0</v>
      </c>
      <c r="G60" s="641"/>
      <c r="H60" s="641"/>
      <c r="I60" s="641"/>
      <c r="J60" s="641"/>
    </row>
    <row r="61" spans="1:10" ht="18">
      <c r="A61" s="2752" t="str">
        <f t="shared" si="5"/>
        <v>＝</v>
      </c>
      <c r="B61" s="2809">
        <v>7299</v>
      </c>
      <c r="C61" s="1073" t="str">
        <f t="shared" si="6"/>
        <v>筹资活动产生的现金流量净额</v>
      </c>
      <c r="D61" s="1078"/>
      <c r="E61" s="1082">
        <f>SUM(E55,-E60)</f>
        <v>0</v>
      </c>
      <c r="F61" s="1083">
        <f>SUM(F55,-F60)</f>
        <v>0</v>
      </c>
      <c r="G61" s="641"/>
      <c r="H61" s="641"/>
      <c r="I61" s="641"/>
      <c r="J61" s="641"/>
    </row>
    <row r="62" spans="1:10" ht="18">
      <c r="A62" s="2752">
        <f t="shared" si="5"/>
        <v>0</v>
      </c>
      <c r="B62" s="2809">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8">
      <c r="A63" s="2752" t="str">
        <f t="shared" si="5"/>
        <v>＝</v>
      </c>
      <c r="B63" s="2809">
        <v>7348</v>
      </c>
      <c r="C63" s="1073" t="str">
        <f t="shared" si="6"/>
        <v>五、现金及现金等价物净增加额</v>
      </c>
      <c r="D63" s="1078"/>
      <c r="E63" s="1082">
        <f>SUM(E35,E49,E61,E62)</f>
        <v>4208359.53</v>
      </c>
      <c r="F63" s="1083">
        <f>SUM(F35,F49,F61,F62)</f>
        <v>-2292045.13</v>
      </c>
      <c r="G63" s="641"/>
      <c r="H63" s="641"/>
      <c r="I63" s="641"/>
      <c r="J63" s="641"/>
    </row>
    <row r="64" spans="1:10" ht="18">
      <c r="A64" s="2752">
        <f t="shared" si="5"/>
        <v>0</v>
      </c>
      <c r="B64" s="2809">
        <v>7349</v>
      </c>
      <c r="C64" s="1084" t="str">
        <f t="shared" si="6"/>
        <v>加：期初现金及现金等价物余额</v>
      </c>
      <c r="D64" s="1078"/>
      <c r="E64" s="1079">
        <f>F65</f>
        <v>91308.84</v>
      </c>
      <c r="F64" s="1080">
        <f>IF($B64="","",IF(ISERROR(VLOOKUP($B64,Sheet_Balance1,2,0)),0,VLOOKUP($B64,Sheet_Balance1,2,0)))</f>
        <v>2383353.9700000002</v>
      </c>
      <c r="G64" s="641"/>
      <c r="H64" s="641"/>
      <c r="I64" s="641"/>
      <c r="J64" s="641"/>
    </row>
    <row r="65" spans="1:10" ht="18">
      <c r="A65" s="2752" t="str">
        <f t="shared" si="5"/>
        <v>＝</v>
      </c>
      <c r="B65" s="2809">
        <v>7399</v>
      </c>
      <c r="C65" s="1086" t="str">
        <f t="shared" si="6"/>
        <v>六、期末现金及现金等价物余额</v>
      </c>
      <c r="D65" s="1087"/>
      <c r="E65" s="1088">
        <f>SUM(E63,E64)</f>
        <v>4299668.37</v>
      </c>
      <c r="F65" s="1089">
        <f>SUM(F63,F64)</f>
        <v>91308.84</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3066">
        <f>E65-preBS!F10</f>
        <v>0</v>
      </c>
      <c r="F67" s="3066">
        <f>F65-preBS!G10</f>
        <v>0</v>
      </c>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7"/>
        <v>0</v>
      </c>
      <c r="B71" s="2809">
        <v>7502</v>
      </c>
      <c r="C71" s="1101" t="str">
        <f t="shared" si="8"/>
        <v>净利润</v>
      </c>
      <c r="D71" s="1098"/>
      <c r="E71" s="1099">
        <f>VLOOKUP(6799,Sheet_Trialbal,3,0)</f>
        <v>-2563240.34</v>
      </c>
      <c r="F71" s="1100">
        <f>VLOOKUP(6799,Sheet_Trialbal,7,0)</f>
        <v>2563577.15</v>
      </c>
      <c r="G71" s="709"/>
      <c r="H71" s="709"/>
      <c r="I71" s="709"/>
      <c r="J71" s="641"/>
    </row>
    <row r="72" spans="1:10" ht="18">
      <c r="A72" s="2830">
        <f t="shared" si="7"/>
        <v>0</v>
      </c>
      <c r="B72" s="2809">
        <v>7503</v>
      </c>
      <c r="C72" s="1101" t="str">
        <f>VLOOKUP($B72,Sheet_Items,6,0)</f>
        <v>加：资产减值准备</v>
      </c>
      <c r="D72" s="1098"/>
      <c r="E72" s="1099"/>
      <c r="F72" s="1100">
        <f t="shared" ref="F72:F87" si="9">IF($B72="","",IF(ISERROR(VLOOKUP($B72,Sheet_Balance1,2,0)),0,VLOOKUP($B72,Sheet_Balance1,2,0)))</f>
        <v>0</v>
      </c>
      <c r="G72" s="709"/>
      <c r="H72" s="709"/>
      <c r="I72" s="709"/>
      <c r="J72" s="641"/>
    </row>
    <row r="73" spans="1:10" ht="18">
      <c r="A73" s="2830" t="str">
        <f>VLOOKUP($B73,Sheet_Items,4,0)</f>
        <v>_JR</v>
      </c>
      <c r="B73" s="2809">
        <v>7504</v>
      </c>
      <c r="C73" s="1102" t="str">
        <f>VLOOKUP($B73,Sheet_Items,6,0)</f>
        <v>信用减值损失</v>
      </c>
      <c r="D73" s="1098"/>
      <c r="E73" s="1099"/>
      <c r="F73" s="1100">
        <f t="shared" si="9"/>
        <v>0</v>
      </c>
      <c r="G73" s="709"/>
      <c r="H73" s="709"/>
      <c r="I73" s="709"/>
      <c r="J73" s="641"/>
    </row>
    <row r="74" spans="1:10" ht="24">
      <c r="A74" s="2830">
        <f t="shared" si="7"/>
        <v>0</v>
      </c>
      <c r="B74" s="2809">
        <v>7505</v>
      </c>
      <c r="C74" s="1656" t="str">
        <f t="shared" si="8"/>
        <v>固定资产折旧、投资性房地产折旧、油气资产折耗、生产性生物资产折旧</v>
      </c>
      <c r="D74" s="1098"/>
      <c r="E74" s="1099">
        <v>5521.44</v>
      </c>
      <c r="F74" s="1100">
        <f t="shared" si="9"/>
        <v>5521.44</v>
      </c>
      <c r="G74" s="709"/>
      <c r="H74" s="709"/>
      <c r="I74" s="709"/>
      <c r="J74" s="641"/>
    </row>
    <row r="75" spans="1:10" ht="18">
      <c r="A75" s="2830">
        <f t="shared" si="7"/>
        <v>0</v>
      </c>
      <c r="B75" s="2809">
        <v>7506</v>
      </c>
      <c r="C75" s="1656" t="str">
        <f t="shared" si="8"/>
        <v>无形资产摊销</v>
      </c>
      <c r="D75" s="1098"/>
      <c r="E75" s="1099"/>
      <c r="F75" s="1100">
        <f t="shared" si="9"/>
        <v>0</v>
      </c>
      <c r="G75" s="709"/>
      <c r="H75" s="709"/>
      <c r="I75" s="709"/>
      <c r="J75" s="641"/>
    </row>
    <row r="76" spans="1:10" ht="18">
      <c r="A76" s="2830">
        <f t="shared" si="7"/>
        <v>0</v>
      </c>
      <c r="B76" s="2809">
        <v>7507</v>
      </c>
      <c r="C76" s="1656" t="str">
        <f t="shared" si="8"/>
        <v>长期待摊费用摊销</v>
      </c>
      <c r="D76" s="1098"/>
      <c r="E76" s="1099"/>
      <c r="F76" s="1100">
        <f t="shared" si="9"/>
        <v>0</v>
      </c>
      <c r="G76" s="709"/>
      <c r="H76" s="709"/>
      <c r="I76" s="709"/>
      <c r="J76" s="641"/>
    </row>
    <row r="77" spans="1:10" ht="24">
      <c r="A77" s="2830">
        <f t="shared" si="7"/>
        <v>0</v>
      </c>
      <c r="B77" s="2809">
        <v>7508</v>
      </c>
      <c r="C77" s="1656" t="str">
        <f t="shared" si="8"/>
        <v>处置固定资产、无形资产和其他长期资产的损失（收益以“－”号填列）</v>
      </c>
      <c r="D77" s="1098"/>
      <c r="E77" s="1099"/>
      <c r="F77" s="1100">
        <f t="shared" si="9"/>
        <v>0</v>
      </c>
      <c r="G77" s="709"/>
      <c r="H77" s="709"/>
      <c r="I77" s="709"/>
      <c r="J77" s="641"/>
    </row>
    <row r="78" spans="1:10" ht="18">
      <c r="A78" s="2830">
        <f t="shared" si="7"/>
        <v>0</v>
      </c>
      <c r="B78" s="2809">
        <v>7509</v>
      </c>
      <c r="C78" s="1656" t="str">
        <f t="shared" si="8"/>
        <v>固定资产报废损失（收益以“－”号填列）</v>
      </c>
      <c r="D78" s="1098"/>
      <c r="E78" s="1099"/>
      <c r="F78" s="1100">
        <f t="shared" si="9"/>
        <v>0</v>
      </c>
      <c r="G78" s="709"/>
      <c r="H78" s="709"/>
      <c r="I78" s="709"/>
      <c r="J78" s="641"/>
    </row>
    <row r="79" spans="1:10" ht="18">
      <c r="A79" s="2830">
        <f t="shared" si="7"/>
        <v>0</v>
      </c>
      <c r="B79" s="2809">
        <v>7510</v>
      </c>
      <c r="C79" s="1656" t="str">
        <f t="shared" si="8"/>
        <v>公允价值变动损失（收益以“－”号填列）</v>
      </c>
      <c r="D79" s="1098"/>
      <c r="E79" s="1099"/>
      <c r="F79" s="1100">
        <f t="shared" si="9"/>
        <v>0</v>
      </c>
      <c r="G79" s="709"/>
      <c r="H79" s="709"/>
      <c r="I79" s="709"/>
      <c r="J79" s="641"/>
    </row>
    <row r="80" spans="1:10" ht="18">
      <c r="A80" s="2830">
        <f t="shared" si="7"/>
        <v>0</v>
      </c>
      <c r="B80" s="2809">
        <v>7511</v>
      </c>
      <c r="C80" s="1656" t="str">
        <f t="shared" si="8"/>
        <v>财务费用（收益以“－”号填列）</v>
      </c>
      <c r="D80" s="1098"/>
      <c r="E80" s="1099"/>
      <c r="F80" s="1100">
        <f t="shared" si="9"/>
        <v>0</v>
      </c>
      <c r="G80" s="709"/>
      <c r="H80" s="709"/>
      <c r="I80" s="709"/>
      <c r="J80" s="641"/>
    </row>
    <row r="81" spans="1:12" ht="18">
      <c r="A81" s="2830">
        <f t="shared" si="7"/>
        <v>0</v>
      </c>
      <c r="B81" s="2809">
        <v>7512</v>
      </c>
      <c r="C81" s="1656" t="str">
        <f t="shared" si="8"/>
        <v>投资损失（收益以“－”号填列）</v>
      </c>
      <c r="D81" s="1098"/>
      <c r="E81" s="1099"/>
      <c r="F81" s="1100">
        <f t="shared" si="9"/>
        <v>-5521086.3499999996</v>
      </c>
      <c r="G81" s="709"/>
      <c r="H81" s="709"/>
      <c r="I81" s="709"/>
      <c r="J81" s="641"/>
    </row>
    <row r="82" spans="1:12" ht="18">
      <c r="A82" s="2830">
        <f t="shared" si="7"/>
        <v>0</v>
      </c>
      <c r="B82" s="2809">
        <v>7515</v>
      </c>
      <c r="C82" s="1656" t="str">
        <f t="shared" si="8"/>
        <v>递延所得税资产减少（增加以“－”号填列）</v>
      </c>
      <c r="D82" s="1098"/>
      <c r="E82" s="1099"/>
      <c r="F82" s="1100">
        <f t="shared" si="9"/>
        <v>-937117.56</v>
      </c>
      <c r="G82" s="709"/>
      <c r="H82" s="709"/>
      <c r="I82" s="709"/>
      <c r="J82" s="641"/>
    </row>
    <row r="83" spans="1:12" ht="18">
      <c r="A83" s="2830">
        <f t="shared" si="7"/>
        <v>0</v>
      </c>
      <c r="B83" s="2809">
        <v>7516</v>
      </c>
      <c r="C83" s="1656" t="str">
        <f t="shared" si="8"/>
        <v>递延所得税负债增加（减少以“－”号填列）</v>
      </c>
      <c r="D83" s="1098"/>
      <c r="E83" s="1099"/>
      <c r="F83" s="1100">
        <f t="shared" si="9"/>
        <v>0</v>
      </c>
      <c r="G83" s="709"/>
      <c r="H83" s="709"/>
      <c r="I83" s="709"/>
      <c r="J83" s="641"/>
    </row>
    <row r="84" spans="1:12" ht="18">
      <c r="A84" s="2830">
        <f t="shared" si="7"/>
        <v>0</v>
      </c>
      <c r="B84" s="2809">
        <v>7517</v>
      </c>
      <c r="C84" s="1656" t="str">
        <f t="shared" si="8"/>
        <v>存货的减少（增加以“－”号填列）</v>
      </c>
      <c r="D84" s="1098"/>
      <c r="E84" s="1099">
        <v>17540765.449999999</v>
      </c>
      <c r="F84" s="1100">
        <f t="shared" si="9"/>
        <v>-17540765.449999999</v>
      </c>
      <c r="G84" s="709"/>
      <c r="H84" s="709"/>
      <c r="I84" s="709"/>
      <c r="J84" s="641"/>
    </row>
    <row r="85" spans="1:12" ht="18">
      <c r="A85" s="2830">
        <f t="shared" si="7"/>
        <v>0</v>
      </c>
      <c r="B85" s="2809">
        <v>7518</v>
      </c>
      <c r="C85" s="1656" t="str">
        <f t="shared" si="8"/>
        <v>经营性应收项目的减少（增加以“－”号填列）</v>
      </c>
      <c r="D85" s="1098"/>
      <c r="E85" s="1099">
        <v>-68922970.75</v>
      </c>
      <c r="F85" s="1100">
        <f t="shared" si="9"/>
        <v>72371151.260000005</v>
      </c>
      <c r="G85" s="709"/>
      <c r="H85" s="709"/>
      <c r="I85" s="709"/>
      <c r="J85" s="641"/>
    </row>
    <row r="86" spans="1:12" ht="18">
      <c r="A86" s="2830">
        <f t="shared" si="7"/>
        <v>0</v>
      </c>
      <c r="B86" s="2809">
        <v>7519</v>
      </c>
      <c r="C86" s="1656" t="str">
        <f t="shared" si="8"/>
        <v>经营性应付项目的增加（减少以“－”号填列）</v>
      </c>
      <c r="D86" s="1098"/>
      <c r="E86" s="1099">
        <v>-33632216.270000003</v>
      </c>
      <c r="F86" s="1100">
        <f t="shared" si="9"/>
        <v>26845588.030000001</v>
      </c>
      <c r="G86" s="709"/>
      <c r="H86" s="709"/>
      <c r="I86" s="709"/>
      <c r="J86" s="641"/>
    </row>
    <row r="87" spans="1:12" ht="18">
      <c r="A87" s="2830">
        <f t="shared" si="7"/>
        <v>0</v>
      </c>
      <c r="B87" s="2809">
        <v>7523</v>
      </c>
      <c r="C87" s="1656" t="str">
        <f t="shared" si="8"/>
        <v>其他</v>
      </c>
      <c r="D87" s="1098"/>
      <c r="E87" s="1099"/>
      <c r="F87" s="1100">
        <f t="shared" si="9"/>
        <v>0</v>
      </c>
      <c r="G87" s="709"/>
      <c r="H87" s="709"/>
      <c r="I87" s="709"/>
      <c r="J87" s="641"/>
    </row>
    <row r="88" spans="1:12" ht="18">
      <c r="A88" s="2830" t="str">
        <f t="shared" si="7"/>
        <v>＝</v>
      </c>
      <c r="B88" s="2809">
        <v>7525</v>
      </c>
      <c r="C88" s="1103" t="str">
        <f t="shared" si="8"/>
        <v>经营活动产生的现金流量净额</v>
      </c>
      <c r="D88" s="1098"/>
      <c r="E88" s="1104">
        <f>SUM(E71:E87)</f>
        <v>-87572140.469999999</v>
      </c>
      <c r="F88" s="1105">
        <f>SUM(F71:F87)</f>
        <v>77786868.519999996</v>
      </c>
      <c r="G88" s="709"/>
      <c r="H88" s="709"/>
      <c r="I88" s="709"/>
      <c r="J88" s="641"/>
    </row>
    <row r="89" spans="1:12" ht="18">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8">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8">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30">
        <f t="shared" si="7"/>
        <v>0</v>
      </c>
      <c r="B94" s="2809">
        <v>7535</v>
      </c>
      <c r="C94" s="1101" t="str">
        <f t="shared" si="8"/>
        <v>现金的期末余额</v>
      </c>
      <c r="D94" s="1098"/>
      <c r="E94" s="1099">
        <f>VLOOKUP(1015,Sheet_Trialbal,3,0)</f>
        <v>4299668.37</v>
      </c>
      <c r="F94" s="1100">
        <f>VLOOKUP(1015,Sheet_Trialbal,7,0)</f>
        <v>91308.84</v>
      </c>
      <c r="G94" s="709"/>
      <c r="H94" s="1106" t="s">
        <v>2589</v>
      </c>
      <c r="I94" s="1127"/>
      <c r="J94" s="1092"/>
      <c r="K94" s="1128"/>
      <c r="L94" s="1128"/>
    </row>
    <row r="95" spans="1:12" ht="18">
      <c r="A95" s="2830">
        <f t="shared" si="7"/>
        <v>0</v>
      </c>
      <c r="B95" s="2809">
        <v>7536</v>
      </c>
      <c r="C95" s="1101" t="str">
        <f t="shared" si="8"/>
        <v>减：现金的年初余额</v>
      </c>
      <c r="D95" s="1098"/>
      <c r="E95" s="1099">
        <f>VLOOKUP(1015,Sheet_Trialbal,7,0)</f>
        <v>91308.84</v>
      </c>
      <c r="F95" s="1100">
        <f>IF($B95="","",IF(ISERROR(VLOOKUP($B95,Sheet_Balance1,2,0)),0,VLOOKUP($B95,Sheet_Balance1,2,0)))</f>
        <v>2383353.9700000002</v>
      </c>
      <c r="G95" s="709"/>
      <c r="H95" s="1106" t="s">
        <v>2589</v>
      </c>
      <c r="I95" s="1127"/>
      <c r="J95" s="1092"/>
      <c r="K95" s="1128"/>
      <c r="L95" s="1128"/>
    </row>
    <row r="96" spans="1:12" ht="18">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8">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8">
      <c r="A98" s="2830" t="str">
        <f t="shared" si="7"/>
        <v>＝</v>
      </c>
      <c r="B98" s="2809">
        <v>7539</v>
      </c>
      <c r="C98" s="1107" t="str">
        <f t="shared" si="8"/>
        <v>现金及现金等价物净增加额</v>
      </c>
      <c r="D98" s="1108"/>
      <c r="E98" s="1109">
        <f>SUM(E94,-E95,E96,-E97)</f>
        <v>4208359.53</v>
      </c>
      <c r="F98" s="1110">
        <f>SUM(F94,-F95,F96,-F97)</f>
        <v>-2292045.13</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91308.84</v>
      </c>
      <c r="F103" s="1055"/>
      <c r="G103" s="709"/>
      <c r="H103" s="709"/>
      <c r="I103" s="709"/>
      <c r="J103" s="641"/>
    </row>
    <row r="104" spans="1:10" ht="18">
      <c r="A104" s="2830"/>
      <c r="B104" s="2831"/>
      <c r="C104" s="1122" t="str">
        <f>C65&amp;" | "&amp;F101</f>
        <v>六、期末现金及现金等价物余额 | 上期金额</v>
      </c>
      <c r="D104" s="1120" t="s">
        <v>578</v>
      </c>
      <c r="E104" s="1028">
        <f>F65</f>
        <v>91308.84</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-2563240.34</v>
      </c>
      <c r="F108" s="1055">
        <f>F71</f>
        <v>2563577.15</v>
      </c>
      <c r="G108" s="709"/>
      <c r="H108" s="709"/>
      <c r="I108" s="709"/>
      <c r="J108" s="641"/>
    </row>
    <row r="109" spans="1:10" ht="18">
      <c r="A109" s="2830"/>
      <c r="B109" s="2831">
        <v>6799</v>
      </c>
      <c r="C109" s="1122" t="str">
        <f>VLOOKUP($B109,Sheet_Items,2,0)</f>
        <v>净利润</v>
      </c>
      <c r="D109" s="1120" t="s">
        <v>441</v>
      </c>
      <c r="E109" s="1028">
        <f>preIS!E45</f>
        <v>-2563240.34</v>
      </c>
      <c r="F109" s="1055">
        <f>preIS!F45</f>
        <v>2563577.15</v>
      </c>
      <c r="G109" s="709"/>
      <c r="H109" s="709"/>
      <c r="I109" s="709"/>
      <c r="J109" s="641"/>
    </row>
    <row r="110" spans="1:10" ht="18">
      <c r="A110" s="2830"/>
      <c r="B110" s="2831"/>
      <c r="C110" s="942" t="s">
        <v>2580</v>
      </c>
      <c r="D110" s="1120"/>
      <c r="E110" s="1032">
        <f>IF($F$68="方案B",0,ROUND(E108-E109,2))</f>
        <v>0</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-87572140.469999999</v>
      </c>
      <c r="F113" s="1055">
        <f>F88</f>
        <v>77786868.519999996</v>
      </c>
      <c r="G113" s="709"/>
      <c r="H113" s="709"/>
      <c r="I113" s="709"/>
      <c r="J113" s="641"/>
    </row>
    <row r="114" spans="1:10" ht="18">
      <c r="A114" s="2830"/>
      <c r="B114" s="2831">
        <v>7099</v>
      </c>
      <c r="C114" s="1122" t="str">
        <f>C35&amp;"（主表）"</f>
        <v>经营活动产生的现金流量净额（主表）</v>
      </c>
      <c r="D114" s="1120" t="s">
        <v>578</v>
      </c>
      <c r="E114" s="1028">
        <f>E35</f>
        <v>-87391640.469999999</v>
      </c>
      <c r="F114" s="1055">
        <f>F35</f>
        <v>77786868.519999996</v>
      </c>
      <c r="G114" s="709"/>
      <c r="H114" s="709"/>
      <c r="I114" s="709"/>
      <c r="J114" s="641"/>
    </row>
    <row r="115" spans="1:10" ht="18">
      <c r="A115" s="2830"/>
      <c r="B115" s="2831"/>
      <c r="C115" s="942" t="s">
        <v>2580</v>
      </c>
      <c r="D115" s="1120"/>
      <c r="E115" s="1032">
        <f>IF($F$68="方案B",0,ROUND(E113-E114,2))</f>
        <v>-180500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4299668.37</v>
      </c>
      <c r="F117" s="1055">
        <f>SUM(F94,F96)</f>
        <v>91308.84</v>
      </c>
      <c r="G117" s="709"/>
      <c r="H117" s="709"/>
      <c r="I117" s="709"/>
      <c r="J117" s="641"/>
    </row>
    <row r="118" spans="1:10" ht="18">
      <c r="A118" s="2830"/>
      <c r="B118" s="2831">
        <v>7399</v>
      </c>
      <c r="C118" s="1122" t="str">
        <f>C65&amp;"（主表）"</f>
        <v>六、期末现金及现金等价物余额（主表）</v>
      </c>
      <c r="D118" s="1120" t="s">
        <v>578</v>
      </c>
      <c r="E118" s="1028">
        <f>E65</f>
        <v>4299668.37</v>
      </c>
      <c r="F118" s="1055">
        <f>F65</f>
        <v>91308.84</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91308.84</v>
      </c>
      <c r="F121" s="1055">
        <f>SUM(F95,F97)</f>
        <v>2383353.9700000002</v>
      </c>
      <c r="G121" s="709"/>
      <c r="H121" s="709"/>
      <c r="I121" s="709"/>
      <c r="J121" s="641"/>
    </row>
    <row r="122" spans="1:10" ht="18">
      <c r="A122" s="2830"/>
      <c r="B122" s="2831">
        <v>7349</v>
      </c>
      <c r="C122" s="1122" t="str">
        <f>C64&amp;"（主表）"</f>
        <v>加：期初现金及现金等价物余额（主表）</v>
      </c>
      <c r="D122" s="1120" t="s">
        <v>578</v>
      </c>
      <c r="E122" s="1028">
        <f>E64</f>
        <v>91308.84</v>
      </c>
      <c r="F122" s="1055">
        <f>F64</f>
        <v>2383353.9700000002</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4208359.53</v>
      </c>
      <c r="F125" s="1055">
        <f>F98</f>
        <v>-2292045.13</v>
      </c>
      <c r="G125" s="709"/>
      <c r="H125" s="709"/>
      <c r="I125" s="709"/>
      <c r="J125" s="641"/>
    </row>
    <row r="126" spans="1:10" ht="18">
      <c r="A126" s="2830"/>
      <c r="B126" s="2831">
        <v>7348</v>
      </c>
      <c r="C126" s="1122" t="str">
        <f>C63&amp;"（主表）"</f>
        <v>五、现金及现金等价物净增加额（主表）</v>
      </c>
      <c r="D126" s="1120" t="s">
        <v>578</v>
      </c>
      <c r="E126" s="1028">
        <f>E63</f>
        <v>4208359.53</v>
      </c>
      <c r="F126" s="1055">
        <f>F63</f>
        <v>-2292045.13</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-180500</v>
      </c>
      <c r="F129" s="1131">
        <f>SUMIF($C102:$C128,"差       异",F102:F128)</f>
        <v>0</v>
      </c>
      <c r="H129" s="1132" t="str">
        <f>IF(E129+F129=0,"Balanced","Diff "&amp;TEXT(ROUND(E129+F129,2),"#,###.00"))</f>
        <v>Diff -180,500.00</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CJML+0aK7mz2WL3a5lylkvZnt9oYXimbPpG3zYcO2GlLthbJkk5TvMB5iBTEkSajbQO1qKjfKsu/4p4PVUYJNg==" saltValue="/WvzHqKk6OkgdbdZRDajBg==" spinCount="100000" sheet="1" scenarios="1" formatCells="0" autoFilter="0"/>
  <phoneticPr fontId="163" type="noConversion"/>
  <conditionalFormatting sqref="H2">
    <cfRule type="expression" dxfId="4085" priority="6" stopIfTrue="1">
      <formula>$H$2&lt;&gt;""</formula>
    </cfRule>
  </conditionalFormatting>
  <conditionalFormatting sqref="C9:F64">
    <cfRule type="expression" dxfId="4084" priority="1" stopIfTrue="1">
      <formula>AND($A9&lt;&gt;"＝",MOD(ROW(),3)=0)</formula>
    </cfRule>
    <cfRule type="expression" dxfId="4083" priority="2" stopIfTrue="1">
      <formula>$A9="："</formula>
    </cfRule>
    <cfRule type="expression" dxfId="4082" priority="3" stopIfTrue="1">
      <formula>$A9="＝"</formula>
    </cfRule>
  </conditionalFormatting>
  <conditionalFormatting sqref="E129:F129 E115:F115 E110:F110 E119:F119 E123:F123 E127:F127 E105:F105">
    <cfRule type="cellIs" dxfId="4081"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workbookViewId="0">
      <selection activeCell="F34" sqref="F34"/>
    </sheetView>
  </sheetViews>
  <sheetFormatPr defaultRowHeight="12"/>
  <cols>
    <col min="1" max="2" width="15.28515625" bestFit="1" customWidth="1"/>
    <col min="3" max="3" width="17.5703125" bestFit="1" customWidth="1"/>
    <col min="4" max="4" width="15.28515625" bestFit="1" customWidth="1"/>
    <col min="5" max="5" width="16.42578125" bestFit="1" customWidth="1"/>
    <col min="8" max="8" width="15.28515625" bestFit="1" customWidth="1"/>
  </cols>
  <sheetData>
    <row r="1" spans="1:5">
      <c r="A1" s="3188" t="s">
        <v>6914</v>
      </c>
    </row>
    <row r="3" spans="1:5">
      <c r="A3" s="3188" t="s">
        <v>6915</v>
      </c>
    </row>
    <row r="5" spans="1:5">
      <c r="B5" s="3188" t="s">
        <v>6916</v>
      </c>
      <c r="C5" s="3188" t="s">
        <v>6917</v>
      </c>
      <c r="D5" s="3188" t="s">
        <v>6921</v>
      </c>
    </row>
    <row r="6" spans="1:5" ht="12.75">
      <c r="A6" s="3188" t="s">
        <v>6922</v>
      </c>
      <c r="B6" s="3191">
        <f>BS!G13</f>
        <v>1200000</v>
      </c>
      <c r="C6" s="3191">
        <f>BS!H13</f>
        <v>0</v>
      </c>
      <c r="E6" s="3191">
        <f>C6-B6</f>
        <v>-1200000</v>
      </c>
    </row>
    <row r="7" spans="1:5" ht="12.75">
      <c r="A7" s="3188" t="s">
        <v>6918</v>
      </c>
      <c r="E7" s="3191">
        <f t="shared" ref="E7" si="0">C7-B7</f>
        <v>0</v>
      </c>
    </row>
    <row r="8" spans="1:5" ht="12.75">
      <c r="A8" s="3188" t="s">
        <v>6919</v>
      </c>
      <c r="D8" s="3191">
        <f>IS!E7</f>
        <v>20266366.969999999</v>
      </c>
      <c r="E8" s="3191">
        <f>D8</f>
        <v>20266366.969999999</v>
      </c>
    </row>
    <row r="9" spans="1:5" ht="12.75">
      <c r="A9" s="3188" t="s">
        <v>6920</v>
      </c>
      <c r="D9" s="3191">
        <v>2971864.03</v>
      </c>
      <c r="E9" s="3191">
        <f>D9</f>
        <v>2971864.03</v>
      </c>
    </row>
    <row r="10" spans="1:5" ht="12.75">
      <c r="E10" s="3191">
        <f>SUM(E6:E9)</f>
        <v>22038231</v>
      </c>
    </row>
    <row r="11" spans="1:5" ht="12.75">
      <c r="E11" s="3191">
        <f>E10-preCF!E10</f>
        <v>-35000000</v>
      </c>
    </row>
    <row r="14" spans="1:5">
      <c r="A14" s="3188" t="s">
        <v>6923</v>
      </c>
    </row>
    <row r="15" spans="1:5" ht="12.75">
      <c r="B15" s="3188" t="s">
        <v>6916</v>
      </c>
      <c r="C15" s="3188" t="s">
        <v>6917</v>
      </c>
      <c r="D15" s="3193" t="s">
        <v>6924</v>
      </c>
    </row>
    <row r="16" spans="1:5" ht="12.75">
      <c r="A16" t="s">
        <v>489</v>
      </c>
      <c r="B16" s="3191">
        <v>626599.09</v>
      </c>
      <c r="C16" s="3191">
        <v>306477.86</v>
      </c>
      <c r="E16" s="3191">
        <f>C16-B16</f>
        <v>-320121.23</v>
      </c>
    </row>
    <row r="17" spans="1:8" ht="12.75">
      <c r="A17" s="3188" t="s">
        <v>6819</v>
      </c>
      <c r="D17" s="3191">
        <f>Notes!H4697</f>
        <v>4812405.33</v>
      </c>
      <c r="E17" s="3191">
        <f>D17</f>
        <v>4812405.33</v>
      </c>
    </row>
    <row r="18" spans="1:8" ht="12.75">
      <c r="E18" s="3191">
        <f>SUM(E16:E17)</f>
        <v>4492284.0999999996</v>
      </c>
      <c r="H18" s="3189"/>
    </row>
    <row r="19" spans="1:8" ht="12.75">
      <c r="E19" s="3191">
        <f>E18-preCF!E31</f>
        <v>40488.42</v>
      </c>
      <c r="H19" s="3191"/>
    </row>
    <row r="20" spans="1:8" ht="12.75">
      <c r="H20" s="3191"/>
    </row>
    <row r="21" spans="1:8" ht="12.75">
      <c r="A21" s="3188" t="s">
        <v>6925</v>
      </c>
      <c r="B21" s="3188" t="s">
        <v>6916</v>
      </c>
      <c r="C21" s="3188" t="s">
        <v>6917</v>
      </c>
      <c r="D21" s="3193" t="s">
        <v>6924</v>
      </c>
      <c r="E21" s="3191"/>
    </row>
    <row r="22" spans="1:8" ht="12.75">
      <c r="A22" s="3188" t="s">
        <v>6926</v>
      </c>
      <c r="B22" s="3191">
        <v>95790.66</v>
      </c>
      <c r="C22" s="3191">
        <v>27898.14</v>
      </c>
      <c r="E22" s="3191">
        <f>C22-B22</f>
        <v>-67892.52</v>
      </c>
    </row>
    <row r="23" spans="1:8" ht="12.75">
      <c r="A23" s="3188" t="s">
        <v>6927</v>
      </c>
      <c r="D23" s="3191">
        <v>78151.759999999995</v>
      </c>
      <c r="E23" s="3191">
        <f>D23</f>
        <v>78151.759999999995</v>
      </c>
    </row>
    <row r="24" spans="1:8" ht="12.75">
      <c r="E24" s="3191">
        <f>SUM(E22:E23)</f>
        <v>10259.24</v>
      </c>
    </row>
    <row r="25" spans="1:8" ht="12.75">
      <c r="E25" s="3191">
        <f>E24-preCF!E32</f>
        <v>-32535.99</v>
      </c>
    </row>
    <row r="29" spans="1:8">
      <c r="E29" s="3194"/>
    </row>
    <row r="30" spans="1:8" ht="12.75">
      <c r="A30" s="3193"/>
      <c r="B30" s="3193"/>
      <c r="C30" s="3193"/>
      <c r="D30" s="3193"/>
    </row>
    <row r="31" spans="1:8" ht="12.75">
      <c r="A31" s="3192"/>
      <c r="B31" s="3191"/>
      <c r="C31" s="3191"/>
    </row>
    <row r="32" spans="1:8" ht="12.75">
      <c r="A32" s="3192"/>
      <c r="B32" s="3191"/>
      <c r="C32" s="3191"/>
      <c r="D32" s="3190"/>
    </row>
  </sheetData>
  <phoneticPr fontId="16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AC62" sqref="A60:AC62"/>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198" t="s">
        <v>974</v>
      </c>
      <c r="D3" s="3198"/>
      <c r="E3" s="3198"/>
      <c r="F3" s="3198"/>
      <c r="G3" s="3198"/>
      <c r="H3" s="3198"/>
      <c r="I3" s="3198"/>
      <c r="J3" s="3198"/>
      <c r="K3" s="3198"/>
      <c r="L3" s="3198"/>
      <c r="M3" s="3198"/>
      <c r="N3" s="3198"/>
      <c r="O3" s="3198"/>
      <c r="P3" s="3198"/>
      <c r="Q3" s="3198"/>
      <c r="R3" s="3198"/>
      <c r="S3" s="3198"/>
      <c r="T3" s="3198"/>
      <c r="U3" s="3198"/>
      <c r="V3" s="3198"/>
      <c r="W3" s="3198"/>
      <c r="X3" s="3198"/>
      <c r="Y3" s="3198"/>
      <c r="Z3" s="3198"/>
      <c r="AA3" s="3198"/>
      <c r="AB3" s="3198"/>
      <c r="AC3" s="1043"/>
      <c r="AD3" s="1043"/>
      <c r="AE3" s="1043"/>
      <c r="AF3" s="641"/>
      <c r="AG3" s="641"/>
      <c r="AH3" s="641"/>
      <c r="AI3" s="641"/>
    </row>
    <row r="4" spans="1:35" ht="18.75" customHeight="1">
      <c r="A4" s="2749"/>
      <c r="B4" s="2749"/>
      <c r="C4" s="3199" t="str">
        <f>Lead!$F$7</f>
        <v>2019年度</v>
      </c>
      <c r="D4" s="3199"/>
      <c r="E4" s="3199"/>
      <c r="F4" s="3199"/>
      <c r="G4" s="3199"/>
      <c r="H4" s="3199"/>
      <c r="I4" s="3199"/>
      <c r="J4" s="3199"/>
      <c r="K4" s="3199"/>
      <c r="L4" s="3199"/>
      <c r="M4" s="3199"/>
      <c r="N4" s="3199"/>
      <c r="O4" s="3199"/>
      <c r="P4" s="3199"/>
      <c r="Q4" s="3199"/>
      <c r="R4" s="3199"/>
      <c r="S4" s="3199"/>
      <c r="T4" s="3199"/>
      <c r="U4" s="3199"/>
      <c r="V4" s="3199"/>
      <c r="W4" s="3199"/>
      <c r="X4" s="3199"/>
      <c r="Y4" s="3199"/>
      <c r="Z4" s="3199"/>
      <c r="AA4" s="3199"/>
      <c r="AB4" s="3199"/>
      <c r="AC4" s="965"/>
      <c r="AD4" s="965"/>
      <c r="AE4" s="833" t="s">
        <v>2607</v>
      </c>
      <c r="AF4" s="641"/>
      <c r="AG4" s="641"/>
      <c r="AH4" s="641"/>
      <c r="AI4" s="641"/>
    </row>
    <row r="5" spans="1:35" ht="18.75" customHeight="1">
      <c r="A5" s="2749"/>
      <c r="B5" s="2749"/>
      <c r="C5" s="966" t="str">
        <f>Lead!$B$5&amp;"："&amp;Lead!$C$5</f>
        <v>编制单位：北京天马金信供应链管理有限公司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6640</v>
      </c>
      <c r="E6" s="969"/>
      <c r="F6" s="969"/>
      <c r="G6" s="969"/>
      <c r="H6" s="970"/>
      <c r="I6" s="970"/>
      <c r="J6" s="970"/>
      <c r="K6" s="970"/>
      <c r="L6" s="970"/>
      <c r="M6" s="970"/>
      <c r="N6" s="970"/>
      <c r="O6" s="970"/>
      <c r="P6" s="970"/>
      <c r="Q6" s="1015"/>
      <c r="R6" s="1016" t="s">
        <v>6641</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200" t="s">
        <v>713</v>
      </c>
      <c r="E7" s="3201"/>
      <c r="F7" s="3201"/>
      <c r="G7" s="3201"/>
      <c r="H7" s="3201"/>
      <c r="I7" s="3201"/>
      <c r="J7" s="3201"/>
      <c r="K7" s="3201"/>
      <c r="L7" s="3201"/>
      <c r="M7" s="3201"/>
      <c r="N7" s="3201"/>
      <c r="O7" s="3202"/>
      <c r="P7" s="1008"/>
      <c r="Q7" s="1017"/>
      <c r="R7" s="3203" t="s">
        <v>713</v>
      </c>
      <c r="S7" s="3201"/>
      <c r="T7" s="3201"/>
      <c r="U7" s="3201"/>
      <c r="V7" s="3201"/>
      <c r="W7" s="3201"/>
      <c r="X7" s="3201"/>
      <c r="Y7" s="3201"/>
      <c r="Z7" s="3201"/>
      <c r="AA7" s="3201"/>
      <c r="AB7" s="3201"/>
      <c r="AC7" s="3202"/>
      <c r="AD7" s="1008"/>
      <c r="AE7" s="1046"/>
      <c r="AF7" s="641"/>
      <c r="AG7" s="641"/>
      <c r="AH7" s="641"/>
      <c r="AI7" s="641"/>
    </row>
    <row r="8" spans="1:35" ht="36">
      <c r="A8" s="2749" t="s">
        <v>2556</v>
      </c>
      <c r="B8" s="2749"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f>R40</f>
        <v>100000000</v>
      </c>
      <c r="E9" s="918"/>
      <c r="F9" s="918"/>
      <c r="G9" s="918"/>
      <c r="H9" s="918"/>
      <c r="I9" s="918"/>
      <c r="J9" s="918"/>
      <c r="K9" s="918"/>
      <c r="L9" s="918">
        <f>Z40</f>
        <v>418369.59</v>
      </c>
      <c r="M9" s="918"/>
      <c r="N9" s="918">
        <f>AB40</f>
        <v>3765326.31</v>
      </c>
      <c r="O9" s="918"/>
      <c r="P9" s="918"/>
      <c r="Q9" s="1020">
        <f>SUM(D9:H9,-I9,J9:P9)</f>
        <v>104183695.90000001</v>
      </c>
      <c r="R9" s="1021">
        <f>IF(ISERROR(VLOOKUP(VALUE(R$2&amp;$B9),Sheet_Balance1,2,0)),0,VLOOKUP(VALUE(R$2&amp;$B9),Sheet_Balance1,2,0))</f>
        <v>100000000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162011.87</v>
      </c>
      <c r="AA9" s="918">
        <f t="shared" si="3"/>
        <v>0</v>
      </c>
      <c r="AB9" s="918">
        <f t="shared" si="3"/>
        <v>1458106.88</v>
      </c>
      <c r="AC9" s="918">
        <f t="shared" si="3"/>
        <v>0</v>
      </c>
      <c r="AD9" s="918">
        <f t="shared" si="3"/>
        <v>0</v>
      </c>
      <c r="AE9" s="1049">
        <f>SUM(R9:V9,-W9,X9:AD9)</f>
        <v>101620118.75</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100000000</v>
      </c>
      <c r="E14" s="885">
        <f>SUM(E9:E13)</f>
        <v>0</v>
      </c>
      <c r="F14" s="885">
        <f>SUM(F9:F13)</f>
        <v>0</v>
      </c>
      <c r="G14" s="885">
        <f>SUM(G9:G13)</f>
        <v>0</v>
      </c>
      <c r="H14" s="885">
        <f t="shared" ref="H14:P14" si="6">SUM(H9:H13)</f>
        <v>0</v>
      </c>
      <c r="I14" s="885">
        <f t="shared" si="6"/>
        <v>0</v>
      </c>
      <c r="J14" s="885">
        <f t="shared" si="6"/>
        <v>0</v>
      </c>
      <c r="K14" s="885">
        <f t="shared" si="6"/>
        <v>0</v>
      </c>
      <c r="L14" s="885">
        <f t="shared" si="6"/>
        <v>418369.59</v>
      </c>
      <c r="M14" s="885">
        <f t="shared" si="6"/>
        <v>0</v>
      </c>
      <c r="N14" s="885">
        <f t="shared" si="6"/>
        <v>3765326.31</v>
      </c>
      <c r="O14" s="885">
        <f t="shared" si="6"/>
        <v>0</v>
      </c>
      <c r="P14" s="885">
        <f t="shared" si="6"/>
        <v>0</v>
      </c>
      <c r="Q14" s="1020">
        <f t="shared" si="4"/>
        <v>104183695.90000001</v>
      </c>
      <c r="R14" s="1022">
        <f t="shared" ref="R14:AD14" si="7">SUM(R9:R13)</f>
        <v>100000000</v>
      </c>
      <c r="S14" s="1022">
        <f t="shared" si="7"/>
        <v>0</v>
      </c>
      <c r="T14" s="1022">
        <f t="shared" si="7"/>
        <v>0</v>
      </c>
      <c r="U14" s="1022">
        <f t="shared" si="7"/>
        <v>0</v>
      </c>
      <c r="V14" s="885">
        <f t="shared" si="7"/>
        <v>0</v>
      </c>
      <c r="W14" s="885">
        <f t="shared" si="7"/>
        <v>0</v>
      </c>
      <c r="X14" s="885">
        <f t="shared" si="7"/>
        <v>0</v>
      </c>
      <c r="Y14" s="885">
        <f t="shared" si="7"/>
        <v>0</v>
      </c>
      <c r="Z14" s="885">
        <f t="shared" si="7"/>
        <v>162011.87</v>
      </c>
      <c r="AA14" s="885">
        <f t="shared" si="7"/>
        <v>0</v>
      </c>
      <c r="AB14" s="885">
        <f t="shared" si="7"/>
        <v>1458106.88</v>
      </c>
      <c r="AC14" s="885">
        <f t="shared" si="7"/>
        <v>0</v>
      </c>
      <c r="AD14" s="885">
        <f t="shared" si="7"/>
        <v>0</v>
      </c>
      <c r="AE14" s="1049">
        <f t="shared" si="5"/>
        <v>101620118.75</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-2563240.34</v>
      </c>
      <c r="O15" s="885">
        <f t="shared" si="8"/>
        <v>0</v>
      </c>
      <c r="P15" s="885">
        <f t="shared" si="8"/>
        <v>0</v>
      </c>
      <c r="Q15" s="1020">
        <f t="shared" si="4"/>
        <v>-2563240.34</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256357.72</v>
      </c>
      <c r="AA15" s="885">
        <f t="shared" si="9"/>
        <v>0</v>
      </c>
      <c r="AB15" s="885">
        <f t="shared" si="9"/>
        <v>2307219.4300000002</v>
      </c>
      <c r="AC15" s="885">
        <f t="shared" si="9"/>
        <v>0</v>
      </c>
      <c r="AD15" s="885">
        <f t="shared" si="9"/>
        <v>0</v>
      </c>
      <c r="AE15" s="1049">
        <f t="shared" si="5"/>
        <v>2563577.15</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-2563240.34</v>
      </c>
      <c r="O16" s="918"/>
      <c r="P16" s="918"/>
      <c r="Q16" s="1020">
        <f t="shared" si="4"/>
        <v>-2563240.34</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2563577.15</v>
      </c>
      <c r="AC16" s="918">
        <f t="shared" ref="AC16:AD18" si="13">IF(ISERROR(VLOOKUP(VALUE(AC$2&amp;$B16),Sheet_Balance1,2,0)),0,VLOOKUP(VALUE(AC$2&amp;$B16),Sheet_Balance1,2,0))</f>
        <v>0</v>
      </c>
      <c r="AD16" s="918">
        <f t="shared" si="13"/>
        <v>0</v>
      </c>
      <c r="AE16" s="1049">
        <f t="shared" si="5"/>
        <v>2563577.15</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-2563240.34</v>
      </c>
      <c r="O18" s="918"/>
      <c r="P18" s="918"/>
      <c r="Q18" s="1020">
        <f t="shared" si="4"/>
        <v>-2563240.34</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2563577.15</v>
      </c>
      <c r="AC18" s="918">
        <f t="shared" si="13"/>
        <v>0</v>
      </c>
      <c r="AD18" s="918">
        <f t="shared" si="13"/>
        <v>0</v>
      </c>
      <c r="AE18" s="1049">
        <f t="shared" si="5"/>
        <v>2563577.15</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256357.72</v>
      </c>
      <c r="AA24" s="885">
        <f t="shared" si="21"/>
        <v>0</v>
      </c>
      <c r="AB24" s="885">
        <f t="shared" si="21"/>
        <v>-256357.72</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256357.72</v>
      </c>
      <c r="AA25" s="918">
        <f t="shared" si="24"/>
        <v>0</v>
      </c>
      <c r="AB25" s="918">
        <f t="shared" si="24"/>
        <v>-256357.72</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100000000</v>
      </c>
      <c r="E40" s="986">
        <f>SUM(E14,E15)</f>
        <v>0</v>
      </c>
      <c r="F40" s="986">
        <f>SUM(F14,F15)</f>
        <v>0</v>
      </c>
      <c r="G40" s="986">
        <f>SUM(G14,G15)</f>
        <v>0</v>
      </c>
      <c r="H40" s="986">
        <f t="shared" ref="H40:AE40" si="39">SUM(H14,H15)</f>
        <v>0</v>
      </c>
      <c r="I40" s="986">
        <f t="shared" si="39"/>
        <v>0</v>
      </c>
      <c r="J40" s="986">
        <f t="shared" si="39"/>
        <v>0</v>
      </c>
      <c r="K40" s="986">
        <f t="shared" si="39"/>
        <v>0</v>
      </c>
      <c r="L40" s="986">
        <f t="shared" si="39"/>
        <v>418369.59</v>
      </c>
      <c r="M40" s="986">
        <f t="shared" si="39"/>
        <v>0</v>
      </c>
      <c r="N40" s="986">
        <f t="shared" si="39"/>
        <v>1202085.97</v>
      </c>
      <c r="O40" s="986">
        <f t="shared" si="39"/>
        <v>0</v>
      </c>
      <c r="P40" s="1010">
        <f t="shared" si="39"/>
        <v>0</v>
      </c>
      <c r="Q40" s="1025">
        <f t="shared" si="39"/>
        <v>101620455.56</v>
      </c>
      <c r="R40" s="1010">
        <f t="shared" ref="R40:AD40" si="40">SUM(R14,R15)</f>
        <v>100000000</v>
      </c>
      <c r="S40" s="1010">
        <f t="shared" si="40"/>
        <v>0</v>
      </c>
      <c r="T40" s="1010">
        <f t="shared" si="40"/>
        <v>0</v>
      </c>
      <c r="U40" s="1010">
        <f t="shared" si="40"/>
        <v>0</v>
      </c>
      <c r="V40" s="986">
        <f t="shared" si="40"/>
        <v>0</v>
      </c>
      <c r="W40" s="986">
        <f t="shared" si="40"/>
        <v>0</v>
      </c>
      <c r="X40" s="986">
        <f t="shared" si="40"/>
        <v>0</v>
      </c>
      <c r="Y40" s="986">
        <f t="shared" si="40"/>
        <v>0</v>
      </c>
      <c r="Z40" s="986">
        <f t="shared" si="40"/>
        <v>418369.59</v>
      </c>
      <c r="AA40" s="986">
        <f t="shared" si="40"/>
        <v>0</v>
      </c>
      <c r="AB40" s="986">
        <f t="shared" si="40"/>
        <v>3765326.31</v>
      </c>
      <c r="AC40" s="986">
        <f t="shared" si="40"/>
        <v>0</v>
      </c>
      <c r="AD40" s="986">
        <f t="shared" si="40"/>
        <v>0</v>
      </c>
      <c r="AE40" s="1051">
        <f t="shared" si="39"/>
        <v>104183695.90000001</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100000000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418369.59</v>
      </c>
      <c r="AA47" s="1001">
        <f t="shared" si="41"/>
        <v>0</v>
      </c>
      <c r="AB47" s="1001">
        <f t="shared" si="41"/>
        <v>3765326.31</v>
      </c>
      <c r="AC47" s="1001">
        <f t="shared" si="41"/>
        <v>0</v>
      </c>
      <c r="AD47" s="1001">
        <f t="shared" si="41"/>
        <v>0</v>
      </c>
      <c r="AE47" s="1054">
        <f t="shared" si="41"/>
        <v>104183695.90000001</v>
      </c>
      <c r="AF47" s="641"/>
      <c r="AG47" s="641"/>
      <c r="AH47" s="641"/>
      <c r="AI47" s="641"/>
    </row>
    <row r="48" spans="1:35" ht="18">
      <c r="A48" s="2752" t="s">
        <v>2565</v>
      </c>
      <c r="B48" s="2752"/>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100000000</v>
      </c>
      <c r="S48" s="1030">
        <f>S40</f>
        <v>0</v>
      </c>
      <c r="T48" s="1030">
        <f>T40</f>
        <v>0</v>
      </c>
      <c r="U48" s="1030">
        <f>U40</f>
        <v>0</v>
      </c>
      <c r="V48" s="1031">
        <f t="shared" ref="V48:AE48" si="42">V40</f>
        <v>0</v>
      </c>
      <c r="W48" s="1031">
        <f t="shared" si="42"/>
        <v>0</v>
      </c>
      <c r="X48" s="1031">
        <f t="shared" si="42"/>
        <v>0</v>
      </c>
      <c r="Y48" s="1031">
        <f t="shared" si="42"/>
        <v>0</v>
      </c>
      <c r="Z48" s="1031">
        <f t="shared" si="42"/>
        <v>418369.59</v>
      </c>
      <c r="AA48" s="1031">
        <f t="shared" si="42"/>
        <v>0</v>
      </c>
      <c r="AB48" s="1031">
        <f t="shared" si="42"/>
        <v>3765326.31</v>
      </c>
      <c r="AC48" s="1031">
        <f t="shared" si="42"/>
        <v>0</v>
      </c>
      <c r="AD48" s="1031">
        <f t="shared" si="42"/>
        <v>0</v>
      </c>
      <c r="AE48" s="1055">
        <f t="shared" si="42"/>
        <v>104183695.90000001</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6640</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100000000</v>
      </c>
      <c r="E54" s="1001">
        <f>E40</f>
        <v>0</v>
      </c>
      <c r="F54" s="1001">
        <f>F40</f>
        <v>0</v>
      </c>
      <c r="G54" s="1001">
        <f>G40</f>
        <v>0</v>
      </c>
      <c r="H54" s="1001">
        <f t="shared" ref="H54:AE54" si="45">H40</f>
        <v>0</v>
      </c>
      <c r="I54" s="1001">
        <f t="shared" si="45"/>
        <v>0</v>
      </c>
      <c r="J54" s="1001">
        <f t="shared" si="45"/>
        <v>0</v>
      </c>
      <c r="K54" s="1001">
        <f t="shared" si="45"/>
        <v>0</v>
      </c>
      <c r="L54" s="1001">
        <f t="shared" si="45"/>
        <v>418369.59</v>
      </c>
      <c r="M54" s="1001">
        <f t="shared" si="45"/>
        <v>0</v>
      </c>
      <c r="N54" s="1001">
        <f t="shared" si="45"/>
        <v>1202085.97</v>
      </c>
      <c r="O54" s="1001">
        <f t="shared" si="45"/>
        <v>0</v>
      </c>
      <c r="P54" s="1001">
        <f t="shared" si="45"/>
        <v>0</v>
      </c>
      <c r="Q54" s="1038">
        <f t="shared" si="45"/>
        <v>101620455.56</v>
      </c>
      <c r="R54" s="1030">
        <f t="shared" si="45"/>
        <v>100000000</v>
      </c>
      <c r="S54" s="1030">
        <f t="shared" si="45"/>
        <v>0</v>
      </c>
      <c r="T54" s="1030">
        <f t="shared" si="45"/>
        <v>0</v>
      </c>
      <c r="U54" s="1030">
        <f t="shared" si="45"/>
        <v>0</v>
      </c>
      <c r="V54" s="1031">
        <f t="shared" si="45"/>
        <v>0</v>
      </c>
      <c r="W54" s="1031">
        <f t="shared" si="45"/>
        <v>0</v>
      </c>
      <c r="X54" s="1031">
        <f t="shared" si="45"/>
        <v>0</v>
      </c>
      <c r="Y54" s="1031">
        <f t="shared" si="45"/>
        <v>0</v>
      </c>
      <c r="Z54" s="1031">
        <f t="shared" si="45"/>
        <v>418369.59</v>
      </c>
      <c r="AA54" s="1031">
        <f t="shared" si="45"/>
        <v>0</v>
      </c>
      <c r="AB54" s="1031">
        <f t="shared" si="45"/>
        <v>3765326.31</v>
      </c>
      <c r="AC54" s="1031">
        <f t="shared" si="45"/>
        <v>0</v>
      </c>
      <c r="AD54" s="1031">
        <f t="shared" si="45"/>
        <v>0</v>
      </c>
      <c r="AE54" s="1055">
        <f t="shared" si="45"/>
        <v>104183695.90000001</v>
      </c>
      <c r="AF54" s="641"/>
      <c r="AG54" s="641"/>
      <c r="AH54" s="641"/>
      <c r="AI54" s="641"/>
    </row>
    <row r="55" spans="1:35" ht="18">
      <c r="A55" s="2752" t="s">
        <v>2565</v>
      </c>
      <c r="B55" s="2752"/>
      <c r="C55" s="1003" t="s">
        <v>2645</v>
      </c>
      <c r="D55" s="1001">
        <f>preBS!K54</f>
        <v>100000000</v>
      </c>
      <c r="E55" s="1001">
        <f>preBS!K56</f>
        <v>0</v>
      </c>
      <c r="F55" s="1001">
        <f>preBS!K57</f>
        <v>0</v>
      </c>
      <c r="G55" s="1001">
        <f>preBS!K55-preBS!K56-preBS!K57</f>
        <v>0</v>
      </c>
      <c r="H55" s="1001">
        <f>preBS!K58</f>
        <v>0</v>
      </c>
      <c r="I55" s="1001">
        <f>preBS!K59</f>
        <v>0</v>
      </c>
      <c r="J55" s="1001">
        <f>preBS!K60</f>
        <v>0</v>
      </c>
      <c r="K55" s="1001">
        <f>preBS!K61</f>
        <v>0</v>
      </c>
      <c r="L55" s="1001">
        <f>preBS!K62</f>
        <v>418369.59</v>
      </c>
      <c r="M55" s="1001">
        <f>preBS!K63</f>
        <v>0</v>
      </c>
      <c r="N55" s="1001">
        <f>preBS!K64</f>
        <v>1202085.97</v>
      </c>
      <c r="O55" s="1001"/>
      <c r="P55" s="1001">
        <f>preBS!K66</f>
        <v>0</v>
      </c>
      <c r="Q55" s="1038">
        <f>preBS!K67</f>
        <v>101620455.56</v>
      </c>
      <c r="R55" s="1030">
        <f>preBS!L54</f>
        <v>100000000</v>
      </c>
      <c r="S55" s="1030">
        <f>preBS!L56</f>
        <v>0</v>
      </c>
      <c r="T55" s="1030">
        <f>preBS!L57</f>
        <v>0</v>
      </c>
      <c r="U55" s="1030">
        <f>preBS!L55-preBS!L56-preBS!L57</f>
        <v>0</v>
      </c>
      <c r="V55" s="1031">
        <f>preBS!L58</f>
        <v>0</v>
      </c>
      <c r="W55" s="1031">
        <f>preBS!L59</f>
        <v>0</v>
      </c>
      <c r="X55" s="1031">
        <f>preBS!L60</f>
        <v>0</v>
      </c>
      <c r="Y55" s="1031">
        <f>preBS!L61</f>
        <v>0</v>
      </c>
      <c r="Z55" s="1031">
        <f>preBS!L62</f>
        <v>418369.59</v>
      </c>
      <c r="AA55" s="1031">
        <f>preBS!L63</f>
        <v>0</v>
      </c>
      <c r="AB55" s="1031">
        <f>preBS!L64</f>
        <v>3765326.31</v>
      </c>
      <c r="AC55" s="1031"/>
      <c r="AD55" s="1031">
        <f>preBS!L66</f>
        <v>0</v>
      </c>
      <c r="AE55" s="1055">
        <f>preBS!L67</f>
        <v>104183695.90000001</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Al7By7LZ3eSJQ1R3E9Jvlvd0xoM/cWBud1IaUeWkJvWP4Av3jRNL/gCluEE48pHxcqaGgPvRs4y/zBJnT4NTDA==" saltValue="op6QUL3EwgpMHSpxKFkPdw==" spinCount="100000" sheet="1" scenarios="1" formatCells="0" autoFilter="0"/>
  <mergeCells count="4">
    <mergeCell ref="C3:AB3"/>
    <mergeCell ref="C4:AB4"/>
    <mergeCell ref="D7:O7"/>
    <mergeCell ref="R7:AC7"/>
  </mergeCells>
  <phoneticPr fontId="163" type="noConversion"/>
  <conditionalFormatting sqref="C40:P40 R40:AD40">
    <cfRule type="expression" dxfId="4080" priority="1" stopIfTrue="1">
      <formula>$A40="："</formula>
    </cfRule>
    <cfRule type="expression" dxfId="4079" priority="2" stopIfTrue="1">
      <formula>$A40="＝"</formula>
    </cfRule>
    <cfRule type="expression" dxfId="4078" priority="3" stopIfTrue="1">
      <formula>AND($A40&lt;&gt;"＝",MOD(ROW(),3)=0)</formula>
    </cfRule>
  </conditionalFormatting>
  <conditionalFormatting sqref="C47 D56:AE56 R49:AE49">
    <cfRule type="cellIs" dxfId="4077"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40"/>
  <sheetViews>
    <sheetView workbookViewId="0">
      <selection activeCell="I11" sqref="I11"/>
    </sheetView>
  </sheetViews>
  <sheetFormatPr defaultRowHeight="15.75"/>
  <cols>
    <col min="1" max="1" width="3.7109375" style="3142" customWidth="1"/>
    <col min="2" max="2" width="26.42578125" style="3110" customWidth="1"/>
    <col min="3" max="3" width="13.85546875" style="3141" bestFit="1" customWidth="1"/>
    <col min="4" max="4" width="25.7109375" style="3141" customWidth="1"/>
    <col min="5" max="6" width="12" style="3110" bestFit="1" customWidth="1"/>
    <col min="7" max="7" width="11.7109375" style="3110" bestFit="1" customWidth="1"/>
    <col min="8" max="8" width="15.28515625" style="3110" customWidth="1"/>
    <col min="9" max="9" width="12" style="3110" customWidth="1"/>
    <col min="10" max="16384" width="9.140625" style="3110"/>
  </cols>
  <sheetData>
    <row r="1" spans="1:12" ht="12.75">
      <c r="A1" s="3110"/>
      <c r="B1" s="3204" t="s">
        <v>6823</v>
      </c>
      <c r="C1" s="3205"/>
      <c r="D1" s="3205"/>
    </row>
    <row r="2" spans="1:12" ht="13.5" thickBot="1">
      <c r="A2" s="3110"/>
      <c r="B2" s="3206" t="s">
        <v>6824</v>
      </c>
      <c r="C2" s="3205"/>
      <c r="D2" s="3205"/>
    </row>
    <row r="3" spans="1:12" ht="18.75" customHeight="1" thickTop="1">
      <c r="A3" s="3110"/>
      <c r="B3" s="3111" t="s">
        <v>6825</v>
      </c>
      <c r="C3" s="3112" t="s">
        <v>6826</v>
      </c>
      <c r="D3" s="3113" t="s">
        <v>6827</v>
      </c>
    </row>
    <row r="4" spans="1:12" ht="18.75" customHeight="1">
      <c r="A4" s="3110"/>
      <c r="B4" s="3114" t="s">
        <v>6828</v>
      </c>
      <c r="C4" s="3115">
        <f>IS!E28</f>
        <v>-2382740.34</v>
      </c>
      <c r="D4" s="3116"/>
    </row>
    <row r="5" spans="1:12" ht="24" customHeight="1">
      <c r="A5" s="3110"/>
      <c r="B5" s="3117" t="s">
        <v>6829</v>
      </c>
      <c r="C5" s="3115">
        <f>SUM(C6:C23)</f>
        <v>68801.17</v>
      </c>
      <c r="D5" s="3116"/>
      <c r="G5" s="3118"/>
      <c r="H5" s="3118"/>
      <c r="I5" s="3119" t="s">
        <v>6830</v>
      </c>
      <c r="J5" s="3119" t="s">
        <v>6831</v>
      </c>
      <c r="K5" s="3119" t="s">
        <v>6832</v>
      </c>
      <c r="L5" s="3120" t="s">
        <v>6833</v>
      </c>
    </row>
    <row r="6" spans="1:12" ht="18.75" customHeight="1">
      <c r="A6" s="3110"/>
      <c r="B6" s="3121" t="s">
        <v>6834</v>
      </c>
      <c r="C6" s="3115"/>
      <c r="D6" s="3122"/>
      <c r="G6" s="3118" t="s">
        <v>6835</v>
      </c>
      <c r="H6" s="3123">
        <v>170133</v>
      </c>
      <c r="I6" s="3123">
        <f>H6*60%</f>
        <v>102079.8</v>
      </c>
      <c r="J6" s="3123">
        <f>IS!E7*0.5%</f>
        <v>101331.83</v>
      </c>
      <c r="K6" s="3118"/>
      <c r="L6" s="3123">
        <f>H6-MIN(I6,J6)</f>
        <v>68801.17</v>
      </c>
    </row>
    <row r="7" spans="1:12" ht="18.75" customHeight="1">
      <c r="A7" s="3110"/>
      <c r="B7" s="3121" t="s">
        <v>354</v>
      </c>
      <c r="C7" s="3115"/>
      <c r="D7" s="3116"/>
      <c r="G7" s="3118" t="s">
        <v>6836</v>
      </c>
      <c r="H7" s="3123"/>
      <c r="I7" s="3123"/>
      <c r="J7" s="3118"/>
      <c r="K7" s="3123"/>
      <c r="L7" s="3118"/>
    </row>
    <row r="8" spans="1:12" ht="18.75" customHeight="1">
      <c r="A8" s="3110"/>
      <c r="B8" s="3121" t="s">
        <v>6837</v>
      </c>
      <c r="C8" s="3115"/>
      <c r="D8" s="3116"/>
      <c r="H8" s="3124"/>
      <c r="I8" s="3125"/>
    </row>
    <row r="9" spans="1:12" ht="18.75" customHeight="1">
      <c r="A9" s="3110"/>
      <c r="B9" s="3121" t="s">
        <v>6838</v>
      </c>
      <c r="C9" s="3115"/>
      <c r="D9" s="3116"/>
      <c r="H9" s="3124"/>
      <c r="I9" s="3125"/>
    </row>
    <row r="10" spans="1:12" ht="12.75">
      <c r="A10" s="3110"/>
      <c r="B10" s="3121" t="s">
        <v>6839</v>
      </c>
      <c r="C10" s="3115"/>
      <c r="D10" s="3116"/>
      <c r="H10" s="3126"/>
      <c r="I10" s="3125"/>
    </row>
    <row r="11" spans="1:12" ht="18.75" customHeight="1">
      <c r="A11" s="3110"/>
      <c r="B11" s="3121" t="s">
        <v>6840</v>
      </c>
      <c r="C11" s="3115"/>
      <c r="D11" s="3116"/>
      <c r="H11" s="3124"/>
      <c r="I11" s="3127"/>
    </row>
    <row r="12" spans="1:12" ht="18.75" customHeight="1">
      <c r="A12" s="3110"/>
      <c r="B12" s="3121" t="s">
        <v>6841</v>
      </c>
      <c r="C12" s="3115"/>
      <c r="D12" s="3116"/>
    </row>
    <row r="13" spans="1:12" ht="18.75" customHeight="1">
      <c r="A13" s="3110"/>
      <c r="B13" s="3121" t="s">
        <v>6842</v>
      </c>
      <c r="C13" s="3115"/>
      <c r="D13" s="3116"/>
    </row>
    <row r="14" spans="1:12" ht="18.75" customHeight="1">
      <c r="A14" s="3110"/>
      <c r="B14" s="3121" t="s">
        <v>6843</v>
      </c>
      <c r="C14" s="3115"/>
      <c r="D14" s="3116"/>
    </row>
    <row r="15" spans="1:12" ht="18.75" customHeight="1">
      <c r="A15" s="3110"/>
      <c r="B15" s="3128" t="s">
        <v>6844</v>
      </c>
      <c r="C15" s="3129"/>
      <c r="D15" s="3130"/>
      <c r="G15" s="3131"/>
      <c r="H15" s="3132"/>
      <c r="I15" s="3133" t="s">
        <v>6845</v>
      </c>
      <c r="J15" s="3132"/>
    </row>
    <row r="16" spans="1:12" ht="18.75" customHeight="1">
      <c r="A16" s="3110"/>
      <c r="B16" s="3121" t="s">
        <v>6846</v>
      </c>
      <c r="C16" s="3115"/>
      <c r="D16" s="3116"/>
      <c r="G16" s="3133" t="s">
        <v>6847</v>
      </c>
      <c r="H16" s="3131"/>
      <c r="I16" s="3132">
        <f>[5]Notes!I2612</f>
        <v>1756924.29</v>
      </c>
      <c r="J16" s="3132"/>
    </row>
    <row r="17" spans="1:10" ht="18.75" customHeight="1">
      <c r="A17" s="3110"/>
      <c r="B17" s="3121" t="s">
        <v>3923</v>
      </c>
      <c r="C17" s="3115"/>
      <c r="D17" s="3116"/>
      <c r="G17" s="3133" t="s">
        <v>6848</v>
      </c>
      <c r="H17" s="3134">
        <v>0.14000000000000001</v>
      </c>
      <c r="I17" s="3132">
        <f>[5]Notes!I2613</f>
        <v>12984.78</v>
      </c>
      <c r="J17" s="3132">
        <f>H17*$I$16</f>
        <v>245969.4</v>
      </c>
    </row>
    <row r="18" spans="1:10" ht="18.75" customHeight="1">
      <c r="A18" s="3110"/>
      <c r="B18" s="3121" t="s">
        <v>6849</v>
      </c>
      <c r="C18" s="3115"/>
      <c r="D18" s="3116"/>
      <c r="F18" s="3135"/>
      <c r="G18" s="3133" t="s">
        <v>6850</v>
      </c>
      <c r="H18" s="3134">
        <v>2.5000000000000001E-2</v>
      </c>
      <c r="I18" s="3132"/>
      <c r="J18" s="3132">
        <f>H18*$I$16</f>
        <v>43923.11</v>
      </c>
    </row>
    <row r="19" spans="1:10" ht="18.75" customHeight="1">
      <c r="A19" s="3110"/>
      <c r="B19" s="3121" t="s">
        <v>6851</v>
      </c>
      <c r="C19" s="3115"/>
      <c r="D19" s="3116"/>
      <c r="E19" s="3124"/>
      <c r="F19" s="3135"/>
      <c r="G19" s="3133" t="s">
        <v>6852</v>
      </c>
      <c r="H19" s="3134">
        <v>0.02</v>
      </c>
      <c r="I19" s="3132"/>
      <c r="J19" s="3132">
        <f>H19*$I$16</f>
        <v>35138.49</v>
      </c>
    </row>
    <row r="20" spans="1:10" ht="18.75" customHeight="1">
      <c r="A20" s="3110"/>
      <c r="B20" s="3121" t="s">
        <v>6853</v>
      </c>
      <c r="C20" s="3115"/>
      <c r="D20" s="3116"/>
      <c r="G20" s="3124"/>
    </row>
    <row r="21" spans="1:10" ht="18.75" customHeight="1">
      <c r="A21" s="3110"/>
      <c r="B21" s="3121" t="s">
        <v>6854</v>
      </c>
      <c r="C21" s="3115"/>
      <c r="D21" s="3122"/>
      <c r="G21" s="3124"/>
    </row>
    <row r="22" spans="1:10" ht="18.75" customHeight="1">
      <c r="A22" s="3110"/>
      <c r="B22" s="3121" t="s">
        <v>6855</v>
      </c>
      <c r="C22" s="3129">
        <f>L6</f>
        <v>68801.17</v>
      </c>
      <c r="D22" s="3116"/>
      <c r="E22" s="3124"/>
      <c r="F22" s="3135"/>
      <c r="H22" s="3124"/>
      <c r="I22" s="3125"/>
    </row>
    <row r="23" spans="1:10" ht="18.75" customHeight="1">
      <c r="A23" s="3110"/>
      <c r="B23" s="3121" t="s">
        <v>6856</v>
      </c>
      <c r="C23" s="3115"/>
      <c r="D23" s="3122"/>
      <c r="F23" s="3135"/>
      <c r="G23" s="3135"/>
      <c r="H23" s="3124"/>
      <c r="I23" s="3125"/>
    </row>
    <row r="24" spans="1:10" ht="18.75" customHeight="1">
      <c r="A24" s="3110"/>
      <c r="B24" s="3117" t="s">
        <v>6857</v>
      </c>
      <c r="C24" s="3115">
        <f>SUM(C25:C32)</f>
        <v>0</v>
      </c>
      <c r="D24" s="3116"/>
      <c r="H24" s="3124"/>
      <c r="I24" s="3125"/>
    </row>
    <row r="25" spans="1:10" ht="18.75" customHeight="1">
      <c r="A25" s="3110"/>
      <c r="B25" s="3121" t="s">
        <v>6858</v>
      </c>
      <c r="C25" s="3115"/>
      <c r="D25" s="3116"/>
      <c r="H25" s="3124"/>
      <c r="I25" s="3125"/>
    </row>
    <row r="26" spans="1:10" ht="18.75" customHeight="1">
      <c r="A26" s="3110"/>
      <c r="B26" s="3121" t="s">
        <v>6859</v>
      </c>
      <c r="C26" s="3129"/>
      <c r="D26" s="3122"/>
      <c r="I26" s="3125"/>
    </row>
    <row r="27" spans="1:10" ht="18.75" customHeight="1">
      <c r="A27" s="3110"/>
      <c r="B27" s="3121" t="s">
        <v>6860</v>
      </c>
      <c r="C27" s="3129"/>
      <c r="D27" s="3116"/>
      <c r="H27" s="3124"/>
    </row>
    <row r="28" spans="1:10" ht="18.75" customHeight="1">
      <c r="A28" s="3110"/>
      <c r="B28" s="3121" t="s">
        <v>6861</v>
      </c>
      <c r="C28" s="3129"/>
      <c r="D28" s="3116"/>
      <c r="H28" s="3124"/>
    </row>
    <row r="29" spans="1:10" ht="18.75" customHeight="1">
      <c r="A29" s="3110"/>
      <c r="B29" s="3121" t="s">
        <v>6856</v>
      </c>
      <c r="C29" s="3129"/>
      <c r="D29" s="3122"/>
      <c r="H29" s="3124"/>
    </row>
    <row r="30" spans="1:10" ht="18.75" customHeight="1">
      <c r="A30" s="3110"/>
      <c r="B30" s="3121" t="s">
        <v>6862</v>
      </c>
      <c r="C30" s="3129"/>
      <c r="D30" s="3116"/>
      <c r="H30" s="3124"/>
    </row>
    <row r="31" spans="1:10" ht="18.75" customHeight="1">
      <c r="A31" s="3110"/>
      <c r="B31" s="3121" t="s">
        <v>6863</v>
      </c>
      <c r="C31" s="3129"/>
      <c r="D31" s="3116"/>
      <c r="E31" s="3135"/>
      <c r="H31" s="3124"/>
    </row>
    <row r="32" spans="1:10" ht="18.75" customHeight="1">
      <c r="A32" s="3110"/>
      <c r="B32" s="3121" t="s">
        <v>6864</v>
      </c>
      <c r="C32" s="3129"/>
      <c r="D32" s="3116"/>
    </row>
    <row r="33" spans="1:6" ht="18.75" customHeight="1">
      <c r="A33" s="3110"/>
      <c r="B33" s="3136" t="s">
        <v>6865</v>
      </c>
      <c r="C33" s="3115">
        <f>C4+C5-C24</f>
        <v>-2313939.17</v>
      </c>
      <c r="D33" s="3116"/>
      <c r="F33" s="3135"/>
    </row>
    <row r="34" spans="1:6" ht="18.75" customHeight="1">
      <c r="A34" s="3110"/>
      <c r="B34" s="3121" t="s">
        <v>6866</v>
      </c>
      <c r="C34" s="3137">
        <v>0.25</v>
      </c>
      <c r="D34" s="3116"/>
      <c r="F34" s="3135"/>
    </row>
    <row r="35" spans="1:6" ht="18.75" customHeight="1">
      <c r="A35" s="3110"/>
      <c r="B35" s="3121" t="s">
        <v>6867</v>
      </c>
      <c r="C35" s="3115">
        <f>IF(C33*C34&lt;0,0,C33*C34)</f>
        <v>0</v>
      </c>
      <c r="D35" s="3116"/>
    </row>
    <row r="36" spans="1:6" ht="18.75" customHeight="1">
      <c r="A36" s="3110"/>
      <c r="B36" s="3121" t="s">
        <v>6868</v>
      </c>
      <c r="C36" s="3115"/>
      <c r="D36" s="3122" t="s">
        <v>6869</v>
      </c>
    </row>
    <row r="37" spans="1:6" ht="18.75" customHeight="1" thickBot="1">
      <c r="A37" s="3110"/>
      <c r="B37" s="3138" t="s">
        <v>6870</v>
      </c>
      <c r="C37" s="3139">
        <f>C35-C36</f>
        <v>0</v>
      </c>
      <c r="D37" s="3140"/>
      <c r="E37" s="3135"/>
    </row>
    <row r="38" spans="1:6" ht="13.5" thickTop="1">
      <c r="A38" s="3110"/>
    </row>
    <row r="39" spans="1:6" ht="12.75">
      <c r="A39" s="3110"/>
      <c r="B39" s="3124" t="s">
        <v>6871</v>
      </c>
      <c r="F39" s="3135"/>
    </row>
    <row r="40" spans="1:6" ht="12.75">
      <c r="A40" s="3110"/>
    </row>
  </sheetData>
  <mergeCells count="2">
    <mergeCell ref="B1:D1"/>
    <mergeCell ref="B2:D2"/>
  </mergeCells>
  <phoneticPr fontId="16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321" activePane="bottomRight" state="frozen"/>
      <selection pane="topRight" activeCell="G1" sqref="G1"/>
      <selection pane="bottomLeft" activeCell="A9" sqref="A9"/>
      <selection pane="bottomRight" activeCell="I327" sqref="I327"/>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北京天马金信供应链管理有限公司</v>
      </c>
      <c r="F2" s="1247"/>
      <c r="G2" s="1248"/>
      <c r="H2" s="1295"/>
      <c r="I2" s="1317" t="s">
        <v>2521</v>
      </c>
      <c r="J2" s="745"/>
      <c r="K2" s="1318" t="s">
        <v>2501</v>
      </c>
      <c r="L2" s="745"/>
      <c r="M2" s="1319"/>
      <c r="N2" s="1320"/>
      <c r="O2" s="641"/>
      <c r="P2" s="2788" t="s">
        <v>6600</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43864</v>
      </c>
      <c r="L3" s="1321" t="s">
        <v>2524</v>
      </c>
      <c r="M3" s="2790" t="s">
        <v>6605</v>
      </c>
      <c r="N3" s="745"/>
      <c r="O3" s="641"/>
      <c r="P3" s="2788" t="s">
        <v>6601</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6602</v>
      </c>
      <c r="Q4" s="641"/>
      <c r="R4" s="641"/>
    </row>
    <row r="5" spans="1:25" ht="12" customHeight="1" thickBot="1">
      <c r="A5" s="745"/>
      <c r="B5" s="643"/>
      <c r="C5" s="643"/>
      <c r="D5" s="1300"/>
      <c r="E5" s="1301"/>
      <c r="F5" s="1301"/>
      <c r="G5" s="1300"/>
      <c r="H5" s="1302"/>
      <c r="I5" s="1322"/>
      <c r="J5" s="1323"/>
      <c r="K5" s="1324"/>
      <c r="L5" s="1323"/>
      <c r="M5" s="1322"/>
      <c r="N5" s="1301"/>
      <c r="O5" s="641"/>
      <c r="P5" s="2788" t="s">
        <v>6603</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6809</v>
      </c>
      <c r="E8" s="1306" t="s">
        <v>2529</v>
      </c>
      <c r="F8" s="1307" t="s">
        <v>2530</v>
      </c>
      <c r="G8" s="1308" t="s">
        <v>2531</v>
      </c>
      <c r="H8" s="1309" t="s">
        <v>2532</v>
      </c>
      <c r="I8" s="1305" t="s">
        <v>2533</v>
      </c>
      <c r="J8" s="1326" t="s">
        <v>2534</v>
      </c>
      <c r="K8" s="1327" t="s">
        <v>2535</v>
      </c>
      <c r="L8" s="1306" t="s">
        <v>2536</v>
      </c>
      <c r="M8" s="1305" t="s">
        <v>2537</v>
      </c>
      <c r="N8" s="1328" t="s">
        <v>2534</v>
      </c>
      <c r="O8" s="3096" t="s">
        <v>6798</v>
      </c>
      <c r="P8" s="3097" t="s">
        <v>6799</v>
      </c>
      <c r="Q8" s="3097" t="s">
        <v>6800</v>
      </c>
      <c r="R8" s="3097" t="s">
        <v>6801</v>
      </c>
      <c r="S8" s="3098" t="s">
        <v>6802</v>
      </c>
      <c r="T8" s="3098" t="s">
        <v>6803</v>
      </c>
      <c r="U8" s="3098" t="s">
        <v>6804</v>
      </c>
      <c r="V8" s="3098" t="s">
        <v>6805</v>
      </c>
      <c r="W8" s="3098" t="s">
        <v>6806</v>
      </c>
      <c r="X8" s="3098" t="s">
        <v>6807</v>
      </c>
      <c r="Y8" s="3099" t="s">
        <v>6808</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4299668.37</v>
      </c>
      <c r="H9" s="1312">
        <f t="shared" ref="H9:H16" ca="1" si="2">INDIRECT("Notes!CheckA"&amp;$C9)</f>
        <v>4299668.37</v>
      </c>
      <c r="I9" s="3093">
        <f ca="1">IF(AND(LEN(G9)&gt;0,LEN(H9)&gt;0),ROUND(SUM(G9)-SUM(H9),2),"")</f>
        <v>0</v>
      </c>
      <c r="J9" s="1293" t="str">
        <f ca="1">IF(ISNA(I9),"N/A",IF(I9=0,"√","？"))</f>
        <v>√</v>
      </c>
      <c r="K9" s="1311">
        <f t="shared" ref="K9:K40" si="3">IF(ISERROR(VLOOKUP($B9,Sheet_Trialbal,10,0)),"        ----",VLOOKUP($B9,Sheet_Trialbal,10,0))</f>
        <v>91308.84</v>
      </c>
      <c r="L9" s="70">
        <f ca="1">INDIRECT("Notes!CheckB"&amp;$C9)</f>
        <v>91308.84</v>
      </c>
      <c r="M9" s="3093">
        <f ca="1">IF(AND(LEN(K9)&gt;0,LEN(L9)&gt;0),ROUND(SUM(K9)-SUM(L9),2),"")</f>
        <v>0</v>
      </c>
      <c r="N9" s="1293" t="str">
        <f ca="1">IF(ISNA(M9),"N/A",IF(M9=0,"√","？"))</f>
        <v>√</v>
      </c>
      <c r="O9" s="3100"/>
      <c r="P9" s="3101"/>
      <c r="Q9" s="3101"/>
      <c r="R9" s="3101"/>
      <c r="S9" s="3102" t="s">
        <v>295</v>
      </c>
      <c r="T9" s="3102" t="s">
        <v>213</v>
      </c>
      <c r="U9" s="3103">
        <v>1015</v>
      </c>
      <c r="V9" s="3103" t="s">
        <v>295</v>
      </c>
      <c r="W9" s="3103" t="s">
        <v>6791</v>
      </c>
      <c r="X9" s="3103" t="s">
        <v>6792</v>
      </c>
      <c r="Y9" s="3104" t="s">
        <v>164</v>
      </c>
    </row>
    <row r="10" spans="1:25" ht="18">
      <c r="A10" s="1304"/>
      <c r="B10" s="643">
        <v>1015</v>
      </c>
      <c r="C10" s="643" t="s">
        <v>45</v>
      </c>
      <c r="D10" s="3088">
        <v>1</v>
      </c>
      <c r="E10" s="3089" t="str">
        <f t="shared" si="0"/>
        <v>货币资金</v>
      </c>
      <c r="F10" s="3090" t="s">
        <v>46</v>
      </c>
      <c r="G10" s="3091">
        <f t="shared" si="1"/>
        <v>4299668.37</v>
      </c>
      <c r="H10" s="3092">
        <f t="shared" ca="1" si="2"/>
        <v>4299668.37</v>
      </c>
      <c r="I10" s="3094">
        <f ca="1">IF(AND(LEN(G10)&gt;0,LEN(H10)&gt;0),ROUND(SUM(G10)-SUM(H10),2),"")</f>
        <v>0</v>
      </c>
      <c r="J10" s="3073" t="str">
        <f ca="1">IF(ISNA(I10),"N/A",IF(I10=0,"√","？"))</f>
        <v>√</v>
      </c>
      <c r="K10" s="3091">
        <f t="shared" si="3"/>
        <v>91308.84</v>
      </c>
      <c r="L10" s="3072">
        <f ca="1">INDIRECT("Notes!CheckB"&amp;$C10)</f>
        <v>91308.84</v>
      </c>
      <c r="M10" s="3094">
        <f ca="1">IF(AND(LEN(K10)&gt;0,LEN(L10)&gt;0),ROUND(SUM(K10)-SUM(L10),2),"")</f>
        <v>0</v>
      </c>
      <c r="N10" s="3073" t="str">
        <f ca="1">IF(ISNA(M10),"N/A",IF(M10=0,"√","？"))</f>
        <v>√</v>
      </c>
      <c r="O10" s="3100"/>
      <c r="P10" s="3101"/>
      <c r="Q10" s="3101"/>
      <c r="R10" s="3101"/>
      <c r="S10" s="3102" t="s">
        <v>295</v>
      </c>
      <c r="T10" s="3102" t="s">
        <v>213</v>
      </c>
      <c r="U10" s="3103"/>
      <c r="V10" s="3103" t="s">
        <v>295</v>
      </c>
      <c r="W10" s="3103" t="s">
        <v>6791</v>
      </c>
      <c r="X10" s="3103" t="s">
        <v>213</v>
      </c>
      <c r="Y10" s="3104" t="s">
        <v>164</v>
      </c>
    </row>
    <row r="11" spans="1:25" ht="18" hidden="1">
      <c r="A11" s="1304"/>
      <c r="B11" s="643">
        <v>1015</v>
      </c>
      <c r="C11" s="643" t="s">
        <v>88</v>
      </c>
      <c r="D11" s="3088">
        <v>2</v>
      </c>
      <c r="E11" s="3089" t="str">
        <f t="shared" si="0"/>
        <v>货币资金</v>
      </c>
      <c r="F11" s="3090" t="s">
        <v>89</v>
      </c>
      <c r="G11" s="3091">
        <f t="shared" si="1"/>
        <v>4299668.37</v>
      </c>
      <c r="H11" s="3092">
        <f t="shared" ca="1" si="2"/>
        <v>0</v>
      </c>
      <c r="I11" s="3094" t="s">
        <v>6797</v>
      </c>
      <c r="J11" s="3073"/>
      <c r="K11" s="3091">
        <f t="shared" si="3"/>
        <v>91308.84</v>
      </c>
      <c r="L11" s="3072" t="s">
        <v>6793</v>
      </c>
      <c r="M11" s="3094" t="s">
        <v>6797</v>
      </c>
      <c r="N11" s="3073"/>
      <c r="O11" s="3100"/>
      <c r="P11" s="3101"/>
      <c r="Q11" s="3101"/>
      <c r="R11" s="3101"/>
      <c r="S11" s="3102" t="s">
        <v>295</v>
      </c>
      <c r="T11" s="3102" t="s">
        <v>213</v>
      </c>
      <c r="U11" s="3103">
        <v>1015</v>
      </c>
      <c r="V11" s="3103" t="s">
        <v>295</v>
      </c>
      <c r="W11" s="3103" t="s">
        <v>6791</v>
      </c>
      <c r="X11" s="3103" t="s">
        <v>213</v>
      </c>
      <c r="Y11" s="3104" t="s">
        <v>164</v>
      </c>
    </row>
    <row r="12" spans="1:25" ht="24">
      <c r="A12" s="1304"/>
      <c r="B12" s="643">
        <v>1102</v>
      </c>
      <c r="C12" s="643" t="s">
        <v>135</v>
      </c>
      <c r="D12" s="3088">
        <v>1</v>
      </c>
      <c r="E12" s="3089" t="str">
        <f t="shared" si="0"/>
        <v>交易性金融资产</v>
      </c>
      <c r="F12" s="3090" t="s">
        <v>136</v>
      </c>
      <c r="G12" s="3091">
        <f t="shared" si="1"/>
        <v>0</v>
      </c>
      <c r="H12" s="3092">
        <f t="shared" ca="1" si="2"/>
        <v>0</v>
      </c>
      <c r="I12" s="3094">
        <f ca="1">IF(AND(LEN(G12)&gt;0,LEN(H12)&gt;0),ROUND(SUM(G12)-SUM(H12),2),"")</f>
        <v>0</v>
      </c>
      <c r="J12" s="3073" t="str">
        <f ca="1">IF(ISNA(I12),"N/A",IF(I12=0,"√","？"))</f>
        <v>√</v>
      </c>
      <c r="K12" s="3091">
        <f t="shared" si="3"/>
        <v>0</v>
      </c>
      <c r="L12" s="3072">
        <f ca="1">INDIRECT("Notes!CheckB"&amp;$C12)</f>
        <v>0</v>
      </c>
      <c r="M12" s="3094">
        <f ca="1">IF(AND(LEN(K12)&gt;0,LEN(L12)&gt;0),ROUND(SUM(K12)-SUM(L12),2),"")</f>
        <v>0</v>
      </c>
      <c r="N12" s="3073" t="str">
        <f ca="1">IF(ISNA(M12),"N/A",IF(M12=0,"√","？"))</f>
        <v>√</v>
      </c>
      <c r="O12" s="3100"/>
      <c r="P12" s="3101"/>
      <c r="Q12" s="3101"/>
      <c r="R12" s="3101"/>
      <c r="S12" s="3102" t="s">
        <v>295</v>
      </c>
      <c r="T12" s="3102" t="s">
        <v>213</v>
      </c>
      <c r="U12" s="3103">
        <v>1102</v>
      </c>
      <c r="V12" s="3103" t="s">
        <v>295</v>
      </c>
      <c r="W12" s="3103" t="s">
        <v>145</v>
      </c>
      <c r="X12" s="3103" t="s">
        <v>6794</v>
      </c>
      <c r="Y12" s="3104" t="s">
        <v>119</v>
      </c>
    </row>
    <row r="13" spans="1:25" ht="36">
      <c r="A13" s="1304"/>
      <c r="B13" s="643">
        <v>1101</v>
      </c>
      <c r="C13" s="643" t="s">
        <v>106</v>
      </c>
      <c r="D13" s="3088">
        <v>1</v>
      </c>
      <c r="E13" s="3089" t="str">
        <f t="shared" si="0"/>
        <v>以公允价值计量且其变动计入当期损益的金融资产</v>
      </c>
      <c r="F13" s="3090" t="s">
        <v>107</v>
      </c>
      <c r="G13" s="3091">
        <f t="shared" si="1"/>
        <v>0</v>
      </c>
      <c r="H13" s="3092">
        <f t="shared" ca="1" si="2"/>
        <v>0</v>
      </c>
      <c r="I13" s="3094">
        <f ca="1">IF(AND(LEN(G13)&gt;0,LEN(H13)&gt;0),ROUND(SUM(G13)-SUM(H13),2),"")</f>
        <v>0</v>
      </c>
      <c r="J13" s="3073" t="str">
        <f ca="1">IF(ISNA(I13),"N/A",IF(I13=0,"√","？"))</f>
        <v>√</v>
      </c>
      <c r="K13" s="3091">
        <f t="shared" si="3"/>
        <v>0</v>
      </c>
      <c r="L13" s="3072">
        <f ca="1">INDIRECT("Notes!CheckB"&amp;$C13)</f>
        <v>0</v>
      </c>
      <c r="M13" s="3094">
        <f ca="1">IF(AND(LEN(K13)&gt;0,LEN(L13)&gt;0),ROUND(SUM(K13)-SUM(L13),2),"")</f>
        <v>0</v>
      </c>
      <c r="N13" s="3073" t="str">
        <f ca="1">IF(ISNA(M13),"N/A",IF(M13=0,"√","？"))</f>
        <v>√</v>
      </c>
      <c r="O13" s="3100"/>
      <c r="P13" s="3101"/>
      <c r="Q13" s="3101"/>
      <c r="R13" s="3101"/>
      <c r="S13" s="3102" t="s">
        <v>295</v>
      </c>
      <c r="T13" s="3102" t="s">
        <v>213</v>
      </c>
      <c r="U13" s="3103">
        <v>1101</v>
      </c>
      <c r="V13" s="3103" t="s">
        <v>295</v>
      </c>
      <c r="W13" s="3103" t="s">
        <v>6791</v>
      </c>
      <c r="X13" s="3103" t="s">
        <v>6792</v>
      </c>
      <c r="Y13" s="3104" t="s">
        <v>164</v>
      </c>
    </row>
    <row r="14" spans="1:25" ht="18">
      <c r="A14" s="1304"/>
      <c r="B14" s="643">
        <v>1115</v>
      </c>
      <c r="C14" s="643" t="s">
        <v>148</v>
      </c>
      <c r="D14" s="3088">
        <v>1</v>
      </c>
      <c r="E14" s="3089" t="str">
        <f t="shared" si="0"/>
        <v>衍生金融资产</v>
      </c>
      <c r="F14" s="3090" t="s">
        <v>6418</v>
      </c>
      <c r="G14" s="3091">
        <f t="shared" si="1"/>
        <v>0</v>
      </c>
      <c r="H14" s="3092">
        <f t="shared" ca="1" si="2"/>
        <v>0</v>
      </c>
      <c r="I14" s="3094">
        <f ca="1">IF(AND(LEN(G14)&gt;0,LEN(H14)&gt;0),ROUND(SUM(G14)-SUM(H14),2),"")</f>
        <v>0</v>
      </c>
      <c r="J14" s="3073" t="str">
        <f ca="1">IF(ISNA(I14),"N/A",IF(I14=0,"√","？"))</f>
        <v>√</v>
      </c>
      <c r="K14" s="3091">
        <f t="shared" si="3"/>
        <v>0</v>
      </c>
      <c r="L14" s="3072">
        <f ca="1">INDIRECT("Notes!CheckB"&amp;$C14)</f>
        <v>0</v>
      </c>
      <c r="M14" s="3094">
        <f ca="1">IF(AND(LEN(K14)&gt;0,LEN(L14)&gt;0),ROUND(SUM(K14)-SUM(L14),2),"")</f>
        <v>0</v>
      </c>
      <c r="N14" s="3073" t="str">
        <f ca="1">IF(ISNA(M14),"N/A",IF(M14=0,"√","？"))</f>
        <v>√</v>
      </c>
      <c r="O14" s="3100"/>
      <c r="P14" s="3101"/>
      <c r="Q14" s="3101"/>
      <c r="R14" s="3101"/>
      <c r="S14" s="3102" t="s">
        <v>295</v>
      </c>
      <c r="T14" s="3102" t="s">
        <v>213</v>
      </c>
      <c r="U14" s="3103">
        <v>1115</v>
      </c>
      <c r="V14" s="3103" t="s">
        <v>295</v>
      </c>
      <c r="W14" s="3103" t="s">
        <v>6791</v>
      </c>
      <c r="X14" s="3103" t="s">
        <v>6792</v>
      </c>
      <c r="Y14" s="3104" t="s">
        <v>164</v>
      </c>
    </row>
    <row r="15" spans="1:25" ht="18">
      <c r="A15" s="1304"/>
      <c r="B15" s="643">
        <v>1121</v>
      </c>
      <c r="C15" s="643" t="s">
        <v>159</v>
      </c>
      <c r="D15" s="3088">
        <v>1</v>
      </c>
      <c r="E15" s="3089" t="str">
        <f t="shared" si="0"/>
        <v>应收票据</v>
      </c>
      <c r="F15" s="3090" t="s">
        <v>160</v>
      </c>
      <c r="G15" s="3091">
        <f t="shared" si="1"/>
        <v>0</v>
      </c>
      <c r="H15" s="3092">
        <f t="shared" ca="1" si="2"/>
        <v>0</v>
      </c>
      <c r="I15" s="3094">
        <f ca="1">IF(AND(LEN(G15)&gt;0,LEN(H15)&gt;0),ROUND(SUM(G15)-SUM(H15),2),"")</f>
        <v>0</v>
      </c>
      <c r="J15" s="3073" t="str">
        <f ca="1">IF(ISNA(I15),"N/A",IF(I15=0,"√","？"))</f>
        <v>√</v>
      </c>
      <c r="K15" s="3091">
        <f t="shared" si="3"/>
        <v>0</v>
      </c>
      <c r="L15" s="3072">
        <f ca="1">INDIRECT("Notes!CheckB"&amp;$C15)</f>
        <v>0</v>
      </c>
      <c r="M15" s="3094">
        <f ca="1">IF(AND(LEN(K15)&gt;0,LEN(L15)&gt;0),ROUND(SUM(K15)-SUM(L15),2),"")</f>
        <v>0</v>
      </c>
      <c r="N15" s="3073" t="str">
        <f ca="1">IF(ISNA(M15),"N/A",IF(M15=0,"√","？"))</f>
        <v>√</v>
      </c>
      <c r="O15" s="3100"/>
      <c r="P15" s="3101"/>
      <c r="Q15" s="3101"/>
      <c r="R15" s="3101"/>
      <c r="S15" s="3102" t="s">
        <v>295</v>
      </c>
      <c r="T15" s="3102" t="s">
        <v>213</v>
      </c>
      <c r="U15" s="3103">
        <v>1121</v>
      </c>
      <c r="V15" s="3103" t="s">
        <v>295</v>
      </c>
      <c r="W15" s="3103" t="s">
        <v>145</v>
      </c>
      <c r="X15" s="3103" t="s">
        <v>6794</v>
      </c>
      <c r="Y15" s="3104" t="s">
        <v>119</v>
      </c>
    </row>
    <row r="16" spans="1:25" ht="18" hidden="1">
      <c r="A16" s="1304"/>
      <c r="B16" s="643">
        <v>1121</v>
      </c>
      <c r="C16" s="643" t="s">
        <v>170</v>
      </c>
      <c r="D16" s="3088">
        <v>2</v>
      </c>
      <c r="E16" s="3089" t="str">
        <f t="shared" si="0"/>
        <v>应收票据</v>
      </c>
      <c r="F16" s="3090" t="s">
        <v>171</v>
      </c>
      <c r="G16" s="3091">
        <f t="shared" si="1"/>
        <v>0</v>
      </c>
      <c r="H16" s="3092">
        <f t="shared" ca="1" si="2"/>
        <v>0</v>
      </c>
      <c r="I16" s="3094" t="s">
        <v>6797</v>
      </c>
      <c r="J16" s="3073"/>
      <c r="K16" s="3091">
        <f t="shared" si="3"/>
        <v>0</v>
      </c>
      <c r="L16" s="3072" t="s">
        <v>6793</v>
      </c>
      <c r="M16" s="3094" t="s">
        <v>6797</v>
      </c>
      <c r="N16" s="3073"/>
      <c r="O16" s="3100"/>
      <c r="P16" s="3101"/>
      <c r="Q16" s="3101"/>
      <c r="R16" s="3101"/>
      <c r="S16" s="3102" t="s">
        <v>295</v>
      </c>
      <c r="T16" s="3102" t="s">
        <v>213</v>
      </c>
      <c r="U16" s="3103">
        <v>1121</v>
      </c>
      <c r="V16" s="3103" t="s">
        <v>295</v>
      </c>
      <c r="W16" s="3103" t="s">
        <v>6791</v>
      </c>
      <c r="X16" s="3103" t="s">
        <v>6794</v>
      </c>
      <c r="Y16" s="3104" t="s">
        <v>164</v>
      </c>
    </row>
    <row r="17" spans="1:25" ht="24" hidden="1">
      <c r="A17" s="1304"/>
      <c r="B17" s="643">
        <v>1121</v>
      </c>
      <c r="C17" s="643" t="s">
        <v>178</v>
      </c>
      <c r="D17" s="3088">
        <v>2</v>
      </c>
      <c r="E17" s="3089" t="str">
        <f t="shared" si="0"/>
        <v>应收票据</v>
      </c>
      <c r="F17" s="3090" t="s">
        <v>179</v>
      </c>
      <c r="G17" s="3091">
        <f t="shared" si="1"/>
        <v>0</v>
      </c>
      <c r="H17" s="3092" t="s">
        <v>6793</v>
      </c>
      <c r="I17" s="3094" t="s">
        <v>6797</v>
      </c>
      <c r="J17" s="3073"/>
      <c r="K17" s="3091">
        <f t="shared" si="3"/>
        <v>0</v>
      </c>
      <c r="L17" s="3072" t="s">
        <v>6793</v>
      </c>
      <c r="M17" s="3094" t="s">
        <v>6797</v>
      </c>
      <c r="N17" s="3073"/>
      <c r="O17" s="3100"/>
      <c r="P17" s="3101"/>
      <c r="Q17" s="3101"/>
      <c r="R17" s="3101"/>
      <c r="S17" s="3102" t="s">
        <v>295</v>
      </c>
      <c r="T17" s="3102" t="s">
        <v>213</v>
      </c>
      <c r="U17" s="3103">
        <v>1121</v>
      </c>
      <c r="V17" s="3103" t="s">
        <v>295</v>
      </c>
      <c r="W17" s="3103" t="s">
        <v>6791</v>
      </c>
      <c r="X17" s="3103" t="s">
        <v>6794</v>
      </c>
      <c r="Y17" s="3104" t="s">
        <v>164</v>
      </c>
    </row>
    <row r="18" spans="1:25" ht="36" hidden="1">
      <c r="A18" s="1304"/>
      <c r="B18" s="643">
        <v>1121</v>
      </c>
      <c r="C18" s="643" t="s">
        <v>189</v>
      </c>
      <c r="D18" s="3088">
        <v>2</v>
      </c>
      <c r="E18" s="3089" t="str">
        <f t="shared" si="0"/>
        <v>应收票据</v>
      </c>
      <c r="F18" s="3090" t="s">
        <v>190</v>
      </c>
      <c r="G18" s="3091">
        <f t="shared" si="1"/>
        <v>0</v>
      </c>
      <c r="H18" s="3092">
        <f t="shared" ref="H18:H33" ca="1" si="4">INDIRECT("Notes!CheckA"&amp;$C18)</f>
        <v>0</v>
      </c>
      <c r="I18" s="3094" t="s">
        <v>6797</v>
      </c>
      <c r="J18" s="3073"/>
      <c r="K18" s="3091">
        <f t="shared" si="3"/>
        <v>0</v>
      </c>
      <c r="L18" s="3072" t="s">
        <v>6793</v>
      </c>
      <c r="M18" s="3094" t="s">
        <v>6797</v>
      </c>
      <c r="N18" s="3073"/>
      <c r="O18" s="3100"/>
      <c r="P18" s="3101"/>
      <c r="Q18" s="3101"/>
      <c r="R18" s="3101"/>
      <c r="S18" s="3102" t="s">
        <v>295</v>
      </c>
      <c r="T18" s="3102" t="s">
        <v>213</v>
      </c>
      <c r="U18" s="3103">
        <v>1121</v>
      </c>
      <c r="V18" s="3103" t="s">
        <v>295</v>
      </c>
      <c r="W18" s="3103" t="s">
        <v>6791</v>
      </c>
      <c r="X18" s="3103" t="s">
        <v>6794</v>
      </c>
      <c r="Y18" s="3104" t="s">
        <v>164</v>
      </c>
    </row>
    <row r="19" spans="1:25" ht="24" hidden="1">
      <c r="A19" s="1304"/>
      <c r="B19" s="643">
        <v>1121</v>
      </c>
      <c r="C19" s="643" t="s">
        <v>199</v>
      </c>
      <c r="D19" s="3088">
        <v>2</v>
      </c>
      <c r="E19" s="3089" t="str">
        <f t="shared" si="0"/>
        <v>应收票据</v>
      </c>
      <c r="F19" s="3090" t="s">
        <v>200</v>
      </c>
      <c r="G19" s="3091">
        <f t="shared" si="1"/>
        <v>0</v>
      </c>
      <c r="H19" s="3092">
        <f t="shared" ca="1" si="4"/>
        <v>0</v>
      </c>
      <c r="I19" s="3094" t="s">
        <v>6797</v>
      </c>
      <c r="J19" s="3073"/>
      <c r="K19" s="3091">
        <f t="shared" si="3"/>
        <v>0</v>
      </c>
      <c r="L19" s="3072" t="s">
        <v>6793</v>
      </c>
      <c r="M19" s="3094" t="s">
        <v>6797</v>
      </c>
      <c r="N19" s="3073"/>
      <c r="O19" s="3100"/>
      <c r="P19" s="3101"/>
      <c r="Q19" s="3101"/>
      <c r="R19" s="3101"/>
      <c r="S19" s="3102" t="s">
        <v>295</v>
      </c>
      <c r="T19" s="3102" t="s">
        <v>213</v>
      </c>
      <c r="U19" s="3103"/>
      <c r="V19" s="3103" t="s">
        <v>295</v>
      </c>
      <c r="W19" s="3103" t="s">
        <v>145</v>
      </c>
      <c r="X19" s="3103" t="s">
        <v>6794</v>
      </c>
      <c r="Y19" s="3104" t="s">
        <v>119</v>
      </c>
    </row>
    <row r="20" spans="1:25" ht="24" hidden="1">
      <c r="A20" s="1304"/>
      <c r="B20" s="643">
        <v>1121</v>
      </c>
      <c r="C20" s="643" t="s">
        <v>209</v>
      </c>
      <c r="D20" s="3088">
        <v>2</v>
      </c>
      <c r="E20" s="3089" t="str">
        <f t="shared" si="0"/>
        <v>应收票据</v>
      </c>
      <c r="F20" s="3090" t="s">
        <v>210</v>
      </c>
      <c r="G20" s="3091">
        <f t="shared" si="1"/>
        <v>0</v>
      </c>
      <c r="H20" s="3092">
        <f t="shared" ca="1" si="4"/>
        <v>0</v>
      </c>
      <c r="I20" s="3094" t="s">
        <v>6797</v>
      </c>
      <c r="J20" s="3073"/>
      <c r="K20" s="3091">
        <f t="shared" si="3"/>
        <v>0</v>
      </c>
      <c r="L20" s="3072" t="s">
        <v>6793</v>
      </c>
      <c r="M20" s="3094" t="s">
        <v>6797</v>
      </c>
      <c r="N20" s="3073"/>
      <c r="O20" s="3100"/>
      <c r="P20" s="3101"/>
      <c r="Q20" s="3101"/>
      <c r="R20" s="3101"/>
      <c r="S20" s="3102" t="s">
        <v>295</v>
      </c>
      <c r="T20" s="3102" t="s">
        <v>213</v>
      </c>
      <c r="U20" s="3103"/>
      <c r="V20" s="3103" t="s">
        <v>295</v>
      </c>
      <c r="W20" s="3103" t="s">
        <v>145</v>
      </c>
      <c r="X20" s="3103" t="s">
        <v>6794</v>
      </c>
      <c r="Y20" s="3104" t="s">
        <v>119</v>
      </c>
    </row>
    <row r="21" spans="1:25" ht="24" hidden="1">
      <c r="A21" s="1304"/>
      <c r="B21" s="643">
        <v>1121</v>
      </c>
      <c r="C21" s="643" t="s">
        <v>219</v>
      </c>
      <c r="D21" s="3088">
        <v>2</v>
      </c>
      <c r="E21" s="3089" t="str">
        <f t="shared" si="0"/>
        <v>应收票据</v>
      </c>
      <c r="F21" s="3090" t="s">
        <v>220</v>
      </c>
      <c r="G21" s="3091">
        <f t="shared" si="1"/>
        <v>0</v>
      </c>
      <c r="H21" s="3092">
        <f t="shared" ca="1" si="4"/>
        <v>0</v>
      </c>
      <c r="I21" s="3094" t="s">
        <v>6797</v>
      </c>
      <c r="J21" s="3073"/>
      <c r="K21" s="3091">
        <f t="shared" si="3"/>
        <v>0</v>
      </c>
      <c r="L21" s="3072" t="s">
        <v>6793</v>
      </c>
      <c r="M21" s="3094" t="s">
        <v>6797</v>
      </c>
      <c r="N21" s="3073"/>
      <c r="O21" s="3100"/>
      <c r="P21" s="3101"/>
      <c r="Q21" s="3101"/>
      <c r="R21" s="3101"/>
      <c r="S21" s="3102" t="s">
        <v>295</v>
      </c>
      <c r="T21" s="3102" t="s">
        <v>213</v>
      </c>
      <c r="U21" s="3103"/>
      <c r="V21" s="3103" t="s">
        <v>295</v>
      </c>
      <c r="W21" s="3103" t="s">
        <v>145</v>
      </c>
      <c r="X21" s="3103" t="s">
        <v>6794</v>
      </c>
      <c r="Y21" s="3104" t="s">
        <v>119</v>
      </c>
    </row>
    <row r="22" spans="1:25" ht="24" hidden="1">
      <c r="A22" s="1304"/>
      <c r="B22" s="643">
        <v>1121</v>
      </c>
      <c r="C22" s="643" t="s">
        <v>6117</v>
      </c>
      <c r="D22" s="3088">
        <v>2</v>
      </c>
      <c r="E22" s="3089" t="str">
        <f t="shared" si="0"/>
        <v>应收票据</v>
      </c>
      <c r="F22" s="3090" t="s">
        <v>6118</v>
      </c>
      <c r="G22" s="3091">
        <f t="shared" si="1"/>
        <v>0</v>
      </c>
      <c r="H22" s="3092">
        <f t="shared" ca="1" si="4"/>
        <v>0</v>
      </c>
      <c r="I22" s="3094" t="s">
        <v>6797</v>
      </c>
      <c r="J22" s="3073"/>
      <c r="K22" s="3091">
        <f t="shared" si="3"/>
        <v>0</v>
      </c>
      <c r="L22" s="3072">
        <f ca="1">INDIRECT("Notes!CheckB"&amp;$C22)</f>
        <v>0</v>
      </c>
      <c r="M22" s="3094" t="s">
        <v>6797</v>
      </c>
      <c r="N22" s="3073"/>
      <c r="O22" s="3100"/>
      <c r="P22" s="3101"/>
      <c r="Q22" s="3101"/>
      <c r="R22" s="3101"/>
      <c r="S22" s="3102" t="s">
        <v>295</v>
      </c>
      <c r="T22" s="3102" t="s">
        <v>213</v>
      </c>
      <c r="U22" s="3103"/>
      <c r="V22" s="3103" t="s">
        <v>295</v>
      </c>
      <c r="W22" s="3103" t="s">
        <v>145</v>
      </c>
      <c r="X22" s="3103" t="s">
        <v>213</v>
      </c>
      <c r="Y22" s="3104" t="s">
        <v>119</v>
      </c>
    </row>
    <row r="23" spans="1:25" ht="24" hidden="1">
      <c r="A23" s="1304"/>
      <c r="B23" s="643">
        <v>1121</v>
      </c>
      <c r="C23" s="643" t="s">
        <v>227</v>
      </c>
      <c r="D23" s="3088">
        <v>2</v>
      </c>
      <c r="E23" s="3089" t="str">
        <f t="shared" si="0"/>
        <v>应收票据</v>
      </c>
      <c r="F23" s="3090" t="s">
        <v>228</v>
      </c>
      <c r="G23" s="3091">
        <f t="shared" si="1"/>
        <v>0</v>
      </c>
      <c r="H23" s="3092">
        <f t="shared" ca="1" si="4"/>
        <v>0</v>
      </c>
      <c r="I23" s="3094" t="s">
        <v>6797</v>
      </c>
      <c r="J23" s="3073"/>
      <c r="K23" s="3091">
        <f t="shared" si="3"/>
        <v>0</v>
      </c>
      <c r="L23" s="3072">
        <f ca="1">INDIRECT("Notes!CheckB"&amp;$C23)</f>
        <v>0</v>
      </c>
      <c r="M23" s="3094" t="s">
        <v>6797</v>
      </c>
      <c r="N23" s="3073"/>
      <c r="O23" s="3100"/>
      <c r="P23" s="3101"/>
      <c r="Q23" s="3101"/>
      <c r="R23" s="3101"/>
      <c r="S23" s="3102" t="s">
        <v>295</v>
      </c>
      <c r="T23" s="3102" t="s">
        <v>213</v>
      </c>
      <c r="U23" s="3103"/>
      <c r="V23" s="3103" t="s">
        <v>295</v>
      </c>
      <c r="W23" s="3103" t="s">
        <v>145</v>
      </c>
      <c r="X23" s="3103" t="s">
        <v>6794</v>
      </c>
      <c r="Y23" s="3104" t="s">
        <v>119</v>
      </c>
    </row>
    <row r="24" spans="1:25" ht="24" hidden="1">
      <c r="A24" s="1304"/>
      <c r="B24" s="643">
        <v>1121</v>
      </c>
      <c r="C24" s="643" t="s">
        <v>235</v>
      </c>
      <c r="D24" s="3088">
        <v>2</v>
      </c>
      <c r="E24" s="3089" t="str">
        <f t="shared" si="0"/>
        <v>应收票据</v>
      </c>
      <c r="F24" s="3090" t="s">
        <v>236</v>
      </c>
      <c r="G24" s="3091">
        <f t="shared" si="1"/>
        <v>0</v>
      </c>
      <c r="H24" s="3092">
        <f t="shared" ca="1" si="4"/>
        <v>0</v>
      </c>
      <c r="I24" s="3094" t="s">
        <v>6797</v>
      </c>
      <c r="J24" s="3073"/>
      <c r="K24" s="3091">
        <f t="shared" si="3"/>
        <v>0</v>
      </c>
      <c r="L24" s="3072" t="s">
        <v>6793</v>
      </c>
      <c r="M24" s="3094" t="s">
        <v>6797</v>
      </c>
      <c r="N24" s="3073"/>
      <c r="O24" s="3100"/>
      <c r="P24" s="3101"/>
      <c r="Q24" s="3101"/>
      <c r="R24" s="3101"/>
      <c r="S24" s="3102" t="s">
        <v>295</v>
      </c>
      <c r="T24" s="3102" t="s">
        <v>213</v>
      </c>
      <c r="U24" s="3103">
        <v>1121</v>
      </c>
      <c r="V24" s="3103" t="s">
        <v>295</v>
      </c>
      <c r="W24" s="3103" t="s">
        <v>6791</v>
      </c>
      <c r="X24" s="3103" t="s">
        <v>6794</v>
      </c>
      <c r="Y24" s="3104" t="s">
        <v>164</v>
      </c>
    </row>
    <row r="25" spans="1:25" ht="24" hidden="1">
      <c r="A25" s="1304"/>
      <c r="B25" s="643">
        <v>1121</v>
      </c>
      <c r="C25" s="643" t="s">
        <v>245</v>
      </c>
      <c r="D25" s="3088">
        <v>2</v>
      </c>
      <c r="E25" s="3089" t="str">
        <f t="shared" si="0"/>
        <v>应收票据</v>
      </c>
      <c r="F25" s="3090" t="s">
        <v>246</v>
      </c>
      <c r="G25" s="3091">
        <f t="shared" si="1"/>
        <v>0</v>
      </c>
      <c r="H25" s="3092">
        <f t="shared" ca="1" si="4"/>
        <v>0</v>
      </c>
      <c r="I25" s="3094" t="s">
        <v>6797</v>
      </c>
      <c r="J25" s="3073"/>
      <c r="K25" s="3091">
        <f t="shared" si="3"/>
        <v>0</v>
      </c>
      <c r="L25" s="3072" t="s">
        <v>6793</v>
      </c>
      <c r="M25" s="3094" t="s">
        <v>6797</v>
      </c>
      <c r="N25" s="3073"/>
      <c r="O25" s="3100"/>
      <c r="P25" s="3101"/>
      <c r="Q25" s="3101"/>
      <c r="R25" s="3101"/>
      <c r="S25" s="3102" t="s">
        <v>295</v>
      </c>
      <c r="T25" s="3102" t="s">
        <v>213</v>
      </c>
      <c r="U25" s="3103">
        <v>1121</v>
      </c>
      <c r="V25" s="3103" t="s">
        <v>295</v>
      </c>
      <c r="W25" s="3103" t="s">
        <v>6791</v>
      </c>
      <c r="X25" s="3103" t="s">
        <v>6794</v>
      </c>
      <c r="Y25" s="3104" t="s">
        <v>164</v>
      </c>
    </row>
    <row r="26" spans="1:25" ht="24" hidden="1">
      <c r="A26" s="1304"/>
      <c r="B26" s="643">
        <v>1121</v>
      </c>
      <c r="C26" s="643" t="s">
        <v>255</v>
      </c>
      <c r="D26" s="3088">
        <v>2</v>
      </c>
      <c r="E26" s="3089" t="str">
        <f t="shared" si="0"/>
        <v>应收票据</v>
      </c>
      <c r="F26" s="3090" t="s">
        <v>256</v>
      </c>
      <c r="G26" s="3091">
        <f t="shared" si="1"/>
        <v>0</v>
      </c>
      <c r="H26" s="3092">
        <f t="shared" ca="1" si="4"/>
        <v>0</v>
      </c>
      <c r="I26" s="3094" t="s">
        <v>6797</v>
      </c>
      <c r="J26" s="3073"/>
      <c r="K26" s="3091">
        <f t="shared" si="3"/>
        <v>0</v>
      </c>
      <c r="L26" s="3072" t="s">
        <v>6793</v>
      </c>
      <c r="M26" s="3094" t="s">
        <v>6797</v>
      </c>
      <c r="N26" s="3073"/>
      <c r="O26" s="3100"/>
      <c r="P26" s="3101"/>
      <c r="Q26" s="3101"/>
      <c r="R26" s="3101"/>
      <c r="S26" s="3102" t="s">
        <v>295</v>
      </c>
      <c r="T26" s="3102" t="s">
        <v>213</v>
      </c>
      <c r="U26" s="3103"/>
      <c r="V26" s="3103" t="s">
        <v>295</v>
      </c>
      <c r="W26" s="3103" t="s">
        <v>6791</v>
      </c>
      <c r="X26" s="3103" t="s">
        <v>6794</v>
      </c>
      <c r="Y26" s="3104" t="s">
        <v>164</v>
      </c>
    </row>
    <row r="27" spans="1:25" ht="18" hidden="1">
      <c r="A27" s="1304"/>
      <c r="B27" s="643">
        <v>1121</v>
      </c>
      <c r="C27" s="643" t="s">
        <v>5585</v>
      </c>
      <c r="D27" s="3088">
        <v>2</v>
      </c>
      <c r="E27" s="3089" t="str">
        <f t="shared" si="0"/>
        <v>应收票据</v>
      </c>
      <c r="F27" s="3090" t="s">
        <v>5586</v>
      </c>
      <c r="G27" s="3091">
        <f t="shared" si="1"/>
        <v>0</v>
      </c>
      <c r="H27" s="3092">
        <f t="shared" ca="1" si="4"/>
        <v>0</v>
      </c>
      <c r="I27" s="3094" t="s">
        <v>6797</v>
      </c>
      <c r="J27" s="3073"/>
      <c r="K27" s="3091">
        <f t="shared" si="3"/>
        <v>0</v>
      </c>
      <c r="L27" s="3072">
        <f ca="1">INDIRECT("Notes!CheckB"&amp;$C27)</f>
        <v>0</v>
      </c>
      <c r="M27" s="3094" t="s">
        <v>6797</v>
      </c>
      <c r="N27" s="3073"/>
      <c r="O27" s="3100"/>
      <c r="P27" s="3101"/>
      <c r="Q27" s="3101"/>
      <c r="R27" s="3101"/>
      <c r="S27" s="3102" t="s">
        <v>295</v>
      </c>
      <c r="T27" s="3102" t="s">
        <v>213</v>
      </c>
      <c r="U27" s="3103"/>
      <c r="V27" s="3103" t="s">
        <v>295</v>
      </c>
      <c r="W27" s="3103" t="s">
        <v>6791</v>
      </c>
      <c r="X27" s="3103" t="s">
        <v>213</v>
      </c>
      <c r="Y27" s="3104" t="s">
        <v>164</v>
      </c>
    </row>
    <row r="28" spans="1:25" ht="18">
      <c r="A28" s="1304"/>
      <c r="B28" s="643">
        <v>1122</v>
      </c>
      <c r="C28" s="643" t="s">
        <v>271</v>
      </c>
      <c r="D28" s="3088">
        <v>1</v>
      </c>
      <c r="E28" s="3089" t="str">
        <f t="shared" si="0"/>
        <v>应收账款</v>
      </c>
      <c r="F28" s="3090" t="s">
        <v>272</v>
      </c>
      <c r="G28" s="3091">
        <f t="shared" si="1"/>
        <v>1200000</v>
      </c>
      <c r="H28" s="3092">
        <f t="shared" ca="1" si="4"/>
        <v>1200000</v>
      </c>
      <c r="I28" s="3094">
        <f ca="1">IF(AND(LEN(G28)&gt;0,LEN(H28)&gt;0),ROUND(SUM(G28)-SUM(H28),2),"")</f>
        <v>0</v>
      </c>
      <c r="J28" s="3073" t="str">
        <f ca="1">IF(ISNA(I28),"N/A",IF(I28=0,"√","？"))</f>
        <v>√</v>
      </c>
      <c r="K28" s="3091">
        <f t="shared" si="3"/>
        <v>0</v>
      </c>
      <c r="L28" s="3072">
        <f ca="1">INDIRECT("Notes!CheckB"&amp;$C28)</f>
        <v>0</v>
      </c>
      <c r="M28" s="3094">
        <f ca="1">IF(AND(LEN(K28)&gt;0,LEN(L28)&gt;0),ROUND(SUM(K28)-SUM(L28),2),"")</f>
        <v>0</v>
      </c>
      <c r="N28" s="3073" t="str">
        <f ca="1">IF(ISNA(M28),"N/A",IF(M28=0,"√","？"))</f>
        <v>√</v>
      </c>
      <c r="O28" s="3100"/>
      <c r="P28" s="3101"/>
      <c r="Q28" s="3101"/>
      <c r="R28" s="3101"/>
      <c r="S28" s="3102" t="s">
        <v>295</v>
      </c>
      <c r="T28" s="3102" t="s">
        <v>213</v>
      </c>
      <c r="U28" s="3103">
        <v>1122</v>
      </c>
      <c r="V28" s="3103" t="s">
        <v>295</v>
      </c>
      <c r="W28" s="3103" t="s">
        <v>145</v>
      </c>
      <c r="X28" s="3103" t="s">
        <v>6794</v>
      </c>
      <c r="Y28" s="3104" t="s">
        <v>119</v>
      </c>
    </row>
    <row r="29" spans="1:25" ht="36" hidden="1">
      <c r="A29" s="1304"/>
      <c r="B29" s="643">
        <v>1122</v>
      </c>
      <c r="C29" s="643" t="s">
        <v>281</v>
      </c>
      <c r="D29" s="3088">
        <v>2</v>
      </c>
      <c r="E29" s="3089" t="str">
        <f t="shared" si="0"/>
        <v>应收账款</v>
      </c>
      <c r="F29" s="3090" t="s">
        <v>6421</v>
      </c>
      <c r="G29" s="3091">
        <f t="shared" si="1"/>
        <v>1200000</v>
      </c>
      <c r="H29" s="3092">
        <f t="shared" ca="1" si="4"/>
        <v>1200000</v>
      </c>
      <c r="I29" s="3094" t="s">
        <v>6797</v>
      </c>
      <c r="J29" s="3073"/>
      <c r="K29" s="3091">
        <f t="shared" si="3"/>
        <v>0</v>
      </c>
      <c r="L29" s="3072" t="s">
        <v>6793</v>
      </c>
      <c r="M29" s="3094" t="s">
        <v>6797</v>
      </c>
      <c r="N29" s="3073"/>
      <c r="O29" s="3100"/>
      <c r="P29" s="3101"/>
      <c r="Q29" s="3101"/>
      <c r="R29" s="3101"/>
      <c r="S29" s="3102" t="s">
        <v>295</v>
      </c>
      <c r="T29" s="3102" t="s">
        <v>213</v>
      </c>
      <c r="U29" s="3103"/>
      <c r="V29" s="3103" t="s">
        <v>295</v>
      </c>
      <c r="W29" s="3103" t="s">
        <v>145</v>
      </c>
      <c r="X29" s="3103" t="s">
        <v>6794</v>
      </c>
      <c r="Y29" s="3104" t="s">
        <v>119</v>
      </c>
    </row>
    <row r="30" spans="1:25" ht="36" hidden="1">
      <c r="A30" s="1304"/>
      <c r="B30" s="643">
        <v>1122</v>
      </c>
      <c r="C30" s="643" t="s">
        <v>302</v>
      </c>
      <c r="D30" s="3088">
        <v>2</v>
      </c>
      <c r="E30" s="3089" t="str">
        <f t="shared" si="0"/>
        <v>应收账款</v>
      </c>
      <c r="F30" s="3090" t="s">
        <v>6422</v>
      </c>
      <c r="G30" s="3091">
        <f t="shared" si="1"/>
        <v>1200000</v>
      </c>
      <c r="H30" s="3092">
        <f t="shared" ca="1" si="4"/>
        <v>0</v>
      </c>
      <c r="I30" s="3094" t="s">
        <v>6797</v>
      </c>
      <c r="J30" s="3073"/>
      <c r="K30" s="3091">
        <f t="shared" si="3"/>
        <v>0</v>
      </c>
      <c r="L30" s="3072" t="s">
        <v>6793</v>
      </c>
      <c r="M30" s="3094" t="s">
        <v>6797</v>
      </c>
      <c r="N30" s="3073"/>
      <c r="O30" s="3100"/>
      <c r="P30" s="3101"/>
      <c r="Q30" s="3101"/>
      <c r="R30" s="3101"/>
      <c r="S30" s="3102" t="s">
        <v>295</v>
      </c>
      <c r="T30" s="3102" t="s">
        <v>213</v>
      </c>
      <c r="U30" s="3103"/>
      <c r="V30" s="3103" t="s">
        <v>295</v>
      </c>
      <c r="W30" s="3103" t="s">
        <v>145</v>
      </c>
      <c r="X30" s="3103" t="s">
        <v>6794</v>
      </c>
      <c r="Y30" s="3104" t="s">
        <v>119</v>
      </c>
    </row>
    <row r="31" spans="1:25" ht="36" hidden="1">
      <c r="A31" s="1304"/>
      <c r="B31" s="643">
        <v>1122</v>
      </c>
      <c r="C31" s="643" t="s">
        <v>310</v>
      </c>
      <c r="D31" s="3088">
        <v>2</v>
      </c>
      <c r="E31" s="3089" t="str">
        <f t="shared" si="0"/>
        <v>应收账款</v>
      </c>
      <c r="F31" s="3090" t="s">
        <v>6423</v>
      </c>
      <c r="G31" s="3091">
        <f t="shared" si="1"/>
        <v>1200000</v>
      </c>
      <c r="H31" s="3092">
        <f t="shared" ca="1" si="4"/>
        <v>0</v>
      </c>
      <c r="I31" s="3094" t="s">
        <v>6797</v>
      </c>
      <c r="J31" s="3073"/>
      <c r="K31" s="3091">
        <f t="shared" si="3"/>
        <v>0</v>
      </c>
      <c r="L31" s="3072" t="s">
        <v>6793</v>
      </c>
      <c r="M31" s="3094" t="s">
        <v>6797</v>
      </c>
      <c r="N31" s="3073"/>
      <c r="O31" s="3100"/>
      <c r="P31" s="3101"/>
      <c r="Q31" s="3101"/>
      <c r="R31" s="3101"/>
      <c r="S31" s="3102" t="s">
        <v>295</v>
      </c>
      <c r="T31" s="3102" t="s">
        <v>213</v>
      </c>
      <c r="U31" s="3103"/>
      <c r="V31" s="3103" t="s">
        <v>295</v>
      </c>
      <c r="W31" s="3103" t="s">
        <v>145</v>
      </c>
      <c r="X31" s="3103" t="s">
        <v>6794</v>
      </c>
      <c r="Y31" s="3104" t="s">
        <v>119</v>
      </c>
    </row>
    <row r="32" spans="1:25" ht="36" hidden="1">
      <c r="A32" s="1304"/>
      <c r="B32" s="643">
        <v>1122</v>
      </c>
      <c r="C32" s="643" t="s">
        <v>316</v>
      </c>
      <c r="D32" s="3088">
        <v>2</v>
      </c>
      <c r="E32" s="3089" t="str">
        <f t="shared" si="0"/>
        <v>应收账款</v>
      </c>
      <c r="F32" s="3090" t="s">
        <v>6424</v>
      </c>
      <c r="G32" s="3091">
        <f t="shared" si="1"/>
        <v>1200000</v>
      </c>
      <c r="H32" s="3092">
        <f t="shared" ca="1" si="4"/>
        <v>0</v>
      </c>
      <c r="I32" s="3094" t="s">
        <v>6797</v>
      </c>
      <c r="J32" s="3073"/>
      <c r="K32" s="3091">
        <f t="shared" si="3"/>
        <v>0</v>
      </c>
      <c r="L32" s="3072" t="s">
        <v>6793</v>
      </c>
      <c r="M32" s="3094" t="s">
        <v>6797</v>
      </c>
      <c r="N32" s="3073"/>
      <c r="O32" s="3100"/>
      <c r="P32" s="3101"/>
      <c r="Q32" s="3101"/>
      <c r="R32" s="3101"/>
      <c r="S32" s="3102" t="s">
        <v>295</v>
      </c>
      <c r="T32" s="3102" t="s">
        <v>213</v>
      </c>
      <c r="U32" s="3103"/>
      <c r="V32" s="3103" t="s">
        <v>295</v>
      </c>
      <c r="W32" s="3103" t="s">
        <v>145</v>
      </c>
      <c r="X32" s="3103" t="s">
        <v>213</v>
      </c>
      <c r="Y32" s="3104" t="s">
        <v>119</v>
      </c>
    </row>
    <row r="33" spans="1:25" ht="36" hidden="1">
      <c r="A33" s="1304"/>
      <c r="B33" s="643">
        <v>1122</v>
      </c>
      <c r="C33" s="643">
        <v>112202</v>
      </c>
      <c r="D33" s="3088">
        <v>2</v>
      </c>
      <c r="E33" s="3089" t="str">
        <f t="shared" si="0"/>
        <v>应收账款</v>
      </c>
      <c r="F33" s="3090" t="s">
        <v>6425</v>
      </c>
      <c r="G33" s="3091">
        <f t="shared" si="1"/>
        <v>1200000</v>
      </c>
      <c r="H33" s="3092">
        <f t="shared" ca="1" si="4"/>
        <v>0</v>
      </c>
      <c r="I33" s="3094" t="s">
        <v>6797</v>
      </c>
      <c r="J33" s="3073"/>
      <c r="K33" s="3091">
        <f t="shared" si="3"/>
        <v>0</v>
      </c>
      <c r="L33" s="3072" t="s">
        <v>6793</v>
      </c>
      <c r="M33" s="3094" t="s">
        <v>6797</v>
      </c>
      <c r="N33" s="3073"/>
      <c r="O33" s="3100"/>
      <c r="P33" s="3101"/>
      <c r="Q33" s="3101"/>
      <c r="R33" s="3101"/>
      <c r="S33" s="3102" t="s">
        <v>295</v>
      </c>
      <c r="T33" s="3102" t="s">
        <v>213</v>
      </c>
      <c r="U33" s="3103"/>
      <c r="V33" s="3103" t="s">
        <v>295</v>
      </c>
      <c r="W33" s="3103" t="s">
        <v>145</v>
      </c>
      <c r="X33" s="3103" t="s">
        <v>213</v>
      </c>
      <c r="Y33" s="3104" t="s">
        <v>119</v>
      </c>
    </row>
    <row r="34" spans="1:25" ht="36" hidden="1">
      <c r="A34" s="1304"/>
      <c r="B34" s="643">
        <v>1122</v>
      </c>
      <c r="C34" s="643" t="s">
        <v>292</v>
      </c>
      <c r="D34" s="3088">
        <v>2</v>
      </c>
      <c r="E34" s="3089" t="str">
        <f t="shared" si="0"/>
        <v>应收账款</v>
      </c>
      <c r="F34" s="3090" t="s">
        <v>6426</v>
      </c>
      <c r="G34" s="3091">
        <f t="shared" si="1"/>
        <v>1200000</v>
      </c>
      <c r="H34" s="3092" t="s">
        <v>6793</v>
      </c>
      <c r="I34" s="3094" t="s">
        <v>6797</v>
      </c>
      <c r="J34" s="3073"/>
      <c r="K34" s="3091">
        <f t="shared" si="3"/>
        <v>0</v>
      </c>
      <c r="L34" s="3072">
        <f ca="1">INDIRECT("Notes!CheckB"&amp;$C34)</f>
        <v>0</v>
      </c>
      <c r="M34" s="3094" t="s">
        <v>6797</v>
      </c>
      <c r="N34" s="3073"/>
      <c r="O34" s="3100"/>
      <c r="P34" s="3101"/>
      <c r="Q34" s="3101"/>
      <c r="R34" s="3101"/>
      <c r="S34" s="3102" t="s">
        <v>295</v>
      </c>
      <c r="T34" s="3102" t="s">
        <v>213</v>
      </c>
      <c r="U34" s="3103"/>
      <c r="V34" s="3103" t="s">
        <v>295</v>
      </c>
      <c r="W34" s="3103" t="s">
        <v>145</v>
      </c>
      <c r="X34" s="3103" t="s">
        <v>6794</v>
      </c>
      <c r="Y34" s="3104" t="s">
        <v>119</v>
      </c>
    </row>
    <row r="35" spans="1:25" ht="48" hidden="1">
      <c r="A35" s="1304"/>
      <c r="B35" s="643">
        <v>1122</v>
      </c>
      <c r="C35" s="643" t="s">
        <v>5109</v>
      </c>
      <c r="D35" s="3088">
        <v>2</v>
      </c>
      <c r="E35" s="3089" t="str">
        <f t="shared" si="0"/>
        <v>应收账款</v>
      </c>
      <c r="F35" s="3090" t="s">
        <v>6427</v>
      </c>
      <c r="G35" s="3091">
        <f t="shared" si="1"/>
        <v>1200000</v>
      </c>
      <c r="H35" s="3092" t="s">
        <v>6793</v>
      </c>
      <c r="I35" s="3094" t="s">
        <v>6797</v>
      </c>
      <c r="J35" s="3073"/>
      <c r="K35" s="3091">
        <f t="shared" si="3"/>
        <v>0</v>
      </c>
      <c r="L35" s="3072">
        <f ca="1">INDIRECT("Notes!CheckB"&amp;$C35)</f>
        <v>0</v>
      </c>
      <c r="M35" s="3094" t="s">
        <v>6797</v>
      </c>
      <c r="N35" s="3073"/>
      <c r="O35" s="3100"/>
      <c r="P35" s="3101"/>
      <c r="Q35" s="3101"/>
      <c r="R35" s="3101"/>
      <c r="S35" s="3102" t="s">
        <v>295</v>
      </c>
      <c r="T35" s="3102" t="s">
        <v>213</v>
      </c>
      <c r="U35" s="3103"/>
      <c r="V35" s="3103" t="s">
        <v>295</v>
      </c>
      <c r="W35" s="3103" t="s">
        <v>145</v>
      </c>
      <c r="X35" s="3103" t="s">
        <v>6794</v>
      </c>
      <c r="Y35" s="3104" t="s">
        <v>119</v>
      </c>
    </row>
    <row r="36" spans="1:25" ht="48" hidden="1">
      <c r="A36" s="1304"/>
      <c r="B36" s="643">
        <v>1122</v>
      </c>
      <c r="C36" s="643" t="s">
        <v>5110</v>
      </c>
      <c r="D36" s="3088">
        <v>2</v>
      </c>
      <c r="E36" s="3089" t="str">
        <f t="shared" si="0"/>
        <v>应收账款</v>
      </c>
      <c r="F36" s="3090" t="s">
        <v>6428</v>
      </c>
      <c r="G36" s="3091">
        <f t="shared" si="1"/>
        <v>1200000</v>
      </c>
      <c r="H36" s="3092" t="s">
        <v>6793</v>
      </c>
      <c r="I36" s="3094" t="s">
        <v>6797</v>
      </c>
      <c r="J36" s="3073"/>
      <c r="K36" s="3091">
        <f t="shared" si="3"/>
        <v>0</v>
      </c>
      <c r="L36" s="3072">
        <f ca="1">INDIRECT("Notes!CheckB"&amp;$C36)</f>
        <v>0</v>
      </c>
      <c r="M36" s="3094" t="s">
        <v>6797</v>
      </c>
      <c r="N36" s="3073"/>
      <c r="O36" s="3100"/>
      <c r="P36" s="3101"/>
      <c r="Q36" s="3101"/>
      <c r="R36" s="3101"/>
      <c r="S36" s="3102" t="s">
        <v>295</v>
      </c>
      <c r="T36" s="3102" t="s">
        <v>213</v>
      </c>
      <c r="U36" s="3103"/>
      <c r="V36" s="3103" t="s">
        <v>295</v>
      </c>
      <c r="W36" s="3103" t="s">
        <v>145</v>
      </c>
      <c r="X36" s="3103" t="s">
        <v>6794</v>
      </c>
      <c r="Y36" s="3104" t="s">
        <v>119</v>
      </c>
    </row>
    <row r="37" spans="1:25" ht="24" hidden="1">
      <c r="A37" s="1304"/>
      <c r="B37" s="643">
        <v>1122</v>
      </c>
      <c r="C37" s="643" t="s">
        <v>335</v>
      </c>
      <c r="D37" s="3088">
        <v>2</v>
      </c>
      <c r="E37" s="3089" t="str">
        <f t="shared" si="0"/>
        <v>应收账款</v>
      </c>
      <c r="F37" s="3090" t="s">
        <v>336</v>
      </c>
      <c r="G37" s="3091">
        <f t="shared" si="1"/>
        <v>1200000</v>
      </c>
      <c r="H37" s="3092">
        <f t="shared" ref="H37:H68" ca="1" si="5">INDIRECT("Notes!CheckA"&amp;$C37)</f>
        <v>0</v>
      </c>
      <c r="I37" s="3094" t="s">
        <v>6797</v>
      </c>
      <c r="J37" s="3073"/>
      <c r="K37" s="3091">
        <f t="shared" si="3"/>
        <v>0</v>
      </c>
      <c r="L37" s="3072">
        <f ca="1">INDIRECT("Notes!CheckB"&amp;$C37)</f>
        <v>0</v>
      </c>
      <c r="M37" s="3094" t="s">
        <v>6797</v>
      </c>
      <c r="N37" s="3073"/>
      <c r="O37" s="3100"/>
      <c r="P37" s="3101"/>
      <c r="Q37" s="3101"/>
      <c r="R37" s="3101"/>
      <c r="S37" s="3102" t="s">
        <v>295</v>
      </c>
      <c r="T37" s="3102" t="s">
        <v>213</v>
      </c>
      <c r="U37" s="3103"/>
      <c r="V37" s="3103" t="s">
        <v>295</v>
      </c>
      <c r="W37" s="3103" t="s">
        <v>145</v>
      </c>
      <c r="X37" s="3103" t="s">
        <v>6794</v>
      </c>
      <c r="Y37" s="3104" t="s">
        <v>119</v>
      </c>
    </row>
    <row r="38" spans="1:25" ht="24" hidden="1">
      <c r="A38" s="1304"/>
      <c r="B38" s="643">
        <v>1122</v>
      </c>
      <c r="C38" s="643" t="s">
        <v>342</v>
      </c>
      <c r="D38" s="3088">
        <v>2</v>
      </c>
      <c r="E38" s="3089" t="str">
        <f t="shared" si="0"/>
        <v>应收账款</v>
      </c>
      <c r="F38" s="3090" t="s">
        <v>343</v>
      </c>
      <c r="G38" s="3091">
        <f t="shared" si="1"/>
        <v>1200000</v>
      </c>
      <c r="H38" s="3092">
        <f t="shared" ca="1" si="5"/>
        <v>0</v>
      </c>
      <c r="I38" s="3094" t="s">
        <v>6797</v>
      </c>
      <c r="J38" s="3073"/>
      <c r="K38" s="3091">
        <f t="shared" si="3"/>
        <v>0</v>
      </c>
      <c r="L38" s="3072" t="s">
        <v>6793</v>
      </c>
      <c r="M38" s="3094" t="s">
        <v>6797</v>
      </c>
      <c r="N38" s="3073"/>
      <c r="O38" s="3100"/>
      <c r="P38" s="3101"/>
      <c r="Q38" s="3101"/>
      <c r="R38" s="3101"/>
      <c r="S38" s="3102" t="s">
        <v>295</v>
      </c>
      <c r="T38" s="3102" t="s">
        <v>213</v>
      </c>
      <c r="U38" s="3103">
        <v>1122</v>
      </c>
      <c r="V38" s="3103" t="s">
        <v>295</v>
      </c>
      <c r="W38" s="3103" t="s">
        <v>6791</v>
      </c>
      <c r="X38" s="3103" t="s">
        <v>6794</v>
      </c>
      <c r="Y38" s="3104" t="s">
        <v>164</v>
      </c>
    </row>
    <row r="39" spans="1:25" ht="24" hidden="1">
      <c r="A39" s="1304"/>
      <c r="B39" s="643">
        <v>1122</v>
      </c>
      <c r="C39" s="643" t="s">
        <v>349</v>
      </c>
      <c r="D39" s="3088">
        <v>2</v>
      </c>
      <c r="E39" s="3089" t="str">
        <f t="shared" si="0"/>
        <v>应收账款</v>
      </c>
      <c r="F39" s="3090" t="s">
        <v>350</v>
      </c>
      <c r="G39" s="3091">
        <f t="shared" si="1"/>
        <v>1200000</v>
      </c>
      <c r="H39" s="3092">
        <f t="shared" ca="1" si="5"/>
        <v>0</v>
      </c>
      <c r="I39" s="3094" t="s">
        <v>6797</v>
      </c>
      <c r="J39" s="3073"/>
      <c r="K39" s="3091">
        <f t="shared" si="3"/>
        <v>0</v>
      </c>
      <c r="L39" s="3072" t="s">
        <v>6793</v>
      </c>
      <c r="M39" s="3094" t="s">
        <v>6797</v>
      </c>
      <c r="N39" s="3073"/>
      <c r="O39" s="3100"/>
      <c r="P39" s="3101"/>
      <c r="Q39" s="3101"/>
      <c r="R39" s="3101"/>
      <c r="S39" s="3102" t="s">
        <v>295</v>
      </c>
      <c r="T39" s="3102" t="s">
        <v>213</v>
      </c>
      <c r="U39" s="3103">
        <v>1122</v>
      </c>
      <c r="V39" s="3103" t="s">
        <v>295</v>
      </c>
      <c r="W39" s="3103" t="s">
        <v>6791</v>
      </c>
      <c r="X39" s="3103" t="s">
        <v>6794</v>
      </c>
      <c r="Y39" s="3104" t="s">
        <v>164</v>
      </c>
    </row>
    <row r="40" spans="1:25" ht="24" hidden="1">
      <c r="A40" s="1304"/>
      <c r="B40" s="643">
        <v>1122</v>
      </c>
      <c r="C40" s="643" t="s">
        <v>357</v>
      </c>
      <c r="D40" s="3088">
        <v>2</v>
      </c>
      <c r="E40" s="3089" t="str">
        <f t="shared" si="0"/>
        <v>应收账款</v>
      </c>
      <c r="F40" s="3090" t="s">
        <v>358</v>
      </c>
      <c r="G40" s="3091">
        <f t="shared" si="1"/>
        <v>1200000</v>
      </c>
      <c r="H40" s="3092">
        <f t="shared" ca="1" si="5"/>
        <v>0</v>
      </c>
      <c r="I40" s="3094" t="s">
        <v>6797</v>
      </c>
      <c r="J40" s="3073"/>
      <c r="K40" s="3091">
        <f t="shared" si="3"/>
        <v>0</v>
      </c>
      <c r="L40" s="3072" t="s">
        <v>6793</v>
      </c>
      <c r="M40" s="3094" t="s">
        <v>6797</v>
      </c>
      <c r="N40" s="3073"/>
      <c r="O40" s="3100"/>
      <c r="P40" s="3101"/>
      <c r="Q40" s="3101"/>
      <c r="R40" s="3101"/>
      <c r="S40" s="3102" t="s">
        <v>295</v>
      </c>
      <c r="T40" s="3102" t="s">
        <v>213</v>
      </c>
      <c r="U40" s="3103"/>
      <c r="V40" s="3103" t="s">
        <v>295</v>
      </c>
      <c r="W40" s="3103" t="s">
        <v>6791</v>
      </c>
      <c r="X40" s="3103" t="s">
        <v>6794</v>
      </c>
      <c r="Y40" s="3104" t="s">
        <v>164</v>
      </c>
    </row>
    <row r="41" spans="1:25" ht="36" hidden="1">
      <c r="A41" s="1304"/>
      <c r="B41" s="643">
        <v>1122</v>
      </c>
      <c r="C41" s="643" t="s">
        <v>365</v>
      </c>
      <c r="D41" s="3088">
        <v>2</v>
      </c>
      <c r="E41" s="3089" t="str">
        <f t="shared" si="0"/>
        <v>应收账款</v>
      </c>
      <c r="F41" s="3090" t="s">
        <v>366</v>
      </c>
      <c r="G41" s="3091">
        <f t="shared" si="1"/>
        <v>1200000</v>
      </c>
      <c r="H41" s="3092">
        <f t="shared" ca="1" si="5"/>
        <v>0</v>
      </c>
      <c r="I41" s="3094" t="s">
        <v>6797</v>
      </c>
      <c r="J41" s="3073"/>
      <c r="K41" s="3091">
        <f t="shared" ref="K41:K72" si="6">IF(ISERROR(VLOOKUP($B41,Sheet_Trialbal,10,0)),"        ----",VLOOKUP($B41,Sheet_Trialbal,10,0))</f>
        <v>0</v>
      </c>
      <c r="L41" s="3072" t="s">
        <v>6793</v>
      </c>
      <c r="M41" s="3094" t="s">
        <v>6797</v>
      </c>
      <c r="N41" s="3073"/>
      <c r="O41" s="3100"/>
      <c r="P41" s="3101"/>
      <c r="Q41" s="3101"/>
      <c r="R41" s="3101"/>
      <c r="S41" s="3102" t="s">
        <v>295</v>
      </c>
      <c r="T41" s="3102" t="s">
        <v>213</v>
      </c>
      <c r="U41" s="3103">
        <v>1122</v>
      </c>
      <c r="V41" s="3103" t="s">
        <v>295</v>
      </c>
      <c r="W41" s="3103" t="s">
        <v>6791</v>
      </c>
      <c r="X41" s="3103" t="s">
        <v>6794</v>
      </c>
      <c r="Y41" s="3104" t="s">
        <v>164</v>
      </c>
    </row>
    <row r="42" spans="1:25" ht="24" hidden="1">
      <c r="A42" s="1304"/>
      <c r="B42" s="643">
        <v>1122</v>
      </c>
      <c r="C42" s="643" t="s">
        <v>372</v>
      </c>
      <c r="D42" s="3088">
        <v>2</v>
      </c>
      <c r="E42" s="3089" t="str">
        <f t="shared" si="0"/>
        <v>应收账款</v>
      </c>
      <c r="F42" s="3090" t="s">
        <v>373</v>
      </c>
      <c r="G42" s="3091">
        <f t="shared" si="1"/>
        <v>1200000</v>
      </c>
      <c r="H42" s="3092">
        <f t="shared" ca="1" si="5"/>
        <v>0</v>
      </c>
      <c r="I42" s="3094" t="s">
        <v>6797</v>
      </c>
      <c r="J42" s="3073"/>
      <c r="K42" s="3091">
        <f t="shared" si="6"/>
        <v>0</v>
      </c>
      <c r="L42" s="3072" t="s">
        <v>6793</v>
      </c>
      <c r="M42" s="3094" t="s">
        <v>6797</v>
      </c>
      <c r="N42" s="3073"/>
      <c r="O42" s="3100"/>
      <c r="P42" s="3101"/>
      <c r="Q42" s="3101"/>
      <c r="R42" s="3101"/>
      <c r="S42" s="3102" t="s">
        <v>295</v>
      </c>
      <c r="T42" s="3102" t="s">
        <v>213</v>
      </c>
      <c r="U42" s="3103">
        <v>1122</v>
      </c>
      <c r="V42" s="3103" t="s">
        <v>295</v>
      </c>
      <c r="W42" s="3103" t="s">
        <v>6791</v>
      </c>
      <c r="X42" s="3103" t="s">
        <v>6794</v>
      </c>
      <c r="Y42" s="3104" t="s">
        <v>164</v>
      </c>
    </row>
    <row r="43" spans="1:25" ht="36" hidden="1">
      <c r="A43" s="1304"/>
      <c r="B43" s="643">
        <v>1122</v>
      </c>
      <c r="C43" s="643" t="s">
        <v>379</v>
      </c>
      <c r="D43" s="3088">
        <v>2</v>
      </c>
      <c r="E43" s="3089" t="str">
        <f t="shared" si="0"/>
        <v>应收账款</v>
      </c>
      <c r="F43" s="3090" t="s">
        <v>380</v>
      </c>
      <c r="G43" s="3091">
        <f t="shared" si="1"/>
        <v>1200000</v>
      </c>
      <c r="H43" s="3092">
        <f t="shared" ca="1" si="5"/>
        <v>0</v>
      </c>
      <c r="I43" s="3094" t="s">
        <v>6797</v>
      </c>
      <c r="J43" s="3073"/>
      <c r="K43" s="3091">
        <f t="shared" si="6"/>
        <v>0</v>
      </c>
      <c r="L43" s="3072" t="s">
        <v>6793</v>
      </c>
      <c r="M43" s="3094" t="s">
        <v>6797</v>
      </c>
      <c r="N43" s="3073"/>
      <c r="O43" s="3100"/>
      <c r="P43" s="3101"/>
      <c r="Q43" s="3101"/>
      <c r="R43" s="3101"/>
      <c r="S43" s="3102" t="s">
        <v>295</v>
      </c>
      <c r="T43" s="3102" t="s">
        <v>213</v>
      </c>
      <c r="U43" s="3103">
        <v>1122</v>
      </c>
      <c r="V43" s="3103" t="s">
        <v>295</v>
      </c>
      <c r="W43" s="3103" t="s">
        <v>6791</v>
      </c>
      <c r="X43" s="3103" t="s">
        <v>6794</v>
      </c>
      <c r="Y43" s="3104" t="s">
        <v>164</v>
      </c>
    </row>
    <row r="44" spans="1:25" ht="18" hidden="1">
      <c r="A44" s="1304"/>
      <c r="B44" s="643">
        <v>1122</v>
      </c>
      <c r="C44" s="643" t="s">
        <v>419</v>
      </c>
      <c r="D44" s="3088">
        <v>2</v>
      </c>
      <c r="E44" s="3089" t="str">
        <f t="shared" si="0"/>
        <v>应收账款</v>
      </c>
      <c r="F44" s="3090" t="s">
        <v>420</v>
      </c>
      <c r="G44" s="3091">
        <f t="shared" si="1"/>
        <v>1200000</v>
      </c>
      <c r="H44" s="3092">
        <f t="shared" ca="1" si="5"/>
        <v>0</v>
      </c>
      <c r="I44" s="3094" t="s">
        <v>6797</v>
      </c>
      <c r="J44" s="3073"/>
      <c r="K44" s="3091">
        <f t="shared" si="6"/>
        <v>0</v>
      </c>
      <c r="L44" s="3072" t="s">
        <v>6793</v>
      </c>
      <c r="M44" s="3094" t="s">
        <v>6797</v>
      </c>
      <c r="N44" s="3073"/>
      <c r="O44" s="3100"/>
      <c r="P44" s="3101"/>
      <c r="Q44" s="3101"/>
      <c r="R44" s="3101"/>
      <c r="S44" s="3102" t="s">
        <v>295</v>
      </c>
      <c r="T44" s="3102" t="s">
        <v>213</v>
      </c>
      <c r="U44" s="3103">
        <v>1122</v>
      </c>
      <c r="V44" s="3103" t="s">
        <v>295</v>
      </c>
      <c r="W44" s="3103" t="s">
        <v>6791</v>
      </c>
      <c r="X44" s="3103" t="s">
        <v>213</v>
      </c>
      <c r="Y44" s="3104" t="s">
        <v>164</v>
      </c>
    </row>
    <row r="45" spans="1:25" ht="24" hidden="1">
      <c r="A45" s="1304"/>
      <c r="B45" s="643">
        <v>1122</v>
      </c>
      <c r="C45" s="643" t="s">
        <v>425</v>
      </c>
      <c r="D45" s="3088">
        <v>2</v>
      </c>
      <c r="E45" s="3089" t="str">
        <f t="shared" si="0"/>
        <v>应收账款</v>
      </c>
      <c r="F45" s="3090" t="s">
        <v>426</v>
      </c>
      <c r="G45" s="3091">
        <f t="shared" si="1"/>
        <v>1200000</v>
      </c>
      <c r="H45" s="3092">
        <f t="shared" ca="1" si="5"/>
        <v>0</v>
      </c>
      <c r="I45" s="3094" t="s">
        <v>6797</v>
      </c>
      <c r="J45" s="3073"/>
      <c r="K45" s="3091">
        <f t="shared" si="6"/>
        <v>0</v>
      </c>
      <c r="L45" s="3072">
        <f ca="1">INDIRECT("Notes!CheckB"&amp;$C45)</f>
        <v>0</v>
      </c>
      <c r="M45" s="3094" t="s">
        <v>6797</v>
      </c>
      <c r="N45" s="3073"/>
      <c r="O45" s="3100"/>
      <c r="P45" s="3101"/>
      <c r="Q45" s="3101"/>
      <c r="R45" s="3101"/>
      <c r="S45" s="3102" t="s">
        <v>295</v>
      </c>
      <c r="T45" s="3102" t="s">
        <v>213</v>
      </c>
      <c r="U45" s="3103">
        <v>1122</v>
      </c>
      <c r="V45" s="3103" t="s">
        <v>295</v>
      </c>
      <c r="W45" s="3103" t="s">
        <v>6791</v>
      </c>
      <c r="X45" s="3103" t="s">
        <v>213</v>
      </c>
      <c r="Y45" s="3104" t="s">
        <v>164</v>
      </c>
    </row>
    <row r="46" spans="1:25" ht="18" hidden="1">
      <c r="A46" s="1304"/>
      <c r="B46" s="643">
        <v>1122</v>
      </c>
      <c r="C46" s="643" t="s">
        <v>432</v>
      </c>
      <c r="D46" s="3088">
        <v>2</v>
      </c>
      <c r="E46" s="3089" t="str">
        <f t="shared" si="0"/>
        <v>应收账款</v>
      </c>
      <c r="F46" s="3090" t="s">
        <v>433</v>
      </c>
      <c r="G46" s="3091">
        <f t="shared" si="1"/>
        <v>1200000</v>
      </c>
      <c r="H46" s="3092">
        <f t="shared" ca="1" si="5"/>
        <v>0</v>
      </c>
      <c r="I46" s="3094" t="s">
        <v>6797</v>
      </c>
      <c r="J46" s="3073"/>
      <c r="K46" s="3091">
        <f t="shared" si="6"/>
        <v>0</v>
      </c>
      <c r="L46" s="3072">
        <f ca="1">INDIRECT("Notes!CheckB"&amp;$C46)</f>
        <v>0</v>
      </c>
      <c r="M46" s="3094" t="s">
        <v>6797</v>
      </c>
      <c r="N46" s="3073"/>
      <c r="O46" s="3100"/>
      <c r="P46" s="3101"/>
      <c r="Q46" s="3101"/>
      <c r="R46" s="3101"/>
      <c r="S46" s="3102" t="s">
        <v>295</v>
      </c>
      <c r="T46" s="3102" t="s">
        <v>213</v>
      </c>
      <c r="U46" s="3103">
        <v>1122</v>
      </c>
      <c r="V46" s="3103" t="s">
        <v>295</v>
      </c>
      <c r="W46" s="3103" t="s">
        <v>6791</v>
      </c>
      <c r="X46" s="3103" t="s">
        <v>213</v>
      </c>
      <c r="Y46" s="3104" t="s">
        <v>164</v>
      </c>
    </row>
    <row r="47" spans="1:25" ht="18">
      <c r="A47" s="1304"/>
      <c r="B47" s="643">
        <v>1124</v>
      </c>
      <c r="C47" s="643" t="s">
        <v>446</v>
      </c>
      <c r="D47" s="3088">
        <v>1</v>
      </c>
      <c r="E47" s="3089" t="str">
        <f t="shared" si="0"/>
        <v>应收款项融资</v>
      </c>
      <c r="F47" s="3090" t="s">
        <v>447</v>
      </c>
      <c r="G47" s="3091">
        <f t="shared" si="1"/>
        <v>0</v>
      </c>
      <c r="H47" s="3092">
        <f t="shared" ca="1" si="5"/>
        <v>0</v>
      </c>
      <c r="I47" s="3094">
        <f ca="1">IF(AND(LEN(G47)&gt;0,LEN(H47)&gt;0),ROUND(SUM(G47)-SUM(H47),2),"")</f>
        <v>0</v>
      </c>
      <c r="J47" s="3073" t="str">
        <f ca="1">IF(ISNA(I47),"N/A",IF(I47=0,"√","？"))</f>
        <v>√</v>
      </c>
      <c r="K47" s="3091">
        <f t="shared" si="6"/>
        <v>0</v>
      </c>
      <c r="L47" s="3072">
        <f ca="1">INDIRECT("Notes!CheckB"&amp;$C47)</f>
        <v>0</v>
      </c>
      <c r="M47" s="3094">
        <f ca="1">IF(AND(LEN(K47)&gt;0,LEN(L47)&gt;0),ROUND(SUM(K47)-SUM(L47),2),"")</f>
        <v>0</v>
      </c>
      <c r="N47" s="3073" t="str">
        <f ca="1">IF(ISNA(M47),"N/A",IF(M47=0,"√","？"))</f>
        <v>√</v>
      </c>
      <c r="O47" s="3100"/>
      <c r="P47" s="3101"/>
      <c r="Q47" s="3101"/>
      <c r="R47" s="3101"/>
      <c r="S47" s="3102" t="s">
        <v>295</v>
      </c>
      <c r="T47" s="3102" t="s">
        <v>213</v>
      </c>
      <c r="U47" s="3103">
        <v>1124</v>
      </c>
      <c r="V47" s="3103" t="s">
        <v>295</v>
      </c>
      <c r="W47" s="3103" t="s">
        <v>145</v>
      </c>
      <c r="X47" s="3103" t="s">
        <v>6794</v>
      </c>
      <c r="Y47" s="3104" t="s">
        <v>119</v>
      </c>
    </row>
    <row r="48" spans="1:25" ht="36" hidden="1">
      <c r="A48" s="1304"/>
      <c r="B48" s="643">
        <v>1124</v>
      </c>
      <c r="C48" s="643" t="s">
        <v>453</v>
      </c>
      <c r="D48" s="3088">
        <v>2</v>
      </c>
      <c r="E48" s="3089" t="str">
        <f t="shared" si="0"/>
        <v>应收款项融资</v>
      </c>
      <c r="F48" s="3090" t="s">
        <v>6374</v>
      </c>
      <c r="G48" s="3091">
        <f t="shared" si="1"/>
        <v>0</v>
      </c>
      <c r="H48" s="3092">
        <f t="shared" ca="1" si="5"/>
        <v>0</v>
      </c>
      <c r="I48" s="3094" t="s">
        <v>6797</v>
      </c>
      <c r="J48" s="3073"/>
      <c r="K48" s="3091">
        <f t="shared" si="6"/>
        <v>0</v>
      </c>
      <c r="L48" s="3072" t="s">
        <v>6793</v>
      </c>
      <c r="M48" s="3094" t="s">
        <v>6797</v>
      </c>
      <c r="N48" s="3073"/>
      <c r="O48" s="3100"/>
      <c r="P48" s="3101"/>
      <c r="Q48" s="3101"/>
      <c r="R48" s="3101"/>
      <c r="S48" s="3102" t="s">
        <v>295</v>
      </c>
      <c r="T48" s="3102" t="s">
        <v>213</v>
      </c>
      <c r="U48" s="3103">
        <v>1124</v>
      </c>
      <c r="V48" s="3103" t="s">
        <v>295</v>
      </c>
      <c r="W48" s="3103" t="s">
        <v>145</v>
      </c>
      <c r="X48" s="3103" t="s">
        <v>6794</v>
      </c>
      <c r="Y48" s="3104" t="s">
        <v>119</v>
      </c>
    </row>
    <row r="49" spans="1:25" ht="36" hidden="1">
      <c r="A49" s="1304"/>
      <c r="B49" s="643">
        <v>1124</v>
      </c>
      <c r="C49" s="643" t="s">
        <v>456</v>
      </c>
      <c r="D49" s="3088">
        <v>2</v>
      </c>
      <c r="E49" s="3089" t="str">
        <f t="shared" si="0"/>
        <v>应收款项融资</v>
      </c>
      <c r="F49" s="3090" t="s">
        <v>6375</v>
      </c>
      <c r="G49" s="3091">
        <f t="shared" si="1"/>
        <v>0</v>
      </c>
      <c r="H49" s="3092">
        <f t="shared" ca="1" si="5"/>
        <v>0</v>
      </c>
      <c r="I49" s="3094" t="s">
        <v>6797</v>
      </c>
      <c r="J49" s="3073"/>
      <c r="K49" s="3091">
        <f t="shared" si="6"/>
        <v>0</v>
      </c>
      <c r="L49" s="3072" t="s">
        <v>6793</v>
      </c>
      <c r="M49" s="3094" t="s">
        <v>6797</v>
      </c>
      <c r="N49" s="3073"/>
      <c r="O49" s="3100"/>
      <c r="P49" s="3101"/>
      <c r="Q49" s="3101"/>
      <c r="R49" s="3101"/>
      <c r="S49" s="3102" t="s">
        <v>295</v>
      </c>
      <c r="T49" s="3102" t="s">
        <v>213</v>
      </c>
      <c r="U49" s="3103"/>
      <c r="V49" s="3103" t="s">
        <v>295</v>
      </c>
      <c r="W49" s="3103" t="s">
        <v>145</v>
      </c>
      <c r="X49" s="3103" t="s">
        <v>6794</v>
      </c>
      <c r="Y49" s="3104" t="s">
        <v>119</v>
      </c>
    </row>
    <row r="50" spans="1:25" ht="36" hidden="1">
      <c r="A50" s="1304"/>
      <c r="B50" s="643">
        <v>1124</v>
      </c>
      <c r="C50" s="643" t="s">
        <v>461</v>
      </c>
      <c r="D50" s="3088">
        <v>2</v>
      </c>
      <c r="E50" s="3089" t="str">
        <f t="shared" si="0"/>
        <v>应收款项融资</v>
      </c>
      <c r="F50" s="3090" t="s">
        <v>6376</v>
      </c>
      <c r="G50" s="3091">
        <f t="shared" si="1"/>
        <v>0</v>
      </c>
      <c r="H50" s="3092">
        <f t="shared" ca="1" si="5"/>
        <v>0</v>
      </c>
      <c r="I50" s="3094" t="s">
        <v>6797</v>
      </c>
      <c r="J50" s="3073"/>
      <c r="K50" s="3091">
        <f t="shared" si="6"/>
        <v>0</v>
      </c>
      <c r="L50" s="3072" t="s">
        <v>6793</v>
      </c>
      <c r="M50" s="3094" t="s">
        <v>6797</v>
      </c>
      <c r="N50" s="3073"/>
      <c r="O50" s="3100"/>
      <c r="P50" s="3101"/>
      <c r="Q50" s="3101"/>
      <c r="R50" s="3101"/>
      <c r="S50" s="3102" t="s">
        <v>295</v>
      </c>
      <c r="T50" s="3102" t="s">
        <v>213</v>
      </c>
      <c r="U50" s="3103"/>
      <c r="V50" s="3103" t="s">
        <v>295</v>
      </c>
      <c r="W50" s="3103" t="s">
        <v>145</v>
      </c>
      <c r="X50" s="3103" t="s">
        <v>6794</v>
      </c>
      <c r="Y50" s="3104" t="s">
        <v>119</v>
      </c>
    </row>
    <row r="51" spans="1:25" ht="36" hidden="1">
      <c r="A51" s="1304"/>
      <c r="B51" s="643">
        <v>1124</v>
      </c>
      <c r="C51" s="643" t="s">
        <v>466</v>
      </c>
      <c r="D51" s="3088">
        <v>2</v>
      </c>
      <c r="E51" s="3089" t="str">
        <f t="shared" si="0"/>
        <v>应收款项融资</v>
      </c>
      <c r="F51" s="3090" t="s">
        <v>6377</v>
      </c>
      <c r="G51" s="3091">
        <f t="shared" si="1"/>
        <v>0</v>
      </c>
      <c r="H51" s="3092">
        <f t="shared" ca="1" si="5"/>
        <v>0</v>
      </c>
      <c r="I51" s="3094" t="s">
        <v>6797</v>
      </c>
      <c r="J51" s="3073"/>
      <c r="K51" s="3091">
        <f t="shared" si="6"/>
        <v>0</v>
      </c>
      <c r="L51" s="3072">
        <f ca="1">INDIRECT("Notes!CheckB"&amp;$C51)</f>
        <v>0</v>
      </c>
      <c r="M51" s="3094" t="s">
        <v>6797</v>
      </c>
      <c r="N51" s="3073"/>
      <c r="O51" s="3100"/>
      <c r="P51" s="3101"/>
      <c r="Q51" s="3101"/>
      <c r="R51" s="3101"/>
      <c r="S51" s="3102" t="s">
        <v>295</v>
      </c>
      <c r="T51" s="3102" t="s">
        <v>213</v>
      </c>
      <c r="U51" s="3103"/>
      <c r="V51" s="3103" t="s">
        <v>295</v>
      </c>
      <c r="W51" s="3103" t="s">
        <v>145</v>
      </c>
      <c r="X51" s="3103" t="s">
        <v>213</v>
      </c>
      <c r="Y51" s="3104" t="s">
        <v>119</v>
      </c>
    </row>
    <row r="52" spans="1:25" ht="36" hidden="1">
      <c r="A52" s="1304"/>
      <c r="B52" s="643">
        <v>1124</v>
      </c>
      <c r="C52" s="643" t="s">
        <v>6370</v>
      </c>
      <c r="D52" s="3088">
        <v>2</v>
      </c>
      <c r="E52" s="3089" t="str">
        <f t="shared" si="0"/>
        <v>应收款项融资</v>
      </c>
      <c r="F52" s="3090" t="s">
        <v>6378</v>
      </c>
      <c r="G52" s="3091">
        <f t="shared" si="1"/>
        <v>0</v>
      </c>
      <c r="H52" s="3092">
        <f t="shared" ca="1" si="5"/>
        <v>0</v>
      </c>
      <c r="I52" s="3094" t="s">
        <v>6797</v>
      </c>
      <c r="J52" s="3073"/>
      <c r="K52" s="3091">
        <f t="shared" si="6"/>
        <v>0</v>
      </c>
      <c r="L52" s="3072" t="s">
        <v>6793</v>
      </c>
      <c r="M52" s="3094" t="s">
        <v>6797</v>
      </c>
      <c r="N52" s="3073"/>
      <c r="O52" s="3100"/>
      <c r="P52" s="3101"/>
      <c r="Q52" s="3101"/>
      <c r="R52" s="3101"/>
      <c r="S52" s="3102" t="s">
        <v>295</v>
      </c>
      <c r="T52" s="3102" t="s">
        <v>213</v>
      </c>
      <c r="U52" s="3103">
        <v>1124</v>
      </c>
      <c r="V52" s="3103" t="s">
        <v>295</v>
      </c>
      <c r="W52" s="3103" t="s">
        <v>145</v>
      </c>
      <c r="X52" s="3103" t="s">
        <v>6794</v>
      </c>
      <c r="Y52" s="3104" t="s">
        <v>119</v>
      </c>
    </row>
    <row r="53" spans="1:25" ht="36" hidden="1">
      <c r="A53" s="1304"/>
      <c r="B53" s="643">
        <v>1124</v>
      </c>
      <c r="C53" s="643" t="s">
        <v>6371</v>
      </c>
      <c r="D53" s="3088">
        <v>2</v>
      </c>
      <c r="E53" s="3089" t="str">
        <f t="shared" si="0"/>
        <v>应收款项融资</v>
      </c>
      <c r="F53" s="3090" t="s">
        <v>6379</v>
      </c>
      <c r="G53" s="3091">
        <f t="shared" si="1"/>
        <v>0</v>
      </c>
      <c r="H53" s="3092">
        <f t="shared" ca="1" si="5"/>
        <v>0</v>
      </c>
      <c r="I53" s="3094" t="s">
        <v>6797</v>
      </c>
      <c r="J53" s="3073"/>
      <c r="K53" s="3091">
        <f t="shared" si="6"/>
        <v>0</v>
      </c>
      <c r="L53" s="3072" t="s">
        <v>6793</v>
      </c>
      <c r="M53" s="3094" t="s">
        <v>6797</v>
      </c>
      <c r="N53" s="3073"/>
      <c r="O53" s="3100"/>
      <c r="P53" s="3101"/>
      <c r="Q53" s="3101"/>
      <c r="R53" s="3101"/>
      <c r="S53" s="3102" t="s">
        <v>295</v>
      </c>
      <c r="T53" s="3102" t="s">
        <v>213</v>
      </c>
      <c r="U53" s="3103"/>
      <c r="V53" s="3103" t="s">
        <v>295</v>
      </c>
      <c r="W53" s="3103" t="s">
        <v>145</v>
      </c>
      <c r="X53" s="3103" t="s">
        <v>6794</v>
      </c>
      <c r="Y53" s="3104" t="s">
        <v>119</v>
      </c>
    </row>
    <row r="54" spans="1:25" ht="36" hidden="1">
      <c r="A54" s="1304"/>
      <c r="B54" s="643">
        <v>1124</v>
      </c>
      <c r="C54" s="643" t="s">
        <v>6372</v>
      </c>
      <c r="D54" s="3088">
        <v>2</v>
      </c>
      <c r="E54" s="3089" t="str">
        <f t="shared" si="0"/>
        <v>应收款项融资</v>
      </c>
      <c r="F54" s="3090" t="s">
        <v>6380</v>
      </c>
      <c r="G54" s="3091">
        <f t="shared" si="1"/>
        <v>0</v>
      </c>
      <c r="H54" s="3092">
        <f t="shared" ca="1" si="5"/>
        <v>0</v>
      </c>
      <c r="I54" s="3094" t="s">
        <v>6797</v>
      </c>
      <c r="J54" s="3073"/>
      <c r="K54" s="3091">
        <f t="shared" si="6"/>
        <v>0</v>
      </c>
      <c r="L54" s="3072" t="s">
        <v>6793</v>
      </c>
      <c r="M54" s="3094" t="s">
        <v>6797</v>
      </c>
      <c r="N54" s="3073"/>
      <c r="O54" s="3100"/>
      <c r="P54" s="3101"/>
      <c r="Q54" s="3101"/>
      <c r="R54" s="3101"/>
      <c r="S54" s="3102" t="s">
        <v>295</v>
      </c>
      <c r="T54" s="3102" t="s">
        <v>213</v>
      </c>
      <c r="U54" s="3103"/>
      <c r="V54" s="3103" t="s">
        <v>295</v>
      </c>
      <c r="W54" s="3103" t="s">
        <v>145</v>
      </c>
      <c r="X54" s="3103" t="s">
        <v>6794</v>
      </c>
      <c r="Y54" s="3104" t="s">
        <v>119</v>
      </c>
    </row>
    <row r="55" spans="1:25" ht="36" hidden="1">
      <c r="A55" s="1304"/>
      <c r="B55" s="643">
        <v>1124</v>
      </c>
      <c r="C55" s="643" t="s">
        <v>6373</v>
      </c>
      <c r="D55" s="3088">
        <v>2</v>
      </c>
      <c r="E55" s="3089" t="str">
        <f t="shared" si="0"/>
        <v>应收款项融资</v>
      </c>
      <c r="F55" s="3090" t="s">
        <v>6381</v>
      </c>
      <c r="G55" s="3091">
        <f t="shared" si="1"/>
        <v>0</v>
      </c>
      <c r="H55" s="3092">
        <f t="shared" ca="1" si="5"/>
        <v>0</v>
      </c>
      <c r="I55" s="3094" t="s">
        <v>6797</v>
      </c>
      <c r="J55" s="3073"/>
      <c r="K55" s="3091">
        <f t="shared" si="6"/>
        <v>0</v>
      </c>
      <c r="L55" s="3072" t="s">
        <v>6793</v>
      </c>
      <c r="M55" s="3094" t="s">
        <v>6797</v>
      </c>
      <c r="N55" s="3073"/>
      <c r="O55" s="3100"/>
      <c r="P55" s="3101"/>
      <c r="Q55" s="3101"/>
      <c r="R55" s="3101"/>
      <c r="S55" s="3102" t="s">
        <v>295</v>
      </c>
      <c r="T55" s="3102" t="s">
        <v>213</v>
      </c>
      <c r="U55" s="3103"/>
      <c r="V55" s="3103" t="s">
        <v>295</v>
      </c>
      <c r="W55" s="3103" t="s">
        <v>145</v>
      </c>
      <c r="X55" s="3103" t="s">
        <v>213</v>
      </c>
      <c r="Y55" s="3104" t="s">
        <v>119</v>
      </c>
    </row>
    <row r="56" spans="1:25" ht="24" hidden="1">
      <c r="A56" s="1304"/>
      <c r="B56" s="643">
        <v>1124</v>
      </c>
      <c r="C56" s="643" t="s">
        <v>470</v>
      </c>
      <c r="D56" s="3088">
        <v>2</v>
      </c>
      <c r="E56" s="3089" t="str">
        <f t="shared" si="0"/>
        <v>应收款项融资</v>
      </c>
      <c r="F56" s="3090" t="s">
        <v>6382</v>
      </c>
      <c r="G56" s="3091">
        <f t="shared" si="1"/>
        <v>0</v>
      </c>
      <c r="H56" s="3092">
        <f t="shared" ca="1" si="5"/>
        <v>0</v>
      </c>
      <c r="I56" s="3094" t="s">
        <v>6797</v>
      </c>
      <c r="J56" s="3073"/>
      <c r="K56" s="3091">
        <f t="shared" si="6"/>
        <v>0</v>
      </c>
      <c r="L56" s="3072">
        <f ca="1">INDIRECT("Notes!CheckB"&amp;$C56)</f>
        <v>0</v>
      </c>
      <c r="M56" s="3094" t="s">
        <v>6797</v>
      </c>
      <c r="N56" s="3073"/>
      <c r="O56" s="3100"/>
      <c r="P56" s="3101"/>
      <c r="Q56" s="3101"/>
      <c r="R56" s="3101"/>
      <c r="S56" s="3102" t="s">
        <v>295</v>
      </c>
      <c r="T56" s="3102" t="s">
        <v>213</v>
      </c>
      <c r="U56" s="3103"/>
      <c r="V56" s="3103" t="s">
        <v>295</v>
      </c>
      <c r="W56" s="3103" t="s">
        <v>145</v>
      </c>
      <c r="X56" s="3103" t="s">
        <v>6794</v>
      </c>
      <c r="Y56" s="3104" t="s">
        <v>119</v>
      </c>
    </row>
    <row r="57" spans="1:25" ht="18">
      <c r="A57" s="1304"/>
      <c r="B57" s="643">
        <v>1125</v>
      </c>
      <c r="C57" s="643" t="s">
        <v>473</v>
      </c>
      <c r="D57" s="3088">
        <v>1</v>
      </c>
      <c r="E57" s="3089" t="str">
        <f t="shared" si="0"/>
        <v>预付款项</v>
      </c>
      <c r="F57" s="3090" t="s">
        <v>474</v>
      </c>
      <c r="G57" s="3091">
        <f t="shared" si="1"/>
        <v>0</v>
      </c>
      <c r="H57" s="3092">
        <f t="shared" ca="1" si="5"/>
        <v>0</v>
      </c>
      <c r="I57" s="3094">
        <f ca="1">IF(AND(LEN(G57)&gt;0,LEN(H57)&gt;0),ROUND(SUM(G57)-SUM(H57),2),"")</f>
        <v>0</v>
      </c>
      <c r="J57" s="3073" t="str">
        <f ca="1">IF(ISNA(I57),"N/A",IF(I57=0,"√","？"))</f>
        <v>√</v>
      </c>
      <c r="K57" s="3091">
        <f t="shared" si="6"/>
        <v>0</v>
      </c>
      <c r="L57" s="3072">
        <f ca="1">INDIRECT("Notes!CheckB"&amp;$C57)</f>
        <v>0</v>
      </c>
      <c r="M57" s="3094">
        <f ca="1">IF(AND(LEN(K57)&gt;0,LEN(L57)&gt;0),ROUND(SUM(K57)-SUM(L57),2),"")</f>
        <v>0</v>
      </c>
      <c r="N57" s="3073" t="str">
        <f ca="1">IF(ISNA(M57),"N/A",IF(M57=0,"√","？"))</f>
        <v>√</v>
      </c>
      <c r="O57" s="3100"/>
      <c r="P57" s="3101"/>
      <c r="Q57" s="3101"/>
      <c r="R57" s="3101"/>
      <c r="S57" s="3102" t="s">
        <v>295</v>
      </c>
      <c r="T57" s="3102" t="s">
        <v>213</v>
      </c>
      <c r="U57" s="3103"/>
      <c r="V57" s="3103" t="s">
        <v>295</v>
      </c>
      <c r="W57" s="3103" t="s">
        <v>6791</v>
      </c>
      <c r="X57" s="3103" t="s">
        <v>6792</v>
      </c>
      <c r="Y57" s="3104" t="s">
        <v>164</v>
      </c>
    </row>
    <row r="58" spans="1:25" ht="36" hidden="1">
      <c r="A58" s="1304"/>
      <c r="B58" s="643">
        <v>1125</v>
      </c>
      <c r="C58" s="643" t="s">
        <v>478</v>
      </c>
      <c r="D58" s="3088">
        <v>2</v>
      </c>
      <c r="E58" s="3089" t="str">
        <f t="shared" si="0"/>
        <v>预付款项</v>
      </c>
      <c r="F58" s="3090" t="s">
        <v>479</v>
      </c>
      <c r="G58" s="3091">
        <f t="shared" si="1"/>
        <v>0</v>
      </c>
      <c r="H58" s="3092">
        <f t="shared" ca="1" si="5"/>
        <v>0</v>
      </c>
      <c r="I58" s="3094" t="s">
        <v>6797</v>
      </c>
      <c r="J58" s="3073"/>
      <c r="K58" s="3091">
        <f t="shared" si="6"/>
        <v>0</v>
      </c>
      <c r="L58" s="3072" t="s">
        <v>6793</v>
      </c>
      <c r="M58" s="3094" t="s">
        <v>6797</v>
      </c>
      <c r="N58" s="3073"/>
      <c r="O58" s="3100"/>
      <c r="P58" s="3101"/>
      <c r="Q58" s="3101"/>
      <c r="R58" s="3101"/>
      <c r="S58" s="3102" t="s">
        <v>295</v>
      </c>
      <c r="T58" s="3102" t="s">
        <v>213</v>
      </c>
      <c r="U58" s="3103"/>
      <c r="V58" s="3103" t="s">
        <v>295</v>
      </c>
      <c r="W58" s="3103" t="s">
        <v>6791</v>
      </c>
      <c r="X58" s="3103" t="s">
        <v>6794</v>
      </c>
      <c r="Y58" s="3104" t="s">
        <v>164</v>
      </c>
    </row>
    <row r="59" spans="1:25" ht="24" hidden="1">
      <c r="A59" s="1304"/>
      <c r="B59" s="643">
        <v>1125</v>
      </c>
      <c r="C59" s="643" t="s">
        <v>482</v>
      </c>
      <c r="D59" s="3088">
        <v>2</v>
      </c>
      <c r="E59" s="3089" t="str">
        <f t="shared" si="0"/>
        <v>预付款项</v>
      </c>
      <c r="F59" s="3090" t="s">
        <v>483</v>
      </c>
      <c r="G59" s="3091">
        <f t="shared" si="1"/>
        <v>0</v>
      </c>
      <c r="H59" s="3092">
        <f t="shared" ca="1" si="5"/>
        <v>0</v>
      </c>
      <c r="I59" s="3094" t="s">
        <v>6797</v>
      </c>
      <c r="J59" s="3073"/>
      <c r="K59" s="3091">
        <f t="shared" si="6"/>
        <v>0</v>
      </c>
      <c r="L59" s="3072" t="s">
        <v>6793</v>
      </c>
      <c r="M59" s="3094" t="s">
        <v>6797</v>
      </c>
      <c r="N59" s="3073"/>
      <c r="O59" s="3100"/>
      <c r="P59" s="3101"/>
      <c r="Q59" s="3101"/>
      <c r="R59" s="3101"/>
      <c r="S59" s="3102" t="s">
        <v>295</v>
      </c>
      <c r="T59" s="3102" t="s">
        <v>213</v>
      </c>
      <c r="U59" s="3103"/>
      <c r="V59" s="3103" t="s">
        <v>295</v>
      </c>
      <c r="W59" s="3103" t="s">
        <v>6791</v>
      </c>
      <c r="X59" s="3103" t="s">
        <v>213</v>
      </c>
      <c r="Y59" s="3104" t="s">
        <v>164</v>
      </c>
    </row>
    <row r="60" spans="1:25" ht="18">
      <c r="A60" s="1304"/>
      <c r="B60" s="643">
        <v>1125</v>
      </c>
      <c r="C60" s="643" t="s">
        <v>497</v>
      </c>
      <c r="D60" s="3088">
        <v>1</v>
      </c>
      <c r="E60" s="3089" t="str">
        <f t="shared" si="0"/>
        <v>预付款项</v>
      </c>
      <c r="F60" s="3090" t="s">
        <v>498</v>
      </c>
      <c r="G60" s="3091">
        <f t="shared" si="1"/>
        <v>0</v>
      </c>
      <c r="H60" s="3092">
        <f t="shared" ca="1" si="5"/>
        <v>0</v>
      </c>
      <c r="I60" s="3094">
        <f ca="1">IF(AND(LEN(G60)&gt;0,LEN(H60)&gt;0),ROUND(SUM(G60)-SUM(H60),2),"")</f>
        <v>0</v>
      </c>
      <c r="J60" s="3073" t="str">
        <f ca="1">IF(ISNA(I60),"N/A",IF(I60=0,"√","？"))</f>
        <v>√</v>
      </c>
      <c r="K60" s="3091">
        <f t="shared" si="6"/>
        <v>0</v>
      </c>
      <c r="L60" s="3072">
        <f ca="1">INDIRECT("Notes!CheckB"&amp;$C60)</f>
        <v>0</v>
      </c>
      <c r="M60" s="3094">
        <f ca="1">IF(AND(LEN(K60)&gt;0,LEN(L60)&gt;0),ROUND(SUM(K60)-SUM(L60),2),"")</f>
        <v>0</v>
      </c>
      <c r="N60" s="3073" t="str">
        <f ca="1">IF(ISNA(M60),"N/A",IF(M60=0,"√","？"))</f>
        <v>√</v>
      </c>
      <c r="O60" s="3100"/>
      <c r="P60" s="3101"/>
      <c r="Q60" s="3101"/>
      <c r="R60" s="3101"/>
      <c r="S60" s="3102" t="s">
        <v>295</v>
      </c>
      <c r="T60" s="3102" t="s">
        <v>213</v>
      </c>
      <c r="U60" s="3103"/>
      <c r="V60" s="3103" t="s">
        <v>295</v>
      </c>
      <c r="W60" s="3103" t="s">
        <v>6791</v>
      </c>
      <c r="X60" s="3103" t="s">
        <v>213</v>
      </c>
      <c r="Y60" s="3104" t="s">
        <v>164</v>
      </c>
    </row>
    <row r="61" spans="1:25" ht="24" hidden="1">
      <c r="A61" s="1304"/>
      <c r="B61" s="643">
        <v>1125</v>
      </c>
      <c r="C61" s="643" t="s">
        <v>492</v>
      </c>
      <c r="D61" s="3088">
        <v>2</v>
      </c>
      <c r="E61" s="3089" t="str">
        <f t="shared" si="0"/>
        <v>预付款项</v>
      </c>
      <c r="F61" s="3090" t="s">
        <v>493</v>
      </c>
      <c r="G61" s="3091">
        <f t="shared" si="1"/>
        <v>0</v>
      </c>
      <c r="H61" s="3092">
        <f t="shared" ca="1" si="5"/>
        <v>0</v>
      </c>
      <c r="I61" s="3094" t="s">
        <v>6797</v>
      </c>
      <c r="J61" s="3073"/>
      <c r="K61" s="3091">
        <f t="shared" si="6"/>
        <v>0</v>
      </c>
      <c r="L61" s="3072">
        <f ca="1">INDIRECT("Notes!CheckB"&amp;$C61)</f>
        <v>0</v>
      </c>
      <c r="M61" s="3094" t="s">
        <v>6797</v>
      </c>
      <c r="N61" s="3073"/>
      <c r="O61" s="3100"/>
      <c r="P61" s="3101"/>
      <c r="Q61" s="3101"/>
      <c r="R61" s="3101"/>
      <c r="S61" s="3102" t="s">
        <v>295</v>
      </c>
      <c r="T61" s="3102" t="s">
        <v>213</v>
      </c>
      <c r="U61" s="3103"/>
      <c r="V61" s="3103" t="s">
        <v>295</v>
      </c>
      <c r="W61" s="3103" t="s">
        <v>6791</v>
      </c>
      <c r="X61" s="3103" t="s">
        <v>213</v>
      </c>
      <c r="Y61" s="3104" t="s">
        <v>164</v>
      </c>
    </row>
    <row r="62" spans="1:25" ht="18" hidden="1">
      <c r="A62" s="1304"/>
      <c r="B62" s="643">
        <v>1125</v>
      </c>
      <c r="C62" s="643" t="s">
        <v>505</v>
      </c>
      <c r="D62" s="3088">
        <v>2</v>
      </c>
      <c r="E62" s="3089" t="str">
        <f t="shared" si="0"/>
        <v>预付款项</v>
      </c>
      <c r="F62" s="3090" t="s">
        <v>506</v>
      </c>
      <c r="G62" s="3091">
        <f t="shared" si="1"/>
        <v>0</v>
      </c>
      <c r="H62" s="3092">
        <f t="shared" ca="1" si="5"/>
        <v>0</v>
      </c>
      <c r="I62" s="3094" t="s">
        <v>6797</v>
      </c>
      <c r="J62" s="3073"/>
      <c r="K62" s="3091">
        <f t="shared" si="6"/>
        <v>0</v>
      </c>
      <c r="L62" s="3072">
        <f ca="1">INDIRECT("Notes!CheckB"&amp;$C62)</f>
        <v>0</v>
      </c>
      <c r="M62" s="3094" t="s">
        <v>6797</v>
      </c>
      <c r="N62" s="3073"/>
      <c r="O62" s="3100"/>
      <c r="P62" s="3101"/>
      <c r="Q62" s="3101"/>
      <c r="R62" s="3101"/>
      <c r="S62" s="3102" t="s">
        <v>295</v>
      </c>
      <c r="T62" s="3102" t="s">
        <v>213</v>
      </c>
      <c r="U62" s="3103"/>
      <c r="V62" s="3103" t="s">
        <v>295</v>
      </c>
      <c r="W62" s="3103" t="s">
        <v>6791</v>
      </c>
      <c r="X62" s="3103" t="s">
        <v>213</v>
      </c>
      <c r="Y62" s="3104" t="s">
        <v>164</v>
      </c>
    </row>
    <row r="63" spans="1:25" ht="24">
      <c r="A63" s="1304"/>
      <c r="B63" s="643">
        <v>1220</v>
      </c>
      <c r="C63" s="643" t="s">
        <v>510</v>
      </c>
      <c r="D63" s="3088">
        <v>1</v>
      </c>
      <c r="E63" s="3089" t="str">
        <f t="shared" si="0"/>
        <v>其他应收款（报表项目）</v>
      </c>
      <c r="F63" s="3090" t="s">
        <v>511</v>
      </c>
      <c r="G63" s="3091">
        <f t="shared" si="1"/>
        <v>50300000</v>
      </c>
      <c r="H63" s="3092">
        <f t="shared" ca="1" si="5"/>
        <v>50300000</v>
      </c>
      <c r="I63" s="3094">
        <f ca="1">IF(AND(LEN(G63)&gt;0,LEN(H63)&gt;0),ROUND(SUM(G63)-SUM(H63),2),"")</f>
        <v>0</v>
      </c>
      <c r="J63" s="3073" t="str">
        <f ca="1">IF(ISNA(I63),"N/A",IF(I63=0,"√","？"))</f>
        <v>√</v>
      </c>
      <c r="K63" s="3091">
        <f t="shared" si="6"/>
        <v>35000000</v>
      </c>
      <c r="L63" s="3072">
        <f ca="1">INDIRECT("Notes!CheckB"&amp;$C63)</f>
        <v>35000000</v>
      </c>
      <c r="M63" s="3094">
        <f ca="1">IF(AND(LEN(K63)&gt;0,LEN(L63)&gt;0),ROUND(SUM(K63)-SUM(L63),2),"")</f>
        <v>0</v>
      </c>
      <c r="N63" s="3073" t="str">
        <f ca="1">IF(ISNA(M63),"N/A",IF(M63=0,"√","？"))</f>
        <v>√</v>
      </c>
      <c r="O63" s="3100"/>
      <c r="P63" s="3101"/>
      <c r="Q63" s="3101"/>
      <c r="R63" s="3101"/>
      <c r="S63" s="3102" t="s">
        <v>295</v>
      </c>
      <c r="T63" s="3102" t="s">
        <v>213</v>
      </c>
      <c r="U63" s="3103">
        <v>1220</v>
      </c>
      <c r="V63" s="3103" t="s">
        <v>295</v>
      </c>
      <c r="W63" s="3103" t="s">
        <v>6791</v>
      </c>
      <c r="X63" s="3103" t="s">
        <v>6792</v>
      </c>
      <c r="Y63" s="3104" t="s">
        <v>164</v>
      </c>
    </row>
    <row r="64" spans="1:25" ht="18">
      <c r="A64" s="1304"/>
      <c r="B64" s="643">
        <v>1132</v>
      </c>
      <c r="C64" s="643" t="s">
        <v>516</v>
      </c>
      <c r="D64" s="3088">
        <v>1</v>
      </c>
      <c r="E64" s="3089" t="str">
        <f t="shared" si="0"/>
        <v>应收利息</v>
      </c>
      <c r="F64" s="3090" t="s">
        <v>517</v>
      </c>
      <c r="G64" s="3091">
        <f t="shared" si="1"/>
        <v>0</v>
      </c>
      <c r="H64" s="3092">
        <f t="shared" ca="1" si="5"/>
        <v>0</v>
      </c>
      <c r="I64" s="3094">
        <f ca="1">IF(AND(LEN(G64)&gt;0,LEN(H64)&gt;0),ROUND(SUM(G64)-SUM(H64),2),"")</f>
        <v>0</v>
      </c>
      <c r="J64" s="3073" t="str">
        <f ca="1">IF(ISNA(I64),"N/A",IF(I64=0,"√","？"))</f>
        <v>√</v>
      </c>
      <c r="K64" s="3091">
        <f t="shared" si="6"/>
        <v>0</v>
      </c>
      <c r="L64" s="3072">
        <f ca="1">INDIRECT("Notes!CheckB"&amp;$C64)</f>
        <v>0</v>
      </c>
      <c r="M64" s="3094">
        <f ca="1">IF(AND(LEN(K64)&gt;0,LEN(L64)&gt;0),ROUND(SUM(K64)-SUM(L64),2),"")</f>
        <v>0</v>
      </c>
      <c r="N64" s="3073" t="str">
        <f ca="1">IF(ISNA(M64),"N/A",IF(M64=0,"√","？"))</f>
        <v>√</v>
      </c>
      <c r="O64" s="3100"/>
      <c r="P64" s="3101"/>
      <c r="Q64" s="3101"/>
      <c r="R64" s="3101"/>
      <c r="S64" s="3102" t="s">
        <v>295</v>
      </c>
      <c r="T64" s="3102" t="s">
        <v>213</v>
      </c>
      <c r="U64" s="3103"/>
      <c r="V64" s="3103" t="s">
        <v>295</v>
      </c>
      <c r="W64" s="3103" t="s">
        <v>6791</v>
      </c>
      <c r="X64" s="3103" t="s">
        <v>6792</v>
      </c>
      <c r="Y64" s="3104" t="s">
        <v>164</v>
      </c>
    </row>
    <row r="65" spans="1:25" ht="24" hidden="1">
      <c r="A65" s="1304"/>
      <c r="B65" s="643">
        <v>1132</v>
      </c>
      <c r="C65" s="643" t="s">
        <v>522</v>
      </c>
      <c r="D65" s="3088">
        <v>2</v>
      </c>
      <c r="E65" s="3089" t="str">
        <f t="shared" si="0"/>
        <v>应收利息</v>
      </c>
      <c r="F65" s="3090" t="s">
        <v>523</v>
      </c>
      <c r="G65" s="3091">
        <f t="shared" si="1"/>
        <v>0</v>
      </c>
      <c r="H65" s="3092">
        <f t="shared" ca="1" si="5"/>
        <v>0</v>
      </c>
      <c r="I65" s="3094" t="s">
        <v>6797</v>
      </c>
      <c r="J65" s="3073"/>
      <c r="K65" s="3091">
        <f t="shared" si="6"/>
        <v>0</v>
      </c>
      <c r="L65" s="3072" t="s">
        <v>6793</v>
      </c>
      <c r="M65" s="3094" t="s">
        <v>6797</v>
      </c>
      <c r="N65" s="3073"/>
      <c r="O65" s="3100"/>
      <c r="P65" s="3101"/>
      <c r="Q65" s="3101"/>
      <c r="R65" s="3101"/>
      <c r="S65" s="3102" t="s">
        <v>295</v>
      </c>
      <c r="T65" s="3102" t="s">
        <v>213</v>
      </c>
      <c r="U65" s="3103"/>
      <c r="V65" s="3103" t="s">
        <v>295</v>
      </c>
      <c r="W65" s="3103" t="s">
        <v>6791</v>
      </c>
      <c r="X65" s="3103" t="s">
        <v>6792</v>
      </c>
      <c r="Y65" s="3104" t="s">
        <v>164</v>
      </c>
    </row>
    <row r="66" spans="1:25" ht="18">
      <c r="A66" s="1304"/>
      <c r="B66" s="643">
        <v>1131</v>
      </c>
      <c r="C66" s="643" t="s">
        <v>526</v>
      </c>
      <c r="D66" s="3088">
        <v>1</v>
      </c>
      <c r="E66" s="3089" t="str">
        <f t="shared" si="0"/>
        <v>应收股利</v>
      </c>
      <c r="F66" s="3090" t="s">
        <v>527</v>
      </c>
      <c r="G66" s="3091">
        <f t="shared" si="1"/>
        <v>0</v>
      </c>
      <c r="H66" s="3092">
        <f t="shared" ca="1" si="5"/>
        <v>0</v>
      </c>
      <c r="I66" s="3094">
        <f ca="1">IF(AND(LEN(G66)&gt;0,LEN(H66)&gt;0),ROUND(SUM(G66)-SUM(H66),2),"")</f>
        <v>0</v>
      </c>
      <c r="J66" s="3073" t="str">
        <f ca="1">IF(ISNA(I66),"N/A",IF(I66=0,"√","？"))</f>
        <v>√</v>
      </c>
      <c r="K66" s="3091">
        <f t="shared" si="6"/>
        <v>0</v>
      </c>
      <c r="L66" s="3072">
        <f ca="1">INDIRECT("Notes!CheckB"&amp;$C66)</f>
        <v>0</v>
      </c>
      <c r="M66" s="3094">
        <f ca="1">IF(AND(LEN(K66)&gt;0,LEN(L66)&gt;0),ROUND(SUM(K66)-SUM(L66),2),"")</f>
        <v>0</v>
      </c>
      <c r="N66" s="3073" t="str">
        <f ca="1">IF(ISNA(M66),"N/A",IF(M66=0,"√","？"))</f>
        <v>√</v>
      </c>
      <c r="O66" s="3100"/>
      <c r="P66" s="3101"/>
      <c r="Q66" s="3101"/>
      <c r="R66" s="3101"/>
      <c r="S66" s="3102" t="s">
        <v>295</v>
      </c>
      <c r="T66" s="3102" t="s">
        <v>213</v>
      </c>
      <c r="U66" s="3103"/>
      <c r="V66" s="3103" t="s">
        <v>295</v>
      </c>
      <c r="W66" s="3103" t="s">
        <v>6791</v>
      </c>
      <c r="X66" s="3103" t="s">
        <v>6792</v>
      </c>
      <c r="Y66" s="3104" t="s">
        <v>164</v>
      </c>
    </row>
    <row r="67" spans="1:25" ht="24" hidden="1">
      <c r="A67" s="1304"/>
      <c r="B67" s="643">
        <v>1131</v>
      </c>
      <c r="C67" s="643" t="s">
        <v>532</v>
      </c>
      <c r="D67" s="3088">
        <v>2</v>
      </c>
      <c r="E67" s="3089" t="str">
        <f t="shared" si="0"/>
        <v>应收股利</v>
      </c>
      <c r="F67" s="3090" t="s">
        <v>533</v>
      </c>
      <c r="G67" s="3091">
        <f t="shared" si="1"/>
        <v>0</v>
      </c>
      <c r="H67" s="3092">
        <f t="shared" ca="1" si="5"/>
        <v>0</v>
      </c>
      <c r="I67" s="3094" t="s">
        <v>6797</v>
      </c>
      <c r="J67" s="3073"/>
      <c r="K67" s="3091">
        <f t="shared" si="6"/>
        <v>0</v>
      </c>
      <c r="L67" s="3072" t="s">
        <v>6793</v>
      </c>
      <c r="M67" s="3094" t="s">
        <v>6797</v>
      </c>
      <c r="N67" s="3073"/>
      <c r="O67" s="3100"/>
      <c r="P67" s="3101"/>
      <c r="Q67" s="3101"/>
      <c r="R67" s="3101"/>
      <c r="S67" s="3102" t="s">
        <v>295</v>
      </c>
      <c r="T67" s="3102" t="s">
        <v>213</v>
      </c>
      <c r="U67" s="3103"/>
      <c r="V67" s="3103" t="s">
        <v>295</v>
      </c>
      <c r="W67" s="3103" t="s">
        <v>6791</v>
      </c>
      <c r="X67" s="3103" t="s">
        <v>6792</v>
      </c>
      <c r="Y67" s="3104" t="s">
        <v>164</v>
      </c>
    </row>
    <row r="68" spans="1:25" ht="18">
      <c r="A68" s="1304"/>
      <c r="B68" s="643">
        <v>1221</v>
      </c>
      <c r="C68" s="643" t="s">
        <v>538</v>
      </c>
      <c r="D68" s="3088">
        <v>1</v>
      </c>
      <c r="E68" s="3089" t="str">
        <f t="shared" si="0"/>
        <v>其他应收款</v>
      </c>
      <c r="F68" s="3090" t="s">
        <v>539</v>
      </c>
      <c r="G68" s="3091">
        <f t="shared" si="1"/>
        <v>50300000</v>
      </c>
      <c r="H68" s="3092">
        <f t="shared" ca="1" si="5"/>
        <v>50300000</v>
      </c>
      <c r="I68" s="3094">
        <f ca="1">IF(AND(LEN(G68)&gt;0,LEN(H68)&gt;0),ROUND(SUM(G68)-SUM(H68),2),"")</f>
        <v>0</v>
      </c>
      <c r="J68" s="3073" t="str">
        <f ca="1">IF(ISNA(I68),"N/A",IF(I68=0,"√","？"))</f>
        <v>√</v>
      </c>
      <c r="K68" s="3091">
        <f t="shared" si="6"/>
        <v>35000000</v>
      </c>
      <c r="L68" s="3072">
        <f ca="1">INDIRECT("Notes!CheckB"&amp;$C68)</f>
        <v>35000000</v>
      </c>
      <c r="M68" s="3094">
        <f ca="1">IF(AND(LEN(K68)&gt;0,LEN(L68)&gt;0),ROUND(SUM(K68)-SUM(L68),2),"")</f>
        <v>0</v>
      </c>
      <c r="N68" s="3073" t="str">
        <f ca="1">IF(ISNA(M68),"N/A",IF(M68=0,"√","？"))</f>
        <v>√</v>
      </c>
      <c r="O68" s="3100"/>
      <c r="P68" s="3101"/>
      <c r="Q68" s="3101"/>
      <c r="R68" s="3101"/>
      <c r="S68" s="3102" t="s">
        <v>295</v>
      </c>
      <c r="T68" s="3102" t="s">
        <v>213</v>
      </c>
      <c r="U68" s="3103"/>
      <c r="V68" s="3103" t="s">
        <v>295</v>
      </c>
      <c r="W68" s="3103" t="s">
        <v>145</v>
      </c>
      <c r="X68" s="3103" t="s">
        <v>6794</v>
      </c>
      <c r="Y68" s="3104" t="s">
        <v>164</v>
      </c>
    </row>
    <row r="69" spans="1:25" ht="24">
      <c r="A69" s="1304"/>
      <c r="B69" s="643">
        <v>1221</v>
      </c>
      <c r="C69" s="643" t="s">
        <v>544</v>
      </c>
      <c r="D69" s="3088">
        <v>1</v>
      </c>
      <c r="E69" s="3089" t="str">
        <f t="shared" si="0"/>
        <v>其他应收款</v>
      </c>
      <c r="F69" s="3090" t="s">
        <v>545</v>
      </c>
      <c r="G69" s="3091">
        <f t="shared" si="1"/>
        <v>50300000</v>
      </c>
      <c r="H69" s="3092">
        <f t="shared" ref="H69:H85" ca="1" si="7">INDIRECT("Notes!CheckA"&amp;$C69)</f>
        <v>50300000</v>
      </c>
      <c r="I69" s="3094">
        <f ca="1">IF(AND(LEN(G69)&gt;0,LEN(H69)&gt;0),ROUND(SUM(G69)-SUM(H69),2),"")</f>
        <v>0</v>
      </c>
      <c r="J69" s="3073" t="str">
        <f ca="1">IF(ISNA(I69),"N/A",IF(I69=0,"√","？"))</f>
        <v>√</v>
      </c>
      <c r="K69" s="3091">
        <f t="shared" si="6"/>
        <v>35000000</v>
      </c>
      <c r="L69" s="3072">
        <f ca="1">INDIRECT("Notes!CheckB"&amp;$C69)</f>
        <v>35000000</v>
      </c>
      <c r="M69" s="3094">
        <f ca="1">IF(AND(LEN(K69)&gt;0,LEN(L69)&gt;0),ROUND(SUM(K69)-SUM(L69),2),"")</f>
        <v>0</v>
      </c>
      <c r="N69" s="3073" t="str">
        <f ca="1">IF(ISNA(M69),"N/A",IF(M69=0,"√","？"))</f>
        <v>√</v>
      </c>
      <c r="O69" s="3100"/>
      <c r="P69" s="3101"/>
      <c r="Q69" s="3101"/>
      <c r="R69" s="3101"/>
      <c r="S69" s="3102" t="s">
        <v>295</v>
      </c>
      <c r="T69" s="3102" t="s">
        <v>213</v>
      </c>
      <c r="U69" s="3103"/>
      <c r="V69" s="3103" t="s">
        <v>295</v>
      </c>
      <c r="W69" s="3103" t="s">
        <v>6791</v>
      </c>
      <c r="X69" s="3103" t="s">
        <v>6792</v>
      </c>
      <c r="Y69" s="3104" t="s">
        <v>164</v>
      </c>
    </row>
    <row r="70" spans="1:25" ht="36" hidden="1">
      <c r="A70" s="1304"/>
      <c r="B70" s="643">
        <v>1221</v>
      </c>
      <c r="C70" s="643">
        <v>122100</v>
      </c>
      <c r="D70" s="3088">
        <v>2</v>
      </c>
      <c r="E70" s="3089" t="str">
        <f t="shared" si="0"/>
        <v>其他应收款</v>
      </c>
      <c r="F70" s="3090" t="s">
        <v>5909</v>
      </c>
      <c r="G70" s="3091">
        <f t="shared" si="1"/>
        <v>50300000</v>
      </c>
      <c r="H70" s="3092">
        <f t="shared" ca="1" si="7"/>
        <v>50300000</v>
      </c>
      <c r="I70" s="3094" t="s">
        <v>6797</v>
      </c>
      <c r="J70" s="3073"/>
      <c r="K70" s="3091">
        <f t="shared" si="6"/>
        <v>35000000</v>
      </c>
      <c r="L70" s="3072" t="s">
        <v>6793</v>
      </c>
      <c r="M70" s="3094" t="s">
        <v>6797</v>
      </c>
      <c r="N70" s="3073"/>
      <c r="O70" s="3100"/>
      <c r="P70" s="3101"/>
      <c r="Q70" s="3101"/>
      <c r="R70" s="3101"/>
      <c r="S70" s="3102" t="s">
        <v>295</v>
      </c>
      <c r="T70" s="3102" t="s">
        <v>213</v>
      </c>
      <c r="U70" s="3103"/>
      <c r="V70" s="3103" t="s">
        <v>295</v>
      </c>
      <c r="W70" s="3103" t="s">
        <v>145</v>
      </c>
      <c r="X70" s="3103" t="s">
        <v>6794</v>
      </c>
      <c r="Y70" s="3104" t="s">
        <v>119</v>
      </c>
    </row>
    <row r="71" spans="1:25" ht="36" hidden="1">
      <c r="A71" s="1304"/>
      <c r="B71" s="643">
        <v>1221</v>
      </c>
      <c r="C71" s="643">
        <v>122101</v>
      </c>
      <c r="D71" s="3088">
        <v>2</v>
      </c>
      <c r="E71" s="3089" t="str">
        <f t="shared" si="0"/>
        <v>其他应收款</v>
      </c>
      <c r="F71" s="3090" t="s">
        <v>6431</v>
      </c>
      <c r="G71" s="3091">
        <f t="shared" si="1"/>
        <v>50300000</v>
      </c>
      <c r="H71" s="3092">
        <f t="shared" ca="1" si="7"/>
        <v>50300000</v>
      </c>
      <c r="I71" s="3094" t="s">
        <v>6797</v>
      </c>
      <c r="J71" s="3073"/>
      <c r="K71" s="3091">
        <f t="shared" si="6"/>
        <v>35000000</v>
      </c>
      <c r="L71" s="3072" t="s">
        <v>6793</v>
      </c>
      <c r="M71" s="3094" t="s">
        <v>6797</v>
      </c>
      <c r="N71" s="3073"/>
      <c r="O71" s="3100"/>
      <c r="P71" s="3101"/>
      <c r="Q71" s="3101"/>
      <c r="R71" s="3101"/>
      <c r="S71" s="3102" t="s">
        <v>295</v>
      </c>
      <c r="T71" s="3102" t="s">
        <v>213</v>
      </c>
      <c r="U71" s="3103">
        <v>122100</v>
      </c>
      <c r="V71" s="3103" t="s">
        <v>295</v>
      </c>
      <c r="W71" s="3103" t="s">
        <v>145</v>
      </c>
      <c r="X71" s="3103" t="s">
        <v>6794</v>
      </c>
      <c r="Y71" s="3104" t="s">
        <v>119</v>
      </c>
    </row>
    <row r="72" spans="1:25" ht="36" hidden="1">
      <c r="A72" s="1304"/>
      <c r="B72" s="643">
        <v>1221</v>
      </c>
      <c r="C72" s="643">
        <v>122111</v>
      </c>
      <c r="D72" s="3088">
        <v>2</v>
      </c>
      <c r="E72" s="3089" t="str">
        <f t="shared" si="0"/>
        <v>其他应收款</v>
      </c>
      <c r="F72" s="3090" t="s">
        <v>5922</v>
      </c>
      <c r="G72" s="3091">
        <f t="shared" si="1"/>
        <v>50300000</v>
      </c>
      <c r="H72" s="3092">
        <f t="shared" ca="1" si="7"/>
        <v>0</v>
      </c>
      <c r="I72" s="3094" t="s">
        <v>6797</v>
      </c>
      <c r="J72" s="3073"/>
      <c r="K72" s="3091">
        <f t="shared" si="6"/>
        <v>35000000</v>
      </c>
      <c r="L72" s="3072">
        <f ca="1">INDIRECT("Notes!CheckB"&amp;$C72)</f>
        <v>0</v>
      </c>
      <c r="M72" s="3094" t="s">
        <v>6797</v>
      </c>
      <c r="N72" s="3073"/>
      <c r="O72" s="3100"/>
      <c r="P72" s="3101"/>
      <c r="Q72" s="3101"/>
      <c r="R72" s="3101"/>
      <c r="S72" s="3102" t="s">
        <v>295</v>
      </c>
      <c r="T72" s="3102" t="s">
        <v>213</v>
      </c>
      <c r="U72" s="3103">
        <v>122101</v>
      </c>
      <c r="V72" s="3103" t="s">
        <v>295</v>
      </c>
      <c r="W72" s="3103" t="s">
        <v>145</v>
      </c>
      <c r="X72" s="3103" t="s">
        <v>6794</v>
      </c>
      <c r="Y72" s="3104" t="s">
        <v>119</v>
      </c>
    </row>
    <row r="73" spans="1:25" ht="36" hidden="1">
      <c r="A73" s="1304"/>
      <c r="B73" s="643">
        <v>1221</v>
      </c>
      <c r="C73" s="643">
        <v>122112</v>
      </c>
      <c r="D73" s="3088">
        <v>2</v>
      </c>
      <c r="E73" s="3089" t="str">
        <f t="shared" ref="E73:E136" si="8">IF(ISERROR(VLOOKUP($B73,Sheet_Items,2,0)),"        ----",VLOOKUP($B73,Sheet_Items,2,0))</f>
        <v>其他应收款</v>
      </c>
      <c r="F73" s="3090" t="s">
        <v>5910</v>
      </c>
      <c r="G73" s="3091">
        <f t="shared" ref="G73:G136" si="9">IF(ISERROR(VLOOKUP($B73,Sheet_Trialbal,6,0)),"        ----",VLOOKUP($B73,Sheet_Trialbal,6,0))</f>
        <v>50300000</v>
      </c>
      <c r="H73" s="3092">
        <f t="shared" ca="1" si="7"/>
        <v>0</v>
      </c>
      <c r="I73" s="3094" t="s">
        <v>6797</v>
      </c>
      <c r="J73" s="3073"/>
      <c r="K73" s="3091">
        <f t="shared" ref="K73:K104" si="10">IF(ISERROR(VLOOKUP($B73,Sheet_Trialbal,10,0)),"        ----",VLOOKUP($B73,Sheet_Trialbal,10,0))</f>
        <v>35000000</v>
      </c>
      <c r="L73" s="3072" t="s">
        <v>6793</v>
      </c>
      <c r="M73" s="3094" t="s">
        <v>6797</v>
      </c>
      <c r="N73" s="3073"/>
      <c r="O73" s="3100"/>
      <c r="P73" s="3101"/>
      <c r="Q73" s="3101"/>
      <c r="R73" s="3101"/>
      <c r="S73" s="3102" t="s">
        <v>295</v>
      </c>
      <c r="T73" s="3102" t="s">
        <v>213</v>
      </c>
      <c r="U73" s="3103">
        <v>122101</v>
      </c>
      <c r="V73" s="3103" t="s">
        <v>295</v>
      </c>
      <c r="W73" s="3103" t="s">
        <v>145</v>
      </c>
      <c r="X73" s="3103" t="s">
        <v>6794</v>
      </c>
      <c r="Y73" s="3104" t="s">
        <v>119</v>
      </c>
    </row>
    <row r="74" spans="1:25" ht="36" hidden="1">
      <c r="A74" s="1304"/>
      <c r="B74" s="643">
        <v>1221</v>
      </c>
      <c r="C74" s="643">
        <v>122113</v>
      </c>
      <c r="D74" s="3088">
        <v>2</v>
      </c>
      <c r="E74" s="3089" t="str">
        <f t="shared" si="8"/>
        <v>其他应收款</v>
      </c>
      <c r="F74" s="3090" t="s">
        <v>5921</v>
      </c>
      <c r="G74" s="3091">
        <f t="shared" si="9"/>
        <v>50300000</v>
      </c>
      <c r="H74" s="3092">
        <f t="shared" ca="1" si="7"/>
        <v>0</v>
      </c>
      <c r="I74" s="3094" t="s">
        <v>6797</v>
      </c>
      <c r="J74" s="3073"/>
      <c r="K74" s="3091">
        <f t="shared" si="10"/>
        <v>35000000</v>
      </c>
      <c r="L74" s="3072" t="s">
        <v>6793</v>
      </c>
      <c r="M74" s="3094" t="s">
        <v>6797</v>
      </c>
      <c r="N74" s="3073"/>
      <c r="O74" s="3100"/>
      <c r="P74" s="3101"/>
      <c r="Q74" s="3101"/>
      <c r="R74" s="3101"/>
      <c r="S74" s="3102" t="s">
        <v>295</v>
      </c>
      <c r="T74" s="3102" t="s">
        <v>213</v>
      </c>
      <c r="U74" s="3103">
        <v>122101</v>
      </c>
      <c r="V74" s="3103" t="s">
        <v>295</v>
      </c>
      <c r="W74" s="3103" t="s">
        <v>145</v>
      </c>
      <c r="X74" s="3103" t="s">
        <v>213</v>
      </c>
      <c r="Y74" s="3104" t="s">
        <v>119</v>
      </c>
    </row>
    <row r="75" spans="1:25" ht="36" hidden="1">
      <c r="A75" s="1304"/>
      <c r="B75" s="643">
        <v>1221</v>
      </c>
      <c r="C75" s="643">
        <v>122114</v>
      </c>
      <c r="D75" s="3088">
        <v>2</v>
      </c>
      <c r="E75" s="3089" t="str">
        <f t="shared" si="8"/>
        <v>其他应收款</v>
      </c>
      <c r="F75" s="3090" t="s">
        <v>5920</v>
      </c>
      <c r="G75" s="3091">
        <f t="shared" si="9"/>
        <v>50300000</v>
      </c>
      <c r="H75" s="3092">
        <f t="shared" ca="1" si="7"/>
        <v>0</v>
      </c>
      <c r="I75" s="3094" t="s">
        <v>6797</v>
      </c>
      <c r="J75" s="3073"/>
      <c r="K75" s="3091">
        <f t="shared" si="10"/>
        <v>35000000</v>
      </c>
      <c r="L75" s="3072" t="s">
        <v>6793</v>
      </c>
      <c r="M75" s="3094" t="s">
        <v>6797</v>
      </c>
      <c r="N75" s="3073"/>
      <c r="O75" s="3100"/>
      <c r="P75" s="3101"/>
      <c r="Q75" s="3101"/>
      <c r="R75" s="3101"/>
      <c r="S75" s="3102" t="s">
        <v>295</v>
      </c>
      <c r="T75" s="3102" t="s">
        <v>213</v>
      </c>
      <c r="U75" s="3103">
        <v>122101</v>
      </c>
      <c r="V75" s="3103" t="s">
        <v>295</v>
      </c>
      <c r="W75" s="3103" t="s">
        <v>145</v>
      </c>
      <c r="X75" s="3103" t="s">
        <v>213</v>
      </c>
      <c r="Y75" s="3104" t="s">
        <v>119</v>
      </c>
    </row>
    <row r="76" spans="1:25" ht="36" hidden="1">
      <c r="A76" s="1304"/>
      <c r="B76" s="643">
        <v>1221</v>
      </c>
      <c r="C76" s="643">
        <v>122102</v>
      </c>
      <c r="D76" s="3088">
        <v>2</v>
      </c>
      <c r="E76" s="3089" t="str">
        <f t="shared" si="8"/>
        <v>其他应收款</v>
      </c>
      <c r="F76" s="3090" t="s">
        <v>6432</v>
      </c>
      <c r="G76" s="3091">
        <f t="shared" si="9"/>
        <v>50300000</v>
      </c>
      <c r="H76" s="3092">
        <f t="shared" ca="1" si="7"/>
        <v>0</v>
      </c>
      <c r="I76" s="3094" t="s">
        <v>6797</v>
      </c>
      <c r="J76" s="3073"/>
      <c r="K76" s="3091">
        <f t="shared" si="10"/>
        <v>35000000</v>
      </c>
      <c r="L76" s="3072">
        <f ca="1">INDIRECT("Notes!CheckB"&amp;$C76)</f>
        <v>0</v>
      </c>
      <c r="M76" s="3094" t="s">
        <v>6797</v>
      </c>
      <c r="N76" s="3073"/>
      <c r="O76" s="3100"/>
      <c r="P76" s="3101"/>
      <c r="Q76" s="3101"/>
      <c r="R76" s="3101"/>
      <c r="S76" s="3102" t="s">
        <v>295</v>
      </c>
      <c r="T76" s="3102" t="s">
        <v>213</v>
      </c>
      <c r="U76" s="3103">
        <v>122100</v>
      </c>
      <c r="V76" s="3103" t="s">
        <v>295</v>
      </c>
      <c r="W76" s="3103" t="s">
        <v>145</v>
      </c>
      <c r="X76" s="3103" t="s">
        <v>6794</v>
      </c>
      <c r="Y76" s="3104" t="s">
        <v>119</v>
      </c>
    </row>
    <row r="77" spans="1:25" ht="36" hidden="1">
      <c r="A77" s="1304"/>
      <c r="B77" s="643">
        <v>1221</v>
      </c>
      <c r="C77" s="643">
        <v>122121</v>
      </c>
      <c r="D77" s="3088">
        <v>2</v>
      </c>
      <c r="E77" s="3089" t="str">
        <f t="shared" si="8"/>
        <v>其他应收款</v>
      </c>
      <c r="F77" s="3090" t="s">
        <v>5911</v>
      </c>
      <c r="G77" s="3091">
        <f t="shared" si="9"/>
        <v>50300000</v>
      </c>
      <c r="H77" s="3092">
        <f t="shared" ca="1" si="7"/>
        <v>0</v>
      </c>
      <c r="I77" s="3094" t="s">
        <v>6797</v>
      </c>
      <c r="J77" s="3073"/>
      <c r="K77" s="3091">
        <f t="shared" si="10"/>
        <v>35000000</v>
      </c>
      <c r="L77" s="3072" t="s">
        <v>6793</v>
      </c>
      <c r="M77" s="3094" t="s">
        <v>6797</v>
      </c>
      <c r="N77" s="3073"/>
      <c r="O77" s="3100"/>
      <c r="P77" s="3101"/>
      <c r="Q77" s="3101"/>
      <c r="R77" s="3101"/>
      <c r="S77" s="3102" t="s">
        <v>295</v>
      </c>
      <c r="T77" s="3102" t="s">
        <v>213</v>
      </c>
      <c r="U77" s="3103">
        <v>122102</v>
      </c>
      <c r="V77" s="3103" t="s">
        <v>295</v>
      </c>
      <c r="W77" s="3103" t="s">
        <v>145</v>
      </c>
      <c r="X77" s="3103" t="s">
        <v>6794</v>
      </c>
      <c r="Y77" s="3104" t="s">
        <v>119</v>
      </c>
    </row>
    <row r="78" spans="1:25" ht="36" hidden="1">
      <c r="A78" s="1304"/>
      <c r="B78" s="643">
        <v>1221</v>
      </c>
      <c r="C78" s="643">
        <v>122122</v>
      </c>
      <c r="D78" s="3088">
        <v>2</v>
      </c>
      <c r="E78" s="3089" t="str">
        <f t="shared" si="8"/>
        <v>其他应收款</v>
      </c>
      <c r="F78" s="3090" t="s">
        <v>5912</v>
      </c>
      <c r="G78" s="3091">
        <f t="shared" si="9"/>
        <v>50300000</v>
      </c>
      <c r="H78" s="3092">
        <f t="shared" ca="1" si="7"/>
        <v>0</v>
      </c>
      <c r="I78" s="3094" t="s">
        <v>6797</v>
      </c>
      <c r="J78" s="3073"/>
      <c r="K78" s="3091">
        <f t="shared" si="10"/>
        <v>35000000</v>
      </c>
      <c r="L78" s="3072" t="s">
        <v>6793</v>
      </c>
      <c r="M78" s="3094" t="s">
        <v>6797</v>
      </c>
      <c r="N78" s="3073"/>
      <c r="O78" s="3100"/>
      <c r="P78" s="3101"/>
      <c r="Q78" s="3101"/>
      <c r="R78" s="3101"/>
      <c r="S78" s="3102" t="s">
        <v>295</v>
      </c>
      <c r="T78" s="3102" t="s">
        <v>213</v>
      </c>
      <c r="U78" s="3103">
        <v>122102</v>
      </c>
      <c r="V78" s="3103" t="s">
        <v>295</v>
      </c>
      <c r="W78" s="3103" t="s">
        <v>145</v>
      </c>
      <c r="X78" s="3103" t="s">
        <v>6794</v>
      </c>
      <c r="Y78" s="3104" t="s">
        <v>119</v>
      </c>
    </row>
    <row r="79" spans="1:25" ht="36" hidden="1">
      <c r="A79" s="1304"/>
      <c r="B79" s="643">
        <v>1221</v>
      </c>
      <c r="C79" s="643">
        <v>122123</v>
      </c>
      <c r="D79" s="3088">
        <v>2</v>
      </c>
      <c r="E79" s="3089" t="str">
        <f t="shared" si="8"/>
        <v>其他应收款</v>
      </c>
      <c r="F79" s="3090" t="s">
        <v>5913</v>
      </c>
      <c r="G79" s="3091">
        <f t="shared" si="9"/>
        <v>50300000</v>
      </c>
      <c r="H79" s="3092">
        <f t="shared" ca="1" si="7"/>
        <v>0</v>
      </c>
      <c r="I79" s="3094" t="s">
        <v>6797</v>
      </c>
      <c r="J79" s="3073"/>
      <c r="K79" s="3091">
        <f t="shared" si="10"/>
        <v>35000000</v>
      </c>
      <c r="L79" s="3072" t="s">
        <v>6793</v>
      </c>
      <c r="M79" s="3094" t="s">
        <v>6797</v>
      </c>
      <c r="N79" s="3073"/>
      <c r="O79" s="3100"/>
      <c r="P79" s="3101"/>
      <c r="Q79" s="3101"/>
      <c r="R79" s="3101"/>
      <c r="S79" s="3102" t="s">
        <v>295</v>
      </c>
      <c r="T79" s="3102" t="s">
        <v>213</v>
      </c>
      <c r="U79" s="3103">
        <v>122102</v>
      </c>
      <c r="V79" s="3103" t="s">
        <v>295</v>
      </c>
      <c r="W79" s="3103" t="s">
        <v>145</v>
      </c>
      <c r="X79" s="3103" t="s">
        <v>213</v>
      </c>
      <c r="Y79" s="3104" t="s">
        <v>119</v>
      </c>
    </row>
    <row r="80" spans="1:25" ht="36" hidden="1">
      <c r="A80" s="1304"/>
      <c r="B80" s="643">
        <v>1221</v>
      </c>
      <c r="C80" s="643">
        <v>122124</v>
      </c>
      <c r="D80" s="3088">
        <v>2</v>
      </c>
      <c r="E80" s="3089" t="str">
        <f t="shared" si="8"/>
        <v>其他应收款</v>
      </c>
      <c r="F80" s="3090" t="s">
        <v>5914</v>
      </c>
      <c r="G80" s="3091">
        <f t="shared" si="9"/>
        <v>50300000</v>
      </c>
      <c r="H80" s="3092">
        <f t="shared" ca="1" si="7"/>
        <v>0</v>
      </c>
      <c r="I80" s="3094" t="s">
        <v>6797</v>
      </c>
      <c r="J80" s="3073"/>
      <c r="K80" s="3091">
        <f t="shared" si="10"/>
        <v>35000000</v>
      </c>
      <c r="L80" s="3072" t="s">
        <v>6793</v>
      </c>
      <c r="M80" s="3094" t="s">
        <v>6797</v>
      </c>
      <c r="N80" s="3073"/>
      <c r="O80" s="3100"/>
      <c r="P80" s="3101"/>
      <c r="Q80" s="3101"/>
      <c r="R80" s="3101"/>
      <c r="S80" s="3102" t="s">
        <v>295</v>
      </c>
      <c r="T80" s="3102" t="s">
        <v>213</v>
      </c>
      <c r="U80" s="3103">
        <v>122102</v>
      </c>
      <c r="V80" s="3103" t="s">
        <v>295</v>
      </c>
      <c r="W80" s="3103" t="s">
        <v>145</v>
      </c>
      <c r="X80" s="3103" t="s">
        <v>213</v>
      </c>
      <c r="Y80" s="3104" t="s">
        <v>119</v>
      </c>
    </row>
    <row r="81" spans="1:25" ht="36" hidden="1">
      <c r="A81" s="1304"/>
      <c r="B81" s="643">
        <v>1221</v>
      </c>
      <c r="C81" s="643">
        <v>122103</v>
      </c>
      <c r="D81" s="3088">
        <v>2</v>
      </c>
      <c r="E81" s="3089" t="str">
        <f t="shared" si="8"/>
        <v>其他应收款</v>
      </c>
      <c r="F81" s="3090" t="s">
        <v>6433</v>
      </c>
      <c r="G81" s="3091">
        <f t="shared" si="9"/>
        <v>50300000</v>
      </c>
      <c r="H81" s="3092">
        <f t="shared" ca="1" si="7"/>
        <v>0</v>
      </c>
      <c r="I81" s="3094" t="s">
        <v>6797</v>
      </c>
      <c r="J81" s="3073"/>
      <c r="K81" s="3091">
        <f t="shared" si="10"/>
        <v>35000000</v>
      </c>
      <c r="L81" s="3072" t="s">
        <v>6793</v>
      </c>
      <c r="M81" s="3094" t="s">
        <v>6797</v>
      </c>
      <c r="N81" s="3073"/>
      <c r="O81" s="3100"/>
      <c r="P81" s="3101"/>
      <c r="Q81" s="3101"/>
      <c r="R81" s="3101"/>
      <c r="S81" s="3102" t="s">
        <v>295</v>
      </c>
      <c r="T81" s="3102" t="s">
        <v>213</v>
      </c>
      <c r="U81" s="3103">
        <v>122100</v>
      </c>
      <c r="V81" s="3103" t="s">
        <v>295</v>
      </c>
      <c r="W81" s="3103" t="s">
        <v>145</v>
      </c>
      <c r="X81" s="3103" t="s">
        <v>6794</v>
      </c>
      <c r="Y81" s="3104" t="s">
        <v>119</v>
      </c>
    </row>
    <row r="82" spans="1:25" ht="36" hidden="1">
      <c r="A82" s="1304"/>
      <c r="B82" s="643">
        <v>1221</v>
      </c>
      <c r="C82" s="643">
        <v>122131</v>
      </c>
      <c r="D82" s="3088">
        <v>2</v>
      </c>
      <c r="E82" s="3089" t="str">
        <f t="shared" si="8"/>
        <v>其他应收款</v>
      </c>
      <c r="F82" s="3090" t="s">
        <v>5915</v>
      </c>
      <c r="G82" s="3091">
        <f t="shared" si="9"/>
        <v>50300000</v>
      </c>
      <c r="H82" s="3092">
        <f t="shared" ca="1" si="7"/>
        <v>0</v>
      </c>
      <c r="I82" s="3094" t="s">
        <v>6797</v>
      </c>
      <c r="J82" s="3073"/>
      <c r="K82" s="3091">
        <f t="shared" si="10"/>
        <v>35000000</v>
      </c>
      <c r="L82" s="3072" t="s">
        <v>6793</v>
      </c>
      <c r="M82" s="3094" t="s">
        <v>6797</v>
      </c>
      <c r="N82" s="3073"/>
      <c r="O82" s="3100"/>
      <c r="P82" s="3101"/>
      <c r="Q82" s="3101"/>
      <c r="R82" s="3101"/>
      <c r="S82" s="3102" t="s">
        <v>295</v>
      </c>
      <c r="T82" s="3102" t="s">
        <v>213</v>
      </c>
      <c r="U82" s="3103">
        <v>122103</v>
      </c>
      <c r="V82" s="3103" t="s">
        <v>295</v>
      </c>
      <c r="W82" s="3103" t="s">
        <v>145</v>
      </c>
      <c r="X82" s="3103" t="s">
        <v>6794</v>
      </c>
      <c r="Y82" s="3104" t="s">
        <v>119</v>
      </c>
    </row>
    <row r="83" spans="1:25" ht="36" hidden="1">
      <c r="A83" s="1304"/>
      <c r="B83" s="643">
        <v>1221</v>
      </c>
      <c r="C83" s="643">
        <v>122132</v>
      </c>
      <c r="D83" s="3088">
        <v>2</v>
      </c>
      <c r="E83" s="3089" t="str">
        <f t="shared" si="8"/>
        <v>其他应收款</v>
      </c>
      <c r="F83" s="3090" t="s">
        <v>5916</v>
      </c>
      <c r="G83" s="3091">
        <f t="shared" si="9"/>
        <v>50300000</v>
      </c>
      <c r="H83" s="3092">
        <f t="shared" ca="1" si="7"/>
        <v>0</v>
      </c>
      <c r="I83" s="3094" t="s">
        <v>6797</v>
      </c>
      <c r="J83" s="3073"/>
      <c r="K83" s="3091">
        <f t="shared" si="10"/>
        <v>35000000</v>
      </c>
      <c r="L83" s="3072" t="s">
        <v>6793</v>
      </c>
      <c r="M83" s="3094" t="s">
        <v>6797</v>
      </c>
      <c r="N83" s="3073"/>
      <c r="O83" s="3100"/>
      <c r="P83" s="3101"/>
      <c r="Q83" s="3101"/>
      <c r="R83" s="3101"/>
      <c r="S83" s="3102" t="s">
        <v>295</v>
      </c>
      <c r="T83" s="3102" t="s">
        <v>213</v>
      </c>
      <c r="U83" s="3103">
        <v>122103</v>
      </c>
      <c r="V83" s="3103" t="s">
        <v>295</v>
      </c>
      <c r="W83" s="3103" t="s">
        <v>145</v>
      </c>
      <c r="X83" s="3103" t="s">
        <v>6794</v>
      </c>
      <c r="Y83" s="3104" t="s">
        <v>119</v>
      </c>
    </row>
    <row r="84" spans="1:25" ht="36" hidden="1">
      <c r="A84" s="1304"/>
      <c r="B84" s="643">
        <v>1221</v>
      </c>
      <c r="C84" s="643">
        <v>122133</v>
      </c>
      <c r="D84" s="3088">
        <v>2</v>
      </c>
      <c r="E84" s="3089" t="str">
        <f t="shared" si="8"/>
        <v>其他应收款</v>
      </c>
      <c r="F84" s="3090" t="s">
        <v>5917</v>
      </c>
      <c r="G84" s="3091">
        <f t="shared" si="9"/>
        <v>50300000</v>
      </c>
      <c r="H84" s="3092">
        <f t="shared" ca="1" si="7"/>
        <v>0</v>
      </c>
      <c r="I84" s="3094" t="s">
        <v>6797</v>
      </c>
      <c r="J84" s="3073"/>
      <c r="K84" s="3091">
        <f t="shared" si="10"/>
        <v>35000000</v>
      </c>
      <c r="L84" s="3072">
        <f t="shared" ref="L84:L90" ca="1" si="11">INDIRECT("Notes!CheckB"&amp;$C84)</f>
        <v>0</v>
      </c>
      <c r="M84" s="3094" t="s">
        <v>6797</v>
      </c>
      <c r="N84" s="3073"/>
      <c r="O84" s="3100"/>
      <c r="P84" s="3101"/>
      <c r="Q84" s="3101"/>
      <c r="R84" s="3101"/>
      <c r="S84" s="3102" t="s">
        <v>295</v>
      </c>
      <c r="T84" s="3102" t="s">
        <v>213</v>
      </c>
      <c r="U84" s="3103">
        <v>122103</v>
      </c>
      <c r="V84" s="3103" t="s">
        <v>295</v>
      </c>
      <c r="W84" s="3103" t="s">
        <v>145</v>
      </c>
      <c r="X84" s="3103" t="s">
        <v>213</v>
      </c>
      <c r="Y84" s="3104" t="s">
        <v>119</v>
      </c>
    </row>
    <row r="85" spans="1:25" ht="36" hidden="1">
      <c r="A85" s="1304"/>
      <c r="B85" s="643">
        <v>1221</v>
      </c>
      <c r="C85" s="643">
        <v>122134</v>
      </c>
      <c r="D85" s="3088">
        <v>2</v>
      </c>
      <c r="E85" s="3089" t="str">
        <f t="shared" si="8"/>
        <v>其他应收款</v>
      </c>
      <c r="F85" s="3090" t="s">
        <v>5918</v>
      </c>
      <c r="G85" s="3091">
        <f t="shared" si="9"/>
        <v>50300000</v>
      </c>
      <c r="H85" s="3092">
        <f t="shared" ca="1" si="7"/>
        <v>0</v>
      </c>
      <c r="I85" s="3094" t="s">
        <v>6797</v>
      </c>
      <c r="J85" s="3073"/>
      <c r="K85" s="3091">
        <f t="shared" si="10"/>
        <v>35000000</v>
      </c>
      <c r="L85" s="3072">
        <f t="shared" ca="1" si="11"/>
        <v>0</v>
      </c>
      <c r="M85" s="3094" t="s">
        <v>6797</v>
      </c>
      <c r="N85" s="3073"/>
      <c r="O85" s="3100"/>
      <c r="P85" s="3101"/>
      <c r="Q85" s="3101"/>
      <c r="R85" s="3101"/>
      <c r="S85" s="3102" t="s">
        <v>295</v>
      </c>
      <c r="T85" s="3102" t="s">
        <v>213</v>
      </c>
      <c r="U85" s="3103">
        <v>122103</v>
      </c>
      <c r="V85" s="3103" t="s">
        <v>295</v>
      </c>
      <c r="W85" s="3103" t="s">
        <v>145</v>
      </c>
      <c r="X85" s="3103" t="s">
        <v>213</v>
      </c>
      <c r="Y85" s="3104" t="s">
        <v>119</v>
      </c>
    </row>
    <row r="86" spans="1:25" ht="36" hidden="1">
      <c r="A86" s="1304"/>
      <c r="B86" s="643">
        <v>1221</v>
      </c>
      <c r="C86" s="643" t="s">
        <v>558</v>
      </c>
      <c r="D86" s="3088">
        <v>2</v>
      </c>
      <c r="E86" s="3089" t="str">
        <f t="shared" si="8"/>
        <v>其他应收款</v>
      </c>
      <c r="F86" s="3090" t="s">
        <v>6434</v>
      </c>
      <c r="G86" s="3091">
        <f t="shared" si="9"/>
        <v>50300000</v>
      </c>
      <c r="H86" s="3092" t="s">
        <v>6793</v>
      </c>
      <c r="I86" s="3094" t="s">
        <v>6797</v>
      </c>
      <c r="J86" s="3073"/>
      <c r="K86" s="3091">
        <f t="shared" si="10"/>
        <v>35000000</v>
      </c>
      <c r="L86" s="3072">
        <f t="shared" ca="1" si="11"/>
        <v>0</v>
      </c>
      <c r="M86" s="3094" t="s">
        <v>6797</v>
      </c>
      <c r="N86" s="3073"/>
      <c r="O86" s="3100"/>
      <c r="P86" s="3101"/>
      <c r="Q86" s="3101"/>
      <c r="R86" s="3101"/>
      <c r="S86" s="3102" t="s">
        <v>295</v>
      </c>
      <c r="T86" s="3102" t="s">
        <v>213</v>
      </c>
      <c r="U86" s="3103"/>
      <c r="V86" s="3103" t="s">
        <v>295</v>
      </c>
      <c r="W86" s="3103" t="s">
        <v>145</v>
      </c>
      <c r="X86" s="3103" t="s">
        <v>6794</v>
      </c>
      <c r="Y86" s="3104" t="s">
        <v>119</v>
      </c>
    </row>
    <row r="87" spans="1:25" ht="48" hidden="1">
      <c r="A87" s="1304"/>
      <c r="B87" s="643">
        <v>1221</v>
      </c>
      <c r="C87" s="643" t="s">
        <v>569</v>
      </c>
      <c r="D87" s="3088">
        <v>2</v>
      </c>
      <c r="E87" s="3089" t="str">
        <f t="shared" si="8"/>
        <v>其他应收款</v>
      </c>
      <c r="F87" s="3090" t="s">
        <v>6435</v>
      </c>
      <c r="G87" s="3091">
        <f t="shared" si="9"/>
        <v>50300000</v>
      </c>
      <c r="H87" s="3092" t="s">
        <v>6793</v>
      </c>
      <c r="I87" s="3094" t="s">
        <v>6797</v>
      </c>
      <c r="J87" s="3073"/>
      <c r="K87" s="3091">
        <f t="shared" si="10"/>
        <v>35000000</v>
      </c>
      <c r="L87" s="3072">
        <f t="shared" ca="1" si="11"/>
        <v>0</v>
      </c>
      <c r="M87" s="3094" t="s">
        <v>6797</v>
      </c>
      <c r="N87" s="3073"/>
      <c r="O87" s="3100"/>
      <c r="P87" s="3101"/>
      <c r="Q87" s="3101"/>
      <c r="R87" s="3101"/>
      <c r="S87" s="3102" t="s">
        <v>295</v>
      </c>
      <c r="T87" s="3102" t="s">
        <v>213</v>
      </c>
      <c r="U87" s="3103"/>
      <c r="V87" s="3103" t="s">
        <v>295</v>
      </c>
      <c r="W87" s="3103" t="s">
        <v>145</v>
      </c>
      <c r="X87" s="3103" t="s">
        <v>6794</v>
      </c>
      <c r="Y87" s="3104" t="s">
        <v>119</v>
      </c>
    </row>
    <row r="88" spans="1:25" ht="48" hidden="1">
      <c r="A88" s="1304"/>
      <c r="B88" s="643">
        <v>1221</v>
      </c>
      <c r="C88" s="643" t="s">
        <v>575</v>
      </c>
      <c r="D88" s="3088">
        <v>2</v>
      </c>
      <c r="E88" s="3089" t="str">
        <f t="shared" si="8"/>
        <v>其他应收款</v>
      </c>
      <c r="F88" s="3090" t="s">
        <v>6436</v>
      </c>
      <c r="G88" s="3091">
        <f t="shared" si="9"/>
        <v>50300000</v>
      </c>
      <c r="H88" s="3092" t="s">
        <v>6793</v>
      </c>
      <c r="I88" s="3094" t="s">
        <v>6797</v>
      </c>
      <c r="J88" s="3073"/>
      <c r="K88" s="3091">
        <f t="shared" si="10"/>
        <v>35000000</v>
      </c>
      <c r="L88" s="3072">
        <f t="shared" ca="1" si="11"/>
        <v>0</v>
      </c>
      <c r="M88" s="3094" t="s">
        <v>6797</v>
      </c>
      <c r="N88" s="3073"/>
      <c r="O88" s="3100"/>
      <c r="P88" s="3101"/>
      <c r="Q88" s="3101"/>
      <c r="R88" s="3101"/>
      <c r="S88" s="3102" t="s">
        <v>295</v>
      </c>
      <c r="T88" s="3102" t="s">
        <v>213</v>
      </c>
      <c r="U88" s="3103"/>
      <c r="V88" s="3103" t="s">
        <v>295</v>
      </c>
      <c r="W88" s="3103" t="s">
        <v>145</v>
      </c>
      <c r="X88" s="3103" t="s">
        <v>6794</v>
      </c>
      <c r="Y88" s="3104" t="s">
        <v>119</v>
      </c>
    </row>
    <row r="89" spans="1:25" ht="24" hidden="1">
      <c r="A89" s="1304"/>
      <c r="B89" s="643">
        <v>1221</v>
      </c>
      <c r="C89" s="643" t="s">
        <v>579</v>
      </c>
      <c r="D89" s="3088">
        <v>2</v>
      </c>
      <c r="E89" s="3089" t="str">
        <f t="shared" si="8"/>
        <v>其他应收款</v>
      </c>
      <c r="F89" s="3090" t="s">
        <v>580</v>
      </c>
      <c r="G89" s="3091">
        <f t="shared" si="9"/>
        <v>50300000</v>
      </c>
      <c r="H89" s="3092">
        <f t="shared" ref="H89:H101" ca="1" si="12">INDIRECT("Notes!CheckA"&amp;$C89)</f>
        <v>0</v>
      </c>
      <c r="I89" s="3094" t="s">
        <v>6797</v>
      </c>
      <c r="J89" s="3073"/>
      <c r="K89" s="3091">
        <f t="shared" si="10"/>
        <v>35000000</v>
      </c>
      <c r="L89" s="3072">
        <f t="shared" ca="1" si="11"/>
        <v>0</v>
      </c>
      <c r="M89" s="3094" t="s">
        <v>6797</v>
      </c>
      <c r="N89" s="3073"/>
      <c r="O89" s="3100"/>
      <c r="P89" s="3101"/>
      <c r="Q89" s="3101"/>
      <c r="R89" s="3101"/>
      <c r="S89" s="3102" t="s">
        <v>295</v>
      </c>
      <c r="T89" s="3102" t="s">
        <v>213</v>
      </c>
      <c r="U89" s="3103"/>
      <c r="V89" s="3103" t="s">
        <v>295</v>
      </c>
      <c r="W89" s="3103" t="s">
        <v>145</v>
      </c>
      <c r="X89" s="3103" t="s">
        <v>6794</v>
      </c>
      <c r="Y89" s="3104" t="s">
        <v>119</v>
      </c>
    </row>
    <row r="90" spans="1:25" ht="36" hidden="1">
      <c r="A90" s="1304"/>
      <c r="B90" s="643">
        <v>1221</v>
      </c>
      <c r="C90" s="643">
        <v>122104</v>
      </c>
      <c r="D90" s="3088">
        <v>2</v>
      </c>
      <c r="E90" s="3089" t="str">
        <f t="shared" si="8"/>
        <v>其他应收款</v>
      </c>
      <c r="F90" s="3090" t="s">
        <v>5908</v>
      </c>
      <c r="G90" s="3091">
        <f t="shared" si="9"/>
        <v>50300000</v>
      </c>
      <c r="H90" s="3092">
        <f t="shared" ca="1" si="12"/>
        <v>0</v>
      </c>
      <c r="I90" s="3094" t="s">
        <v>6797</v>
      </c>
      <c r="J90" s="3073"/>
      <c r="K90" s="3091">
        <f t="shared" si="10"/>
        <v>35000000</v>
      </c>
      <c r="L90" s="3072">
        <f t="shared" ca="1" si="11"/>
        <v>0</v>
      </c>
      <c r="M90" s="3094" t="s">
        <v>6797</v>
      </c>
      <c r="N90" s="3073"/>
      <c r="O90" s="3100"/>
      <c r="P90" s="3101"/>
      <c r="Q90" s="3101"/>
      <c r="R90" s="3101"/>
      <c r="S90" s="3102" t="s">
        <v>295</v>
      </c>
      <c r="T90" s="3102" t="s">
        <v>213</v>
      </c>
      <c r="U90" s="3103"/>
      <c r="V90" s="3103" t="s">
        <v>295</v>
      </c>
      <c r="W90" s="3103" t="s">
        <v>145</v>
      </c>
      <c r="X90" s="3103" t="s">
        <v>6794</v>
      </c>
      <c r="Y90" s="3104" t="s">
        <v>119</v>
      </c>
    </row>
    <row r="91" spans="1:25" ht="36" hidden="1">
      <c r="A91" s="1304"/>
      <c r="B91" s="643">
        <v>1221</v>
      </c>
      <c r="C91" s="643" t="s">
        <v>584</v>
      </c>
      <c r="D91" s="3088">
        <v>2</v>
      </c>
      <c r="E91" s="3089" t="str">
        <f t="shared" si="8"/>
        <v>其他应收款</v>
      </c>
      <c r="F91" s="3090" t="s">
        <v>585</v>
      </c>
      <c r="G91" s="3091">
        <f t="shared" si="9"/>
        <v>50300000</v>
      </c>
      <c r="H91" s="3092">
        <f t="shared" ca="1" si="12"/>
        <v>0</v>
      </c>
      <c r="I91" s="3094" t="s">
        <v>6797</v>
      </c>
      <c r="J91" s="3073"/>
      <c r="K91" s="3091">
        <f t="shared" si="10"/>
        <v>35000000</v>
      </c>
      <c r="L91" s="3072" t="s">
        <v>6793</v>
      </c>
      <c r="M91" s="3094" t="s">
        <v>6797</v>
      </c>
      <c r="N91" s="3073"/>
      <c r="O91" s="3100"/>
      <c r="P91" s="3101"/>
      <c r="Q91" s="3101"/>
      <c r="R91" s="3101"/>
      <c r="S91" s="3102" t="s">
        <v>295</v>
      </c>
      <c r="T91" s="3102" t="s">
        <v>213</v>
      </c>
      <c r="U91" s="3103"/>
      <c r="V91" s="3103" t="s">
        <v>295</v>
      </c>
      <c r="W91" s="3103" t="s">
        <v>6791</v>
      </c>
      <c r="X91" s="3103" t="s">
        <v>6794</v>
      </c>
      <c r="Y91" s="3104" t="s">
        <v>164</v>
      </c>
    </row>
    <row r="92" spans="1:25" ht="24" hidden="1">
      <c r="A92" s="1304"/>
      <c r="B92" s="643">
        <v>1221</v>
      </c>
      <c r="C92" s="643" t="s">
        <v>590</v>
      </c>
      <c r="D92" s="3088">
        <v>2</v>
      </c>
      <c r="E92" s="3089" t="str">
        <f t="shared" si="8"/>
        <v>其他应收款</v>
      </c>
      <c r="F92" s="3090" t="s">
        <v>591</v>
      </c>
      <c r="G92" s="3091">
        <f t="shared" si="9"/>
        <v>50300000</v>
      </c>
      <c r="H92" s="3092">
        <f t="shared" ca="1" si="12"/>
        <v>0</v>
      </c>
      <c r="I92" s="3094" t="s">
        <v>6797</v>
      </c>
      <c r="J92" s="3073"/>
      <c r="K92" s="3091">
        <f t="shared" si="10"/>
        <v>35000000</v>
      </c>
      <c r="L92" s="3072">
        <f ca="1">INDIRECT("Notes!CheckB"&amp;$C92)</f>
        <v>0</v>
      </c>
      <c r="M92" s="3094" t="s">
        <v>6797</v>
      </c>
      <c r="N92" s="3073"/>
      <c r="O92" s="3100"/>
      <c r="P92" s="3101"/>
      <c r="Q92" s="3101"/>
      <c r="R92" s="3101"/>
      <c r="S92" s="3102" t="s">
        <v>295</v>
      </c>
      <c r="T92" s="3102" t="s">
        <v>213</v>
      </c>
      <c r="U92" s="3103"/>
      <c r="V92" s="3103" t="s">
        <v>295</v>
      </c>
      <c r="W92" s="3103" t="s">
        <v>6791</v>
      </c>
      <c r="X92" s="3103" t="s">
        <v>6794</v>
      </c>
      <c r="Y92" s="3104" t="s">
        <v>164</v>
      </c>
    </row>
    <row r="93" spans="1:25" ht="24" hidden="1">
      <c r="A93" s="1304"/>
      <c r="B93" s="643">
        <v>1221</v>
      </c>
      <c r="C93" s="643" t="s">
        <v>595</v>
      </c>
      <c r="D93" s="3088">
        <v>2</v>
      </c>
      <c r="E93" s="3089" t="str">
        <f t="shared" si="8"/>
        <v>其他应收款</v>
      </c>
      <c r="F93" s="3090" t="s">
        <v>596</v>
      </c>
      <c r="G93" s="3091">
        <f t="shared" si="9"/>
        <v>50300000</v>
      </c>
      <c r="H93" s="3092">
        <f t="shared" ca="1" si="12"/>
        <v>0</v>
      </c>
      <c r="I93" s="3094" t="s">
        <v>6797</v>
      </c>
      <c r="J93" s="3073"/>
      <c r="K93" s="3091">
        <f t="shared" si="10"/>
        <v>35000000</v>
      </c>
      <c r="L93" s="3072" t="s">
        <v>6793</v>
      </c>
      <c r="M93" s="3094" t="s">
        <v>6797</v>
      </c>
      <c r="N93" s="3073"/>
      <c r="O93" s="3100"/>
      <c r="P93" s="3101"/>
      <c r="Q93" s="3101"/>
      <c r="R93" s="3101"/>
      <c r="S93" s="3102" t="s">
        <v>295</v>
      </c>
      <c r="T93" s="3102" t="s">
        <v>213</v>
      </c>
      <c r="U93" s="3103"/>
      <c r="V93" s="3103" t="s">
        <v>295</v>
      </c>
      <c r="W93" s="3103" t="s">
        <v>6791</v>
      </c>
      <c r="X93" s="3103" t="s">
        <v>6794</v>
      </c>
      <c r="Y93" s="3104" t="s">
        <v>164</v>
      </c>
    </row>
    <row r="94" spans="1:25" ht="36" hidden="1">
      <c r="A94" s="1304"/>
      <c r="B94" s="643">
        <v>1221</v>
      </c>
      <c r="C94" s="643" t="s">
        <v>600</v>
      </c>
      <c r="D94" s="3088">
        <v>2</v>
      </c>
      <c r="E94" s="3089" t="str">
        <f t="shared" si="8"/>
        <v>其他应收款</v>
      </c>
      <c r="F94" s="3090" t="s">
        <v>601</v>
      </c>
      <c r="G94" s="3091">
        <f t="shared" si="9"/>
        <v>50300000</v>
      </c>
      <c r="H94" s="3092">
        <f t="shared" ca="1" si="12"/>
        <v>0</v>
      </c>
      <c r="I94" s="3094" t="s">
        <v>6797</v>
      </c>
      <c r="J94" s="3073"/>
      <c r="K94" s="3091">
        <f t="shared" si="10"/>
        <v>35000000</v>
      </c>
      <c r="L94" s="3072" t="s">
        <v>6793</v>
      </c>
      <c r="M94" s="3094" t="s">
        <v>6797</v>
      </c>
      <c r="N94" s="3073"/>
      <c r="O94" s="3100"/>
      <c r="P94" s="3101"/>
      <c r="Q94" s="3101"/>
      <c r="R94" s="3101"/>
      <c r="S94" s="3102" t="s">
        <v>295</v>
      </c>
      <c r="T94" s="3102" t="s">
        <v>213</v>
      </c>
      <c r="U94" s="3103"/>
      <c r="V94" s="3103" t="s">
        <v>295</v>
      </c>
      <c r="W94" s="3103" t="s">
        <v>6791</v>
      </c>
      <c r="X94" s="3103" t="s">
        <v>6794</v>
      </c>
      <c r="Y94" s="3104" t="s">
        <v>164</v>
      </c>
    </row>
    <row r="95" spans="1:25" ht="24" hidden="1">
      <c r="A95" s="1304"/>
      <c r="B95" s="643">
        <v>1221</v>
      </c>
      <c r="C95" s="643" t="s">
        <v>605</v>
      </c>
      <c r="D95" s="3088">
        <v>2</v>
      </c>
      <c r="E95" s="3089" t="str">
        <f t="shared" si="8"/>
        <v>其他应收款</v>
      </c>
      <c r="F95" s="3090" t="s">
        <v>606</v>
      </c>
      <c r="G95" s="3091">
        <f t="shared" si="9"/>
        <v>50300000</v>
      </c>
      <c r="H95" s="3092">
        <f t="shared" ca="1" si="12"/>
        <v>0</v>
      </c>
      <c r="I95" s="3094" t="s">
        <v>6797</v>
      </c>
      <c r="J95" s="3073"/>
      <c r="K95" s="3091">
        <f t="shared" si="10"/>
        <v>35000000</v>
      </c>
      <c r="L95" s="3072" t="s">
        <v>6793</v>
      </c>
      <c r="M95" s="3094" t="s">
        <v>6797</v>
      </c>
      <c r="N95" s="3073"/>
      <c r="O95" s="3100"/>
      <c r="P95" s="3101"/>
      <c r="Q95" s="3101"/>
      <c r="R95" s="3101"/>
      <c r="S95" s="3102" t="s">
        <v>295</v>
      </c>
      <c r="T95" s="3102" t="s">
        <v>213</v>
      </c>
      <c r="U95" s="3103"/>
      <c r="V95" s="3103" t="s">
        <v>295</v>
      </c>
      <c r="W95" s="3103" t="s">
        <v>6791</v>
      </c>
      <c r="X95" s="3103" t="s">
        <v>6794</v>
      </c>
      <c r="Y95" s="3104" t="s">
        <v>164</v>
      </c>
    </row>
    <row r="96" spans="1:25" ht="24" hidden="1">
      <c r="A96" s="1304"/>
      <c r="B96" s="643">
        <v>1221</v>
      </c>
      <c r="C96" s="643" t="s">
        <v>609</v>
      </c>
      <c r="D96" s="3088">
        <v>2</v>
      </c>
      <c r="E96" s="3089" t="str">
        <f t="shared" si="8"/>
        <v>其他应收款</v>
      </c>
      <c r="F96" s="3090" t="s">
        <v>610</v>
      </c>
      <c r="G96" s="3091">
        <f t="shared" si="9"/>
        <v>50300000</v>
      </c>
      <c r="H96" s="3092">
        <f t="shared" ca="1" si="12"/>
        <v>0</v>
      </c>
      <c r="I96" s="3094" t="s">
        <v>6797</v>
      </c>
      <c r="J96" s="3073"/>
      <c r="K96" s="3091">
        <f t="shared" si="10"/>
        <v>35000000</v>
      </c>
      <c r="L96" s="3072" t="s">
        <v>6793</v>
      </c>
      <c r="M96" s="3094" t="s">
        <v>6797</v>
      </c>
      <c r="N96" s="3073"/>
      <c r="O96" s="3100"/>
      <c r="P96" s="3101"/>
      <c r="Q96" s="3101"/>
      <c r="R96" s="3101"/>
      <c r="S96" s="3102" t="s">
        <v>295</v>
      </c>
      <c r="T96" s="3102" t="s">
        <v>213</v>
      </c>
      <c r="U96" s="3103"/>
      <c r="V96" s="3103" t="s">
        <v>295</v>
      </c>
      <c r="W96" s="3103" t="s">
        <v>6791</v>
      </c>
      <c r="X96" s="3103" t="s">
        <v>6794</v>
      </c>
      <c r="Y96" s="3104" t="s">
        <v>164</v>
      </c>
    </row>
    <row r="97" spans="1:25" ht="36" hidden="1">
      <c r="A97" s="1304"/>
      <c r="B97" s="643">
        <v>1221</v>
      </c>
      <c r="C97" s="643" t="s">
        <v>615</v>
      </c>
      <c r="D97" s="3088">
        <v>2</v>
      </c>
      <c r="E97" s="3089" t="str">
        <f t="shared" si="8"/>
        <v>其他应收款</v>
      </c>
      <c r="F97" s="3090" t="s">
        <v>616</v>
      </c>
      <c r="G97" s="3091">
        <f t="shared" si="9"/>
        <v>50300000</v>
      </c>
      <c r="H97" s="3092">
        <f t="shared" ca="1" si="12"/>
        <v>0</v>
      </c>
      <c r="I97" s="3094" t="s">
        <v>6797</v>
      </c>
      <c r="J97" s="3073"/>
      <c r="K97" s="3091">
        <f t="shared" si="10"/>
        <v>35000000</v>
      </c>
      <c r="L97" s="3072" t="s">
        <v>6793</v>
      </c>
      <c r="M97" s="3094" t="s">
        <v>6797</v>
      </c>
      <c r="N97" s="3073"/>
      <c r="O97" s="3100"/>
      <c r="P97" s="3101"/>
      <c r="Q97" s="3101"/>
      <c r="R97" s="3101"/>
      <c r="S97" s="3102" t="s">
        <v>295</v>
      </c>
      <c r="T97" s="3102" t="s">
        <v>213</v>
      </c>
      <c r="U97" s="3103"/>
      <c r="V97" s="3103" t="s">
        <v>295</v>
      </c>
      <c r="W97" s="3103" t="s">
        <v>6791</v>
      </c>
      <c r="X97" s="3103" t="s">
        <v>6794</v>
      </c>
      <c r="Y97" s="3104" t="s">
        <v>164</v>
      </c>
    </row>
    <row r="98" spans="1:25" ht="18" hidden="1">
      <c r="A98" s="1304"/>
      <c r="B98" s="643">
        <v>1221</v>
      </c>
      <c r="C98" s="643" t="s">
        <v>629</v>
      </c>
      <c r="D98" s="3088">
        <v>2</v>
      </c>
      <c r="E98" s="3089" t="str">
        <f t="shared" si="8"/>
        <v>其他应收款</v>
      </c>
      <c r="F98" s="3090" t="s">
        <v>630</v>
      </c>
      <c r="G98" s="3091">
        <f t="shared" si="9"/>
        <v>50300000</v>
      </c>
      <c r="H98" s="3092">
        <f t="shared" ca="1" si="12"/>
        <v>0</v>
      </c>
      <c r="I98" s="3094" t="s">
        <v>6797</v>
      </c>
      <c r="J98" s="3073"/>
      <c r="K98" s="3091">
        <f t="shared" si="10"/>
        <v>35000000</v>
      </c>
      <c r="L98" s="3072" t="s">
        <v>6793</v>
      </c>
      <c r="M98" s="3094" t="s">
        <v>6797</v>
      </c>
      <c r="N98" s="3073"/>
      <c r="O98" s="3100"/>
      <c r="P98" s="3101"/>
      <c r="Q98" s="3101"/>
      <c r="R98" s="3101"/>
      <c r="S98" s="3102" t="s">
        <v>295</v>
      </c>
      <c r="T98" s="3102" t="s">
        <v>213</v>
      </c>
      <c r="U98" s="3103"/>
      <c r="V98" s="3103" t="s">
        <v>295</v>
      </c>
      <c r="W98" s="3103" t="s">
        <v>6791</v>
      </c>
      <c r="X98" s="3103" t="s">
        <v>213</v>
      </c>
      <c r="Y98" s="3104" t="s">
        <v>164</v>
      </c>
    </row>
    <row r="99" spans="1:25" ht="24" hidden="1">
      <c r="A99" s="1304"/>
      <c r="B99" s="643">
        <v>1221</v>
      </c>
      <c r="C99" s="643" t="s">
        <v>654</v>
      </c>
      <c r="D99" s="3088">
        <v>2</v>
      </c>
      <c r="E99" s="3089" t="str">
        <f t="shared" si="8"/>
        <v>其他应收款</v>
      </c>
      <c r="F99" s="3090" t="s">
        <v>655</v>
      </c>
      <c r="G99" s="3091">
        <f t="shared" si="9"/>
        <v>50300000</v>
      </c>
      <c r="H99" s="3092">
        <f t="shared" ca="1" si="12"/>
        <v>0</v>
      </c>
      <c r="I99" s="3094" t="s">
        <v>6797</v>
      </c>
      <c r="J99" s="3073"/>
      <c r="K99" s="3091">
        <f t="shared" si="10"/>
        <v>35000000</v>
      </c>
      <c r="L99" s="3072">
        <f ca="1">INDIRECT("Notes!CheckB"&amp;$C99)</f>
        <v>0</v>
      </c>
      <c r="M99" s="3094" t="s">
        <v>6797</v>
      </c>
      <c r="N99" s="3073"/>
      <c r="O99" s="3100"/>
      <c r="P99" s="3101"/>
      <c r="Q99" s="3101"/>
      <c r="R99" s="3101"/>
      <c r="S99" s="3102" t="s">
        <v>295</v>
      </c>
      <c r="T99" s="3102" t="s">
        <v>213</v>
      </c>
      <c r="U99" s="3103"/>
      <c r="V99" s="3103" t="s">
        <v>295</v>
      </c>
      <c r="W99" s="3103" t="s">
        <v>6791</v>
      </c>
      <c r="X99" s="3103" t="s">
        <v>213</v>
      </c>
      <c r="Y99" s="3104" t="s">
        <v>164</v>
      </c>
    </row>
    <row r="100" spans="1:25" ht="18" hidden="1">
      <c r="A100" s="1304"/>
      <c r="B100" s="643">
        <v>1221</v>
      </c>
      <c r="C100" s="643" t="s">
        <v>663</v>
      </c>
      <c r="D100" s="3088">
        <v>2</v>
      </c>
      <c r="E100" s="3089" t="str">
        <f t="shared" si="8"/>
        <v>其他应收款</v>
      </c>
      <c r="F100" s="3090" t="s">
        <v>664</v>
      </c>
      <c r="G100" s="3091">
        <f t="shared" si="9"/>
        <v>50300000</v>
      </c>
      <c r="H100" s="3092">
        <f t="shared" ca="1" si="12"/>
        <v>0</v>
      </c>
      <c r="I100" s="3094" t="s">
        <v>6797</v>
      </c>
      <c r="J100" s="3073"/>
      <c r="K100" s="3091">
        <f t="shared" si="10"/>
        <v>35000000</v>
      </c>
      <c r="L100" s="3072">
        <f ca="1">INDIRECT("Notes!CheckB"&amp;$C100)</f>
        <v>0</v>
      </c>
      <c r="M100" s="3094" t="s">
        <v>6797</v>
      </c>
      <c r="N100" s="3073"/>
      <c r="O100" s="3100"/>
      <c r="P100" s="3101"/>
      <c r="Q100" s="3101"/>
      <c r="R100" s="3101"/>
      <c r="S100" s="3102" t="s">
        <v>295</v>
      </c>
      <c r="T100" s="3102" t="s">
        <v>213</v>
      </c>
      <c r="U100" s="3103"/>
      <c r="V100" s="3103" t="s">
        <v>295</v>
      </c>
      <c r="W100" s="3103" t="s">
        <v>6791</v>
      </c>
      <c r="X100" s="3103" t="s">
        <v>213</v>
      </c>
      <c r="Y100" s="3104" t="s">
        <v>164</v>
      </c>
    </row>
    <row r="101" spans="1:25" ht="18">
      <c r="A101" s="1304"/>
      <c r="B101" s="643">
        <v>1400</v>
      </c>
      <c r="C101" s="643" t="s">
        <v>668</v>
      </c>
      <c r="D101" s="3088">
        <v>1</v>
      </c>
      <c r="E101" s="3089" t="str">
        <f t="shared" si="8"/>
        <v>存货</v>
      </c>
      <c r="F101" s="3090" t="s">
        <v>669</v>
      </c>
      <c r="G101" s="3091">
        <f t="shared" si="9"/>
        <v>0</v>
      </c>
      <c r="H101" s="3092">
        <f t="shared" ca="1" si="12"/>
        <v>0</v>
      </c>
      <c r="I101" s="3094">
        <f ca="1">IF(AND(LEN(G101)&gt;0,LEN(H101)&gt;0),ROUND(SUM(G101)-SUM(H101),2),"")</f>
        <v>0</v>
      </c>
      <c r="J101" s="3073" t="str">
        <f ca="1">IF(ISNA(I101),"N/A",IF(I101=0,"√","？"))</f>
        <v>√</v>
      </c>
      <c r="K101" s="3091">
        <f t="shared" si="10"/>
        <v>17540765.449999999</v>
      </c>
      <c r="L101" s="3072">
        <f ca="1">INDIRECT("Notes!CheckB"&amp;$C101)</f>
        <v>17540765.449999999</v>
      </c>
      <c r="M101" s="3094">
        <f ca="1">IF(AND(LEN(K101)&gt;0,LEN(L101)&gt;0),ROUND(SUM(K101)-SUM(L101),2),"")</f>
        <v>0</v>
      </c>
      <c r="N101" s="3073" t="str">
        <f ca="1">IF(ISNA(M101),"N/A",IF(M101=0,"√","？"))</f>
        <v>√</v>
      </c>
      <c r="O101" s="3100"/>
      <c r="P101" s="3101"/>
      <c r="Q101" s="3101"/>
      <c r="R101" s="3101"/>
      <c r="S101" s="3102" t="s">
        <v>295</v>
      </c>
      <c r="T101" s="3102" t="s">
        <v>213</v>
      </c>
      <c r="U101" s="3103"/>
      <c r="V101" s="3103" t="s">
        <v>295</v>
      </c>
      <c r="W101" s="3103" t="s">
        <v>6791</v>
      </c>
      <c r="X101" s="3103" t="s">
        <v>6792</v>
      </c>
      <c r="Y101" s="3104" t="s">
        <v>164</v>
      </c>
    </row>
    <row r="102" spans="1:25" ht="24" hidden="1">
      <c r="A102" s="1304"/>
      <c r="B102" s="643">
        <v>1400</v>
      </c>
      <c r="C102" s="643" t="s">
        <v>674</v>
      </c>
      <c r="D102" s="3088">
        <v>2</v>
      </c>
      <c r="E102" s="3089" t="str">
        <f t="shared" si="8"/>
        <v>存货</v>
      </c>
      <c r="F102" s="3090" t="s">
        <v>675</v>
      </c>
      <c r="G102" s="3091">
        <f t="shared" si="9"/>
        <v>0</v>
      </c>
      <c r="H102" s="3092" t="s">
        <v>6793</v>
      </c>
      <c r="I102" s="3094" t="s">
        <v>6797</v>
      </c>
      <c r="J102" s="3073"/>
      <c r="K102" s="3091">
        <f t="shared" si="10"/>
        <v>17540765.449999999</v>
      </c>
      <c r="L102" s="3072" t="s">
        <v>6793</v>
      </c>
      <c r="M102" s="3094" t="s">
        <v>6797</v>
      </c>
      <c r="N102" s="3073"/>
      <c r="O102" s="3100"/>
      <c r="P102" s="3101"/>
      <c r="Q102" s="3101"/>
      <c r="R102" s="3101"/>
      <c r="S102" s="3102" t="s">
        <v>295</v>
      </c>
      <c r="T102" s="3102" t="s">
        <v>213</v>
      </c>
      <c r="U102" s="3103"/>
      <c r="V102" s="3103" t="s">
        <v>295</v>
      </c>
      <c r="W102" s="3103" t="s">
        <v>6791</v>
      </c>
      <c r="X102" s="3103" t="s">
        <v>6792</v>
      </c>
      <c r="Y102" s="3104" t="s">
        <v>164</v>
      </c>
    </row>
    <row r="103" spans="1:25" ht="36" hidden="1">
      <c r="A103" s="1304"/>
      <c r="B103" s="643">
        <v>1400</v>
      </c>
      <c r="C103" s="643" t="s">
        <v>678</v>
      </c>
      <c r="D103" s="3088">
        <v>2</v>
      </c>
      <c r="E103" s="3089" t="str">
        <f t="shared" si="8"/>
        <v>存货</v>
      </c>
      <c r="F103" s="3090" t="s">
        <v>679</v>
      </c>
      <c r="G103" s="3091">
        <f t="shared" si="9"/>
        <v>0</v>
      </c>
      <c r="H103" s="3092" t="s">
        <v>6793</v>
      </c>
      <c r="I103" s="3094" t="s">
        <v>6797</v>
      </c>
      <c r="J103" s="3073"/>
      <c r="K103" s="3091">
        <f t="shared" si="10"/>
        <v>17540765.449999999</v>
      </c>
      <c r="L103" s="3072" t="s">
        <v>6793</v>
      </c>
      <c r="M103" s="3094" t="s">
        <v>6797</v>
      </c>
      <c r="N103" s="3073"/>
      <c r="O103" s="3100"/>
      <c r="P103" s="3101"/>
      <c r="Q103" s="3101"/>
      <c r="R103" s="3101"/>
      <c r="S103" s="3102" t="s">
        <v>295</v>
      </c>
      <c r="T103" s="3102" t="s">
        <v>213</v>
      </c>
      <c r="U103" s="3103"/>
      <c r="V103" s="3103" t="s">
        <v>295</v>
      </c>
      <c r="W103" s="3103" t="s">
        <v>6791</v>
      </c>
      <c r="X103" s="3103" t="s">
        <v>213</v>
      </c>
      <c r="Y103" s="3104" t="s">
        <v>164</v>
      </c>
    </row>
    <row r="104" spans="1:25" ht="24" hidden="1">
      <c r="A104" s="1304"/>
      <c r="B104" s="643">
        <v>1400</v>
      </c>
      <c r="C104" s="643" t="s">
        <v>683</v>
      </c>
      <c r="D104" s="3088">
        <v>2</v>
      </c>
      <c r="E104" s="3089" t="str">
        <f t="shared" si="8"/>
        <v>存货</v>
      </c>
      <c r="F104" s="3090" t="s">
        <v>684</v>
      </c>
      <c r="G104" s="3091">
        <f t="shared" si="9"/>
        <v>0</v>
      </c>
      <c r="H104" s="3092">
        <f ca="1">INDIRECT("Notes!CheckA"&amp;$C104)</f>
        <v>0</v>
      </c>
      <c r="I104" s="3094" t="s">
        <v>6797</v>
      </c>
      <c r="J104" s="3073"/>
      <c r="K104" s="3091">
        <f t="shared" si="10"/>
        <v>17540765.449999999</v>
      </c>
      <c r="L104" s="3072" t="s">
        <v>6793</v>
      </c>
      <c r="M104" s="3094" t="s">
        <v>6797</v>
      </c>
      <c r="N104" s="3073"/>
      <c r="O104" s="3100"/>
      <c r="P104" s="3101"/>
      <c r="Q104" s="3101"/>
      <c r="R104" s="3101"/>
      <c r="S104" s="3102" t="s">
        <v>295</v>
      </c>
      <c r="T104" s="3102" t="s">
        <v>213</v>
      </c>
      <c r="U104" s="3103"/>
      <c r="V104" s="3103" t="s">
        <v>295</v>
      </c>
      <c r="W104" s="3103" t="s">
        <v>6791</v>
      </c>
      <c r="X104" s="3103" t="s">
        <v>6794</v>
      </c>
      <c r="Y104" s="3104" t="s">
        <v>164</v>
      </c>
    </row>
    <row r="105" spans="1:25" ht="18" hidden="1">
      <c r="A105" s="1304"/>
      <c r="B105" s="643">
        <v>1400</v>
      </c>
      <c r="C105" s="643" t="s">
        <v>691</v>
      </c>
      <c r="D105" s="3088">
        <v>2</v>
      </c>
      <c r="E105" s="3089" t="str">
        <f t="shared" si="8"/>
        <v>存货</v>
      </c>
      <c r="F105" s="3090" t="s">
        <v>692</v>
      </c>
      <c r="G105" s="3091">
        <f t="shared" si="9"/>
        <v>0</v>
      </c>
      <c r="H105" s="3092" t="s">
        <v>6793</v>
      </c>
      <c r="I105" s="3094" t="s">
        <v>6797</v>
      </c>
      <c r="J105" s="3073"/>
      <c r="K105" s="3091">
        <f t="shared" ref="K105:K136" si="13">IF(ISERROR(VLOOKUP($B105,Sheet_Trialbal,10,0)),"        ----",VLOOKUP($B105,Sheet_Trialbal,10,0))</f>
        <v>17540765.449999999</v>
      </c>
      <c r="L105" s="3072" t="s">
        <v>6793</v>
      </c>
      <c r="M105" s="3094" t="s">
        <v>6797</v>
      </c>
      <c r="N105" s="3073"/>
      <c r="O105" s="3100"/>
      <c r="P105" s="3101"/>
      <c r="Q105" s="3101"/>
      <c r="R105" s="3101"/>
      <c r="S105" s="3102" t="s">
        <v>295</v>
      </c>
      <c r="T105" s="3102" t="s">
        <v>213</v>
      </c>
      <c r="U105" s="3103"/>
      <c r="V105" s="3103" t="s">
        <v>295</v>
      </c>
      <c r="W105" s="3103" t="s">
        <v>6791</v>
      </c>
      <c r="X105" s="3103" t="s">
        <v>6795</v>
      </c>
      <c r="Y105" s="3104" t="s">
        <v>164</v>
      </c>
    </row>
    <row r="106" spans="1:25" ht="18" hidden="1">
      <c r="A106" s="1304"/>
      <c r="B106" s="643">
        <v>1400</v>
      </c>
      <c r="C106" s="643" t="s">
        <v>695</v>
      </c>
      <c r="D106" s="3088">
        <v>2</v>
      </c>
      <c r="E106" s="3089" t="str">
        <f t="shared" si="8"/>
        <v>存货</v>
      </c>
      <c r="F106" s="3090" t="s">
        <v>696</v>
      </c>
      <c r="G106" s="3091">
        <f t="shared" si="9"/>
        <v>0</v>
      </c>
      <c r="H106" s="3092" t="s">
        <v>6793</v>
      </c>
      <c r="I106" s="3094" t="s">
        <v>6797</v>
      </c>
      <c r="J106" s="3073"/>
      <c r="K106" s="3091">
        <f t="shared" si="13"/>
        <v>17540765.449999999</v>
      </c>
      <c r="L106" s="3072" t="s">
        <v>6793</v>
      </c>
      <c r="M106" s="3094" t="s">
        <v>6797</v>
      </c>
      <c r="N106" s="3073"/>
      <c r="O106" s="3100"/>
      <c r="P106" s="3101"/>
      <c r="Q106" s="3101"/>
      <c r="R106" s="3101"/>
      <c r="S106" s="3102" t="s">
        <v>295</v>
      </c>
      <c r="T106" s="3102" t="s">
        <v>213</v>
      </c>
      <c r="U106" s="3103"/>
      <c r="V106" s="3103" t="s">
        <v>295</v>
      </c>
      <c r="W106" s="3103" t="s">
        <v>6791</v>
      </c>
      <c r="X106" s="3103" t="s">
        <v>6795</v>
      </c>
      <c r="Y106" s="3104" t="s">
        <v>164</v>
      </c>
    </row>
    <row r="107" spans="1:25" ht="18" hidden="1">
      <c r="A107" s="1304"/>
      <c r="B107" s="643">
        <v>1400</v>
      </c>
      <c r="C107" s="643" t="s">
        <v>699</v>
      </c>
      <c r="D107" s="3088">
        <v>2</v>
      </c>
      <c r="E107" s="3089" t="str">
        <f t="shared" si="8"/>
        <v>存货</v>
      </c>
      <c r="F107" s="3090" t="s">
        <v>700</v>
      </c>
      <c r="G107" s="3091">
        <f t="shared" si="9"/>
        <v>0</v>
      </c>
      <c r="H107" s="3092" t="s">
        <v>6793</v>
      </c>
      <c r="I107" s="3094" t="s">
        <v>6797</v>
      </c>
      <c r="J107" s="3073"/>
      <c r="K107" s="3091">
        <f t="shared" si="13"/>
        <v>17540765.449999999</v>
      </c>
      <c r="L107" s="3072" t="s">
        <v>6793</v>
      </c>
      <c r="M107" s="3094" t="s">
        <v>6797</v>
      </c>
      <c r="N107" s="3073"/>
      <c r="O107" s="3100"/>
      <c r="P107" s="3101"/>
      <c r="Q107" s="3101"/>
      <c r="R107" s="3101"/>
      <c r="S107" s="3102" t="s">
        <v>295</v>
      </c>
      <c r="T107" s="3102" t="s">
        <v>213</v>
      </c>
      <c r="U107" s="3103"/>
      <c r="V107" s="3103" t="s">
        <v>295</v>
      </c>
      <c r="W107" s="3103" t="s">
        <v>6791</v>
      </c>
      <c r="X107" s="3103" t="s">
        <v>213</v>
      </c>
      <c r="Y107" s="3104" t="s">
        <v>164</v>
      </c>
    </row>
    <row r="108" spans="1:25" ht="24" hidden="1">
      <c r="A108" s="1304"/>
      <c r="B108" s="643">
        <v>1400</v>
      </c>
      <c r="C108" s="643" t="s">
        <v>703</v>
      </c>
      <c r="D108" s="3088">
        <v>2</v>
      </c>
      <c r="E108" s="3089" t="str">
        <f t="shared" si="8"/>
        <v>存货</v>
      </c>
      <c r="F108" s="3090" t="s">
        <v>704</v>
      </c>
      <c r="G108" s="3091">
        <f t="shared" si="9"/>
        <v>0</v>
      </c>
      <c r="H108" s="3092" t="s">
        <v>6793</v>
      </c>
      <c r="I108" s="3094" t="s">
        <v>6797</v>
      </c>
      <c r="J108" s="3073"/>
      <c r="K108" s="3091">
        <f t="shared" si="13"/>
        <v>17540765.449999999</v>
      </c>
      <c r="L108" s="3072" t="s">
        <v>6793</v>
      </c>
      <c r="M108" s="3094" t="s">
        <v>6797</v>
      </c>
      <c r="N108" s="3073"/>
      <c r="O108" s="3100"/>
      <c r="P108" s="3101"/>
      <c r="Q108" s="3101"/>
      <c r="R108" s="3101"/>
      <c r="S108" s="3102" t="s">
        <v>295</v>
      </c>
      <c r="T108" s="3102" t="s">
        <v>213</v>
      </c>
      <c r="U108" s="3103"/>
      <c r="V108" s="3103" t="s">
        <v>295</v>
      </c>
      <c r="W108" s="3103" t="s">
        <v>6791</v>
      </c>
      <c r="X108" s="3103" t="s">
        <v>213</v>
      </c>
      <c r="Y108" s="3104" t="s">
        <v>164</v>
      </c>
    </row>
    <row r="109" spans="1:25" ht="24" hidden="1">
      <c r="A109" s="1304"/>
      <c r="B109" s="643">
        <v>1400</v>
      </c>
      <c r="C109" s="643" t="s">
        <v>687</v>
      </c>
      <c r="D109" s="3088">
        <v>2</v>
      </c>
      <c r="E109" s="3089" t="str">
        <f t="shared" si="8"/>
        <v>存货</v>
      </c>
      <c r="F109" s="3090" t="s">
        <v>688</v>
      </c>
      <c r="G109" s="3091">
        <f t="shared" si="9"/>
        <v>0</v>
      </c>
      <c r="H109" s="3092" t="s">
        <v>6793</v>
      </c>
      <c r="I109" s="3094" t="s">
        <v>6797</v>
      </c>
      <c r="J109" s="3073"/>
      <c r="K109" s="3091">
        <f t="shared" si="13"/>
        <v>17540765.449999999</v>
      </c>
      <c r="L109" s="3072" t="s">
        <v>6793</v>
      </c>
      <c r="M109" s="3094" t="s">
        <v>6797</v>
      </c>
      <c r="N109" s="3073"/>
      <c r="O109" s="3100"/>
      <c r="P109" s="3101"/>
      <c r="Q109" s="3101"/>
      <c r="R109" s="3101"/>
      <c r="S109" s="3102" t="s">
        <v>295</v>
      </c>
      <c r="T109" s="3102" t="s">
        <v>213</v>
      </c>
      <c r="U109" s="3103"/>
      <c r="V109" s="3103" t="s">
        <v>295</v>
      </c>
      <c r="W109" s="3103" t="s">
        <v>6791</v>
      </c>
      <c r="X109" s="3103" t="s">
        <v>213</v>
      </c>
      <c r="Y109" s="3104" t="s">
        <v>164</v>
      </c>
    </row>
    <row r="110" spans="1:25" ht="18" hidden="1">
      <c r="A110" s="1304"/>
      <c r="B110" s="643">
        <v>1400</v>
      </c>
      <c r="C110" s="643" t="s">
        <v>709</v>
      </c>
      <c r="D110" s="3088">
        <v>2</v>
      </c>
      <c r="E110" s="3089" t="str">
        <f t="shared" si="8"/>
        <v>存货</v>
      </c>
      <c r="F110" s="3090" t="s">
        <v>710</v>
      </c>
      <c r="G110" s="3091">
        <f t="shared" si="9"/>
        <v>0</v>
      </c>
      <c r="H110" s="3092" t="s">
        <v>6793</v>
      </c>
      <c r="I110" s="3094" t="s">
        <v>6797</v>
      </c>
      <c r="J110" s="3073"/>
      <c r="K110" s="3091">
        <f t="shared" si="13"/>
        <v>17540765.449999999</v>
      </c>
      <c r="L110" s="3072" t="s">
        <v>6793</v>
      </c>
      <c r="M110" s="3094" t="s">
        <v>6797</v>
      </c>
      <c r="N110" s="3073"/>
      <c r="O110" s="3100"/>
      <c r="P110" s="3101"/>
      <c r="Q110" s="3101"/>
      <c r="R110" s="3101"/>
      <c r="S110" s="3102" t="s">
        <v>295</v>
      </c>
      <c r="T110" s="3102" t="s">
        <v>213</v>
      </c>
      <c r="U110" s="3103"/>
      <c r="V110" s="3103" t="s">
        <v>295</v>
      </c>
      <c r="W110" s="3103" t="s">
        <v>6791</v>
      </c>
      <c r="X110" s="3103" t="s">
        <v>213</v>
      </c>
      <c r="Y110" s="3104" t="s">
        <v>164</v>
      </c>
    </row>
    <row r="111" spans="1:25" ht="24" hidden="1">
      <c r="A111" s="1304"/>
      <c r="B111" s="643">
        <v>1315</v>
      </c>
      <c r="C111" s="643" t="s">
        <v>730</v>
      </c>
      <c r="D111" s="3088">
        <v>2</v>
      </c>
      <c r="E111" s="3089" t="str">
        <f t="shared" si="8"/>
        <v>持有待售资产</v>
      </c>
      <c r="F111" s="3090" t="s">
        <v>715</v>
      </c>
      <c r="G111" s="3091">
        <f t="shared" si="9"/>
        <v>0</v>
      </c>
      <c r="H111" s="3092">
        <f t="shared" ref="H111:H124" ca="1" si="14">INDIRECT("Notes!CheckA"&amp;$C111)</f>
        <v>0</v>
      </c>
      <c r="I111" s="3094" t="s">
        <v>6797</v>
      </c>
      <c r="J111" s="3073"/>
      <c r="K111" s="3091">
        <f t="shared" si="13"/>
        <v>0</v>
      </c>
      <c r="L111" s="3072" t="s">
        <v>6793</v>
      </c>
      <c r="M111" s="3094" t="s">
        <v>6797</v>
      </c>
      <c r="N111" s="3073"/>
      <c r="O111" s="3100"/>
      <c r="P111" s="3101"/>
      <c r="Q111" s="3101"/>
      <c r="R111" s="3101"/>
      <c r="S111" s="3102" t="s">
        <v>295</v>
      </c>
      <c r="T111" s="3102" t="s">
        <v>213</v>
      </c>
      <c r="U111" s="3103"/>
      <c r="V111" s="3103" t="s">
        <v>295</v>
      </c>
      <c r="W111" s="3103" t="s">
        <v>6791</v>
      </c>
      <c r="X111" s="3103" t="s">
        <v>6792</v>
      </c>
      <c r="Y111" s="3104" t="s">
        <v>164</v>
      </c>
    </row>
    <row r="112" spans="1:25" ht="24" hidden="1">
      <c r="A112" s="1304"/>
      <c r="B112" s="643">
        <v>1315</v>
      </c>
      <c r="C112" s="643" t="s">
        <v>721</v>
      </c>
      <c r="D112" s="3088">
        <v>2</v>
      </c>
      <c r="E112" s="3089" t="str">
        <f t="shared" si="8"/>
        <v>持有待售资产</v>
      </c>
      <c r="F112" s="3090" t="s">
        <v>722</v>
      </c>
      <c r="G112" s="3091">
        <f t="shared" si="9"/>
        <v>0</v>
      </c>
      <c r="H112" s="3092">
        <f t="shared" ca="1" si="14"/>
        <v>0</v>
      </c>
      <c r="I112" s="3094" t="s">
        <v>6797</v>
      </c>
      <c r="J112" s="3073"/>
      <c r="K112" s="3091">
        <f t="shared" si="13"/>
        <v>0</v>
      </c>
      <c r="L112" s="3072">
        <f t="shared" ref="L112:L118" ca="1" si="15">INDIRECT("Notes!CheckB"&amp;$C112)</f>
        <v>0</v>
      </c>
      <c r="M112" s="3094" t="s">
        <v>6797</v>
      </c>
      <c r="N112" s="3073"/>
      <c r="O112" s="3100"/>
      <c r="P112" s="3101"/>
      <c r="Q112" s="3101"/>
      <c r="R112" s="3101"/>
      <c r="S112" s="3102" t="s">
        <v>295</v>
      </c>
      <c r="T112" s="3102" t="s">
        <v>213</v>
      </c>
      <c r="U112" s="3103"/>
      <c r="V112" s="3103" t="s">
        <v>295</v>
      </c>
      <c r="W112" s="3103" t="s">
        <v>145</v>
      </c>
      <c r="X112" s="3103" t="s">
        <v>6794</v>
      </c>
      <c r="Y112" s="3104" t="s">
        <v>164</v>
      </c>
    </row>
    <row r="113" spans="1:25" ht="24">
      <c r="A113" s="1304"/>
      <c r="B113" s="643">
        <v>1495</v>
      </c>
      <c r="C113" s="643" t="s">
        <v>747</v>
      </c>
      <c r="D113" s="3088">
        <v>1</v>
      </c>
      <c r="E113" s="3089" t="str">
        <f t="shared" si="8"/>
        <v>一年内到期的非流动资产</v>
      </c>
      <c r="F113" s="3090" t="s">
        <v>748</v>
      </c>
      <c r="G113" s="3091">
        <f t="shared" si="9"/>
        <v>0</v>
      </c>
      <c r="H113" s="3092">
        <f t="shared" ca="1" si="14"/>
        <v>0</v>
      </c>
      <c r="I113" s="3094">
        <f ca="1">IF(AND(LEN(G113)&gt;0,LEN(H113)&gt;0),ROUND(SUM(G113)-SUM(H113),2),"")</f>
        <v>0</v>
      </c>
      <c r="J113" s="3073" t="str">
        <f ca="1">IF(ISNA(I113),"N/A",IF(I113=0,"√","？"))</f>
        <v>√</v>
      </c>
      <c r="K113" s="3091">
        <f t="shared" si="13"/>
        <v>0</v>
      </c>
      <c r="L113" s="3072">
        <f t="shared" ca="1" si="15"/>
        <v>0</v>
      </c>
      <c r="M113" s="3094">
        <f ca="1">IF(AND(LEN(K113)&gt;0,LEN(L113)&gt;0),ROUND(SUM(K113)-SUM(L113),2),"")</f>
        <v>0</v>
      </c>
      <c r="N113" s="3073" t="str">
        <f ca="1">IF(ISNA(M113),"N/A",IF(M113=0,"√","？"))</f>
        <v>√</v>
      </c>
      <c r="O113" s="3100"/>
      <c r="P113" s="3101"/>
      <c r="Q113" s="3101"/>
      <c r="R113" s="3101"/>
      <c r="S113" s="3102" t="s">
        <v>295</v>
      </c>
      <c r="T113" s="3102" t="s">
        <v>213</v>
      </c>
      <c r="U113" s="3103"/>
      <c r="V113" s="3103" t="s">
        <v>295</v>
      </c>
      <c r="W113" s="3103" t="s">
        <v>6791</v>
      </c>
      <c r="X113" s="3103" t="s">
        <v>6792</v>
      </c>
      <c r="Y113" s="3104" t="s">
        <v>164</v>
      </c>
    </row>
    <row r="114" spans="1:25" ht="36" hidden="1">
      <c r="A114" s="1304"/>
      <c r="B114" s="643">
        <v>1495</v>
      </c>
      <c r="C114" s="643" t="s">
        <v>752</v>
      </c>
      <c r="D114" s="3088">
        <v>2</v>
      </c>
      <c r="E114" s="3089" t="str">
        <f t="shared" si="8"/>
        <v>一年内到期的非流动资产</v>
      </c>
      <c r="F114" s="3090" t="s">
        <v>753</v>
      </c>
      <c r="G114" s="3091">
        <f t="shared" si="9"/>
        <v>0</v>
      </c>
      <c r="H114" s="3092">
        <f t="shared" ca="1" si="14"/>
        <v>0</v>
      </c>
      <c r="I114" s="3094" t="s">
        <v>6797</v>
      </c>
      <c r="J114" s="3073"/>
      <c r="K114" s="3091">
        <f t="shared" si="13"/>
        <v>0</v>
      </c>
      <c r="L114" s="3072">
        <f t="shared" ca="1" si="15"/>
        <v>0</v>
      </c>
      <c r="M114" s="3094" t="s">
        <v>6797</v>
      </c>
      <c r="N114" s="3073"/>
      <c r="O114" s="3100"/>
      <c r="P114" s="3101"/>
      <c r="Q114" s="3101"/>
      <c r="R114" s="3101"/>
      <c r="S114" s="3102" t="s">
        <v>295</v>
      </c>
      <c r="T114" s="3102" t="s">
        <v>213</v>
      </c>
      <c r="U114" s="3103"/>
      <c r="V114" s="3103" t="s">
        <v>295</v>
      </c>
      <c r="W114" s="3103" t="s">
        <v>145</v>
      </c>
      <c r="X114" s="3103" t="s">
        <v>6794</v>
      </c>
      <c r="Y114" s="3104" t="s">
        <v>119</v>
      </c>
    </row>
    <row r="115" spans="1:25" ht="18">
      <c r="A115" s="1304"/>
      <c r="B115" s="643">
        <v>1496</v>
      </c>
      <c r="C115" s="643" t="s">
        <v>756</v>
      </c>
      <c r="D115" s="3088">
        <v>1</v>
      </c>
      <c r="E115" s="3089" t="str">
        <f t="shared" si="8"/>
        <v>其他流动资产</v>
      </c>
      <c r="F115" s="3090" t="s">
        <v>757</v>
      </c>
      <c r="G115" s="3091">
        <f t="shared" si="9"/>
        <v>0</v>
      </c>
      <c r="H115" s="3092">
        <f t="shared" ca="1" si="14"/>
        <v>0</v>
      </c>
      <c r="I115" s="3094">
        <f ca="1">IF(AND(LEN(G115)&gt;0,LEN(H115)&gt;0),ROUND(SUM(G115)-SUM(H115),2),"")</f>
        <v>0</v>
      </c>
      <c r="J115" s="3073" t="str">
        <f ca="1">IF(ISNA(I115),"N/A",IF(I115=0,"√","？"))</f>
        <v>√</v>
      </c>
      <c r="K115" s="3091">
        <f t="shared" si="13"/>
        <v>2966551.07</v>
      </c>
      <c r="L115" s="3072">
        <f t="shared" ca="1" si="15"/>
        <v>2966551.07</v>
      </c>
      <c r="M115" s="3094">
        <f ca="1">IF(AND(LEN(K115)&gt;0,LEN(L115)&gt;0),ROUND(SUM(K115)-SUM(L115),2),"")</f>
        <v>0</v>
      </c>
      <c r="N115" s="3073" t="str">
        <f ca="1">IF(ISNA(M115),"N/A",IF(M115=0,"√","？"))</f>
        <v>√</v>
      </c>
      <c r="O115" s="3100"/>
      <c r="P115" s="3101"/>
      <c r="Q115" s="3101"/>
      <c r="R115" s="3101"/>
      <c r="S115" s="3102" t="s">
        <v>295</v>
      </c>
      <c r="T115" s="3102" t="s">
        <v>213</v>
      </c>
      <c r="U115" s="3103"/>
      <c r="V115" s="3103" t="s">
        <v>295</v>
      </c>
      <c r="W115" s="3103" t="s">
        <v>6791</v>
      </c>
      <c r="X115" s="3103" t="s">
        <v>6792</v>
      </c>
      <c r="Y115" s="3104" t="s">
        <v>164</v>
      </c>
    </row>
    <row r="116" spans="1:25" ht="18">
      <c r="A116" s="1304"/>
      <c r="B116" s="643">
        <v>1505</v>
      </c>
      <c r="C116" s="643" t="s">
        <v>762</v>
      </c>
      <c r="D116" s="3088">
        <v>1</v>
      </c>
      <c r="E116" s="3089" t="str">
        <f t="shared" si="8"/>
        <v>债权投资</v>
      </c>
      <c r="F116" s="3090" t="s">
        <v>763</v>
      </c>
      <c r="G116" s="3091">
        <f t="shared" si="9"/>
        <v>0</v>
      </c>
      <c r="H116" s="3092">
        <f t="shared" ca="1" si="14"/>
        <v>0</v>
      </c>
      <c r="I116" s="3094">
        <f ca="1">IF(AND(LEN(G116)&gt;0,LEN(H116)&gt;0),ROUND(SUM(G116)-SUM(H116),2),"")</f>
        <v>0</v>
      </c>
      <c r="J116" s="3073" t="str">
        <f ca="1">IF(ISNA(I116),"N/A",IF(I116=0,"√","？"))</f>
        <v>√</v>
      </c>
      <c r="K116" s="3091">
        <f t="shared" si="13"/>
        <v>0</v>
      </c>
      <c r="L116" s="3072">
        <f t="shared" ca="1" si="15"/>
        <v>0</v>
      </c>
      <c r="M116" s="3094">
        <f ca="1">IF(AND(LEN(K116)&gt;0,LEN(L116)&gt;0),ROUND(SUM(K116)-SUM(L116),2),"")</f>
        <v>0</v>
      </c>
      <c r="N116" s="3073" t="str">
        <f ca="1">IF(ISNA(M116),"N/A",IF(M116=0,"√","？"))</f>
        <v>√</v>
      </c>
      <c r="O116" s="3100"/>
      <c r="P116" s="3101"/>
      <c r="Q116" s="3101"/>
      <c r="R116" s="3101"/>
      <c r="S116" s="3102" t="s">
        <v>295</v>
      </c>
      <c r="T116" s="3102" t="s">
        <v>213</v>
      </c>
      <c r="U116" s="3103"/>
      <c r="V116" s="3103" t="s">
        <v>295</v>
      </c>
      <c r="W116" s="3103" t="s">
        <v>145</v>
      </c>
      <c r="X116" s="3103" t="s">
        <v>6794</v>
      </c>
      <c r="Y116" s="3104" t="s">
        <v>119</v>
      </c>
    </row>
    <row r="117" spans="1:25" ht="18" hidden="1">
      <c r="A117" s="1304"/>
      <c r="B117" s="643">
        <v>1505</v>
      </c>
      <c r="C117" s="643" t="s">
        <v>768</v>
      </c>
      <c r="D117" s="3088">
        <v>2</v>
      </c>
      <c r="E117" s="3089" t="str">
        <f t="shared" si="8"/>
        <v>债权投资</v>
      </c>
      <c r="F117" s="3090" t="s">
        <v>769</v>
      </c>
      <c r="G117" s="3091">
        <f t="shared" si="9"/>
        <v>0</v>
      </c>
      <c r="H117" s="3092">
        <f t="shared" ca="1" si="14"/>
        <v>0</v>
      </c>
      <c r="I117" s="3094" t="s">
        <v>6797</v>
      </c>
      <c r="J117" s="3073"/>
      <c r="K117" s="3091">
        <f t="shared" si="13"/>
        <v>0</v>
      </c>
      <c r="L117" s="3072">
        <f t="shared" ca="1" si="15"/>
        <v>0</v>
      </c>
      <c r="M117" s="3094" t="s">
        <v>6797</v>
      </c>
      <c r="N117" s="3073"/>
      <c r="O117" s="3100"/>
      <c r="P117" s="3101"/>
      <c r="Q117" s="3101"/>
      <c r="R117" s="3101"/>
      <c r="S117" s="3102" t="s">
        <v>295</v>
      </c>
      <c r="T117" s="3102" t="s">
        <v>213</v>
      </c>
      <c r="U117" s="3103"/>
      <c r="V117" s="3103" t="s">
        <v>295</v>
      </c>
      <c r="W117" s="3103" t="s">
        <v>145</v>
      </c>
      <c r="X117" s="3103" t="s">
        <v>6794</v>
      </c>
      <c r="Y117" s="3104" t="s">
        <v>119</v>
      </c>
    </row>
    <row r="118" spans="1:25" ht="36" hidden="1">
      <c r="A118" s="1304"/>
      <c r="B118" s="643">
        <v>1505</v>
      </c>
      <c r="C118" s="643" t="s">
        <v>773</v>
      </c>
      <c r="D118" s="3088">
        <v>2</v>
      </c>
      <c r="E118" s="3089" t="str">
        <f t="shared" si="8"/>
        <v>债权投资</v>
      </c>
      <c r="F118" s="3090" t="s">
        <v>6437</v>
      </c>
      <c r="G118" s="3091">
        <f t="shared" si="9"/>
        <v>0</v>
      </c>
      <c r="H118" s="3092">
        <f t="shared" ca="1" si="14"/>
        <v>0</v>
      </c>
      <c r="I118" s="3094" t="s">
        <v>6797</v>
      </c>
      <c r="J118" s="3073"/>
      <c r="K118" s="3091">
        <f t="shared" si="13"/>
        <v>0</v>
      </c>
      <c r="L118" s="3072">
        <f t="shared" ca="1" si="15"/>
        <v>0</v>
      </c>
      <c r="M118" s="3094" t="s">
        <v>6797</v>
      </c>
      <c r="N118" s="3073"/>
      <c r="O118" s="3100"/>
      <c r="P118" s="3101"/>
      <c r="Q118" s="3101"/>
      <c r="R118" s="3101"/>
      <c r="S118" s="3102" t="s">
        <v>295</v>
      </c>
      <c r="T118" s="3102" t="s">
        <v>213</v>
      </c>
      <c r="U118" s="3103"/>
      <c r="V118" s="3103" t="s">
        <v>295</v>
      </c>
      <c r="W118" s="3103" t="s">
        <v>145</v>
      </c>
      <c r="X118" s="3103" t="s">
        <v>6794</v>
      </c>
      <c r="Y118" s="3104" t="s">
        <v>119</v>
      </c>
    </row>
    <row r="119" spans="1:25" ht="24" hidden="1">
      <c r="A119" s="1304"/>
      <c r="B119" s="643">
        <v>1505</v>
      </c>
      <c r="C119" s="643" t="s">
        <v>788</v>
      </c>
      <c r="D119" s="3088">
        <v>2</v>
      </c>
      <c r="E119" s="3089" t="str">
        <f t="shared" si="8"/>
        <v>债权投资</v>
      </c>
      <c r="F119" s="3090" t="s">
        <v>789</v>
      </c>
      <c r="G119" s="3091">
        <f t="shared" si="9"/>
        <v>0</v>
      </c>
      <c r="H119" s="3092">
        <f t="shared" ca="1" si="14"/>
        <v>0</v>
      </c>
      <c r="I119" s="3094" t="s">
        <v>6797</v>
      </c>
      <c r="J119" s="3073"/>
      <c r="K119" s="3091">
        <f t="shared" si="13"/>
        <v>0</v>
      </c>
      <c r="L119" s="3072" t="s">
        <v>6793</v>
      </c>
      <c r="M119" s="3094" t="s">
        <v>6797</v>
      </c>
      <c r="N119" s="3073"/>
      <c r="O119" s="3100"/>
      <c r="P119" s="3101"/>
      <c r="Q119" s="3101"/>
      <c r="R119" s="3101"/>
      <c r="S119" s="3102" t="s">
        <v>295</v>
      </c>
      <c r="T119" s="3102" t="s">
        <v>213</v>
      </c>
      <c r="U119" s="3103"/>
      <c r="V119" s="3103" t="s">
        <v>295</v>
      </c>
      <c r="W119" s="3103" t="s">
        <v>145</v>
      </c>
      <c r="X119" s="3103" t="s">
        <v>6794</v>
      </c>
      <c r="Y119" s="3104" t="s">
        <v>119</v>
      </c>
    </row>
    <row r="120" spans="1:25" ht="24" hidden="1">
      <c r="A120" s="1304"/>
      <c r="B120" s="643">
        <v>1505</v>
      </c>
      <c r="C120" s="643" t="s">
        <v>792</v>
      </c>
      <c r="D120" s="3088">
        <v>2</v>
      </c>
      <c r="E120" s="3089" t="str">
        <f t="shared" si="8"/>
        <v>债权投资</v>
      </c>
      <c r="F120" s="3090" t="s">
        <v>793</v>
      </c>
      <c r="G120" s="3091">
        <f t="shared" si="9"/>
        <v>0</v>
      </c>
      <c r="H120" s="3092">
        <f t="shared" ca="1" si="14"/>
        <v>0</v>
      </c>
      <c r="I120" s="3094" t="s">
        <v>6797</v>
      </c>
      <c r="J120" s="3073"/>
      <c r="K120" s="3091">
        <f t="shared" si="13"/>
        <v>0</v>
      </c>
      <c r="L120" s="3072" t="s">
        <v>6793</v>
      </c>
      <c r="M120" s="3094" t="s">
        <v>6797</v>
      </c>
      <c r="N120" s="3073"/>
      <c r="O120" s="3100"/>
      <c r="P120" s="3101"/>
      <c r="Q120" s="3101"/>
      <c r="R120" s="3101"/>
      <c r="S120" s="3102" t="s">
        <v>295</v>
      </c>
      <c r="T120" s="3102" t="s">
        <v>213</v>
      </c>
      <c r="U120" s="3103"/>
      <c r="V120" s="3103" t="s">
        <v>295</v>
      </c>
      <c r="W120" s="3103" t="s">
        <v>145</v>
      </c>
      <c r="X120" s="3103" t="s">
        <v>6794</v>
      </c>
      <c r="Y120" s="3104" t="s">
        <v>119</v>
      </c>
    </row>
    <row r="121" spans="1:25" ht="24" hidden="1">
      <c r="A121" s="1304"/>
      <c r="B121" s="643">
        <v>1505</v>
      </c>
      <c r="C121" s="643" t="s">
        <v>795</v>
      </c>
      <c r="D121" s="3088">
        <v>2</v>
      </c>
      <c r="E121" s="3089" t="str">
        <f t="shared" si="8"/>
        <v>债权投资</v>
      </c>
      <c r="F121" s="3090" t="s">
        <v>796</v>
      </c>
      <c r="G121" s="3091">
        <f t="shared" si="9"/>
        <v>0</v>
      </c>
      <c r="H121" s="3092">
        <f t="shared" ca="1" si="14"/>
        <v>0</v>
      </c>
      <c r="I121" s="3094" t="s">
        <v>6797</v>
      </c>
      <c r="J121" s="3073"/>
      <c r="K121" s="3091">
        <f t="shared" si="13"/>
        <v>0</v>
      </c>
      <c r="L121" s="3072" t="s">
        <v>6793</v>
      </c>
      <c r="M121" s="3094" t="s">
        <v>6797</v>
      </c>
      <c r="N121" s="3073"/>
      <c r="O121" s="3100"/>
      <c r="P121" s="3101"/>
      <c r="Q121" s="3101"/>
      <c r="R121" s="3101"/>
      <c r="S121" s="3102" t="s">
        <v>295</v>
      </c>
      <c r="T121" s="3102" t="s">
        <v>213</v>
      </c>
      <c r="U121" s="3103"/>
      <c r="V121" s="3103" t="s">
        <v>295</v>
      </c>
      <c r="W121" s="3103" t="s">
        <v>145</v>
      </c>
      <c r="X121" s="3103" t="s">
        <v>6794</v>
      </c>
      <c r="Y121" s="3104" t="s">
        <v>119</v>
      </c>
    </row>
    <row r="122" spans="1:25" ht="24" hidden="1">
      <c r="A122" s="1304"/>
      <c r="B122" s="643">
        <v>1505</v>
      </c>
      <c r="C122" s="643" t="s">
        <v>799</v>
      </c>
      <c r="D122" s="3088">
        <v>2</v>
      </c>
      <c r="E122" s="3089" t="str">
        <f t="shared" si="8"/>
        <v>债权投资</v>
      </c>
      <c r="F122" s="3090" t="s">
        <v>785</v>
      </c>
      <c r="G122" s="3091">
        <f t="shared" si="9"/>
        <v>0</v>
      </c>
      <c r="H122" s="3092">
        <f t="shared" ca="1" si="14"/>
        <v>0</v>
      </c>
      <c r="I122" s="3094" t="s">
        <v>6797</v>
      </c>
      <c r="J122" s="3073"/>
      <c r="K122" s="3091">
        <f t="shared" si="13"/>
        <v>0</v>
      </c>
      <c r="L122" s="3072">
        <f ca="1">INDIRECT("Notes!CheckB"&amp;$C122)</f>
        <v>0</v>
      </c>
      <c r="M122" s="3094" t="s">
        <v>6797</v>
      </c>
      <c r="N122" s="3073"/>
      <c r="O122" s="3100"/>
      <c r="P122" s="3101"/>
      <c r="Q122" s="3101"/>
      <c r="R122" s="3101"/>
      <c r="S122" s="3102" t="s">
        <v>295</v>
      </c>
      <c r="T122" s="3102" t="s">
        <v>213</v>
      </c>
      <c r="U122" s="3103"/>
      <c r="V122" s="3103" t="s">
        <v>295</v>
      </c>
      <c r="W122" s="3103" t="s">
        <v>145</v>
      </c>
      <c r="X122" s="3103" t="s">
        <v>6794</v>
      </c>
      <c r="Y122" s="3104" t="s">
        <v>119</v>
      </c>
    </row>
    <row r="123" spans="1:25" ht="36" hidden="1">
      <c r="A123" s="1304"/>
      <c r="B123" s="643">
        <v>1505</v>
      </c>
      <c r="C123" s="643" t="s">
        <v>784</v>
      </c>
      <c r="D123" s="3088">
        <v>2</v>
      </c>
      <c r="E123" s="3089" t="str">
        <f t="shared" si="8"/>
        <v>债权投资</v>
      </c>
      <c r="F123" s="3090" t="s">
        <v>5961</v>
      </c>
      <c r="G123" s="3091">
        <f t="shared" si="9"/>
        <v>0</v>
      </c>
      <c r="H123" s="3092">
        <f t="shared" ca="1" si="14"/>
        <v>0</v>
      </c>
      <c r="I123" s="3094" t="s">
        <v>6797</v>
      </c>
      <c r="J123" s="3073"/>
      <c r="K123" s="3091">
        <f t="shared" si="13"/>
        <v>0</v>
      </c>
      <c r="L123" s="3072" t="s">
        <v>6793</v>
      </c>
      <c r="M123" s="3094" t="s">
        <v>6797</v>
      </c>
      <c r="N123" s="3073"/>
      <c r="O123" s="3100"/>
      <c r="P123" s="3101"/>
      <c r="Q123" s="3101"/>
      <c r="R123" s="3101"/>
      <c r="S123" s="3102" t="s">
        <v>295</v>
      </c>
      <c r="T123" s="3102" t="s">
        <v>213</v>
      </c>
      <c r="U123" s="3103"/>
      <c r="V123" s="3103" t="s">
        <v>295</v>
      </c>
      <c r="W123" s="3103" t="s">
        <v>145</v>
      </c>
      <c r="X123" s="3103" t="s">
        <v>6794</v>
      </c>
      <c r="Y123" s="3104" t="s">
        <v>119</v>
      </c>
    </row>
    <row r="124" spans="1:25" ht="18">
      <c r="A124" s="1304"/>
      <c r="B124" s="643">
        <v>1503</v>
      </c>
      <c r="C124" s="643" t="s">
        <v>804</v>
      </c>
      <c r="D124" s="3088">
        <v>1</v>
      </c>
      <c r="E124" s="3089" t="str">
        <f t="shared" si="8"/>
        <v>可供出售金融资产</v>
      </c>
      <c r="F124" s="3090" t="s">
        <v>805</v>
      </c>
      <c r="G124" s="3091">
        <f t="shared" si="9"/>
        <v>0</v>
      </c>
      <c r="H124" s="3092">
        <f t="shared" ca="1" si="14"/>
        <v>0</v>
      </c>
      <c r="I124" s="3094">
        <f ca="1">IF(AND(LEN(G124)&gt;0,LEN(H124)&gt;0),ROUND(SUM(G124)-SUM(H124),2),"")</f>
        <v>0</v>
      </c>
      <c r="J124" s="3073" t="str">
        <f ca="1">IF(ISNA(I124),"N/A",IF(I124=0,"√","？"))</f>
        <v>√</v>
      </c>
      <c r="K124" s="3091">
        <f t="shared" si="13"/>
        <v>0</v>
      </c>
      <c r="L124" s="3072">
        <f ca="1">INDIRECT("Notes!CheckB"&amp;$C124)</f>
        <v>0</v>
      </c>
      <c r="M124" s="3094">
        <f ca="1">IF(AND(LEN(K124)&gt;0,LEN(L124)&gt;0),ROUND(SUM(K124)-SUM(L124),2),"")</f>
        <v>0</v>
      </c>
      <c r="N124" s="3073" t="str">
        <f ca="1">IF(ISNA(M124),"N/A",IF(M124=0,"√","？"))</f>
        <v>√</v>
      </c>
      <c r="O124" s="3100"/>
      <c r="P124" s="3101"/>
      <c r="Q124" s="3101"/>
      <c r="R124" s="3101"/>
      <c r="S124" s="3102" t="s">
        <v>295</v>
      </c>
      <c r="T124" s="3102" t="s">
        <v>213</v>
      </c>
      <c r="U124" s="3103"/>
      <c r="V124" s="3103" t="s">
        <v>295</v>
      </c>
      <c r="W124" s="3103" t="s">
        <v>6791</v>
      </c>
      <c r="X124" s="3103" t="s">
        <v>6792</v>
      </c>
      <c r="Y124" s="3104" t="s">
        <v>164</v>
      </c>
    </row>
    <row r="125" spans="1:25" ht="24" hidden="1">
      <c r="A125" s="1304"/>
      <c r="B125" s="643">
        <v>1503</v>
      </c>
      <c r="C125" s="643" t="s">
        <v>830</v>
      </c>
      <c r="D125" s="3088">
        <v>2</v>
      </c>
      <c r="E125" s="3089" t="str">
        <f t="shared" si="8"/>
        <v>可供出售金融资产</v>
      </c>
      <c r="F125" s="3090" t="s">
        <v>831</v>
      </c>
      <c r="G125" s="3091">
        <f t="shared" si="9"/>
        <v>0</v>
      </c>
      <c r="H125" s="3092" t="s">
        <v>6793</v>
      </c>
      <c r="I125" s="3094" t="s">
        <v>6797</v>
      </c>
      <c r="J125" s="3073"/>
      <c r="K125" s="3091">
        <f t="shared" si="13"/>
        <v>0</v>
      </c>
      <c r="L125" s="3072" t="s">
        <v>6793</v>
      </c>
      <c r="M125" s="3094" t="s">
        <v>6797</v>
      </c>
      <c r="N125" s="3073"/>
      <c r="O125" s="3100"/>
      <c r="P125" s="3101"/>
      <c r="Q125" s="3101"/>
      <c r="R125" s="3101"/>
      <c r="S125" s="3102" t="s">
        <v>295</v>
      </c>
      <c r="T125" s="3102" t="s">
        <v>213</v>
      </c>
      <c r="U125" s="3103"/>
      <c r="V125" s="3103" t="s">
        <v>295</v>
      </c>
      <c r="W125" s="3103" t="s">
        <v>145</v>
      </c>
      <c r="X125" s="3103" t="s">
        <v>6794</v>
      </c>
      <c r="Y125" s="3104" t="s">
        <v>164</v>
      </c>
    </row>
    <row r="126" spans="1:25" ht="24" hidden="1">
      <c r="A126" s="1304"/>
      <c r="B126" s="643">
        <v>1503</v>
      </c>
      <c r="C126" s="643" t="s">
        <v>813</v>
      </c>
      <c r="D126" s="3088">
        <v>2</v>
      </c>
      <c r="E126" s="3089" t="str">
        <f t="shared" si="8"/>
        <v>可供出售金融资产</v>
      </c>
      <c r="F126" s="3090" t="s">
        <v>814</v>
      </c>
      <c r="G126" s="3091">
        <f t="shared" si="9"/>
        <v>0</v>
      </c>
      <c r="H126" s="3092" t="s">
        <v>6793</v>
      </c>
      <c r="I126" s="3094" t="s">
        <v>6797</v>
      </c>
      <c r="J126" s="3073"/>
      <c r="K126" s="3091">
        <f t="shared" si="13"/>
        <v>0</v>
      </c>
      <c r="L126" s="3072" t="s">
        <v>6793</v>
      </c>
      <c r="M126" s="3094" t="s">
        <v>6797</v>
      </c>
      <c r="N126" s="3073"/>
      <c r="O126" s="3100"/>
      <c r="P126" s="3101"/>
      <c r="Q126" s="3101"/>
      <c r="R126" s="3101"/>
      <c r="S126" s="3102" t="s">
        <v>295</v>
      </c>
      <c r="T126" s="3102" t="s">
        <v>213</v>
      </c>
      <c r="U126" s="3103"/>
      <c r="V126" s="3103" t="s">
        <v>295</v>
      </c>
      <c r="W126" s="3103" t="s">
        <v>145</v>
      </c>
      <c r="X126" s="3103" t="s">
        <v>6794</v>
      </c>
      <c r="Y126" s="3104" t="s">
        <v>164</v>
      </c>
    </row>
    <row r="127" spans="1:25" ht="24" hidden="1">
      <c r="A127" s="1304"/>
      <c r="B127" s="643">
        <v>1503</v>
      </c>
      <c r="C127" s="643" t="s">
        <v>817</v>
      </c>
      <c r="D127" s="3088">
        <v>2</v>
      </c>
      <c r="E127" s="3089" t="str">
        <f t="shared" si="8"/>
        <v>可供出售金融资产</v>
      </c>
      <c r="F127" s="3090" t="s">
        <v>818</v>
      </c>
      <c r="G127" s="3091">
        <f t="shared" si="9"/>
        <v>0</v>
      </c>
      <c r="H127" s="3092" t="s">
        <v>6793</v>
      </c>
      <c r="I127" s="3094" t="s">
        <v>6797</v>
      </c>
      <c r="J127" s="3073"/>
      <c r="K127" s="3091">
        <f t="shared" si="13"/>
        <v>0</v>
      </c>
      <c r="L127" s="3072" t="s">
        <v>6793</v>
      </c>
      <c r="M127" s="3094" t="s">
        <v>6797</v>
      </c>
      <c r="N127" s="3073"/>
      <c r="O127" s="3100"/>
      <c r="P127" s="3101"/>
      <c r="Q127" s="3101"/>
      <c r="R127" s="3101"/>
      <c r="S127" s="3102" t="s">
        <v>295</v>
      </c>
      <c r="T127" s="3102" t="s">
        <v>213</v>
      </c>
      <c r="U127" s="3103"/>
      <c r="V127" s="3103" t="s">
        <v>295</v>
      </c>
      <c r="W127" s="3103" t="s">
        <v>145</v>
      </c>
      <c r="X127" s="3103" t="s">
        <v>6794</v>
      </c>
      <c r="Y127" s="3104" t="s">
        <v>164</v>
      </c>
    </row>
    <row r="128" spans="1:25" ht="24" hidden="1">
      <c r="A128" s="1304"/>
      <c r="B128" s="643">
        <v>1503</v>
      </c>
      <c r="C128" s="643" t="s">
        <v>821</v>
      </c>
      <c r="D128" s="3088">
        <v>2</v>
      </c>
      <c r="E128" s="3089" t="str">
        <f t="shared" si="8"/>
        <v>可供出售金融资产</v>
      </c>
      <c r="F128" s="3090" t="s">
        <v>822</v>
      </c>
      <c r="G128" s="3091">
        <f t="shared" si="9"/>
        <v>0</v>
      </c>
      <c r="H128" s="3092">
        <f ca="1">INDIRECT("Notes!CheckA"&amp;$C128)</f>
        <v>0</v>
      </c>
      <c r="I128" s="3094" t="s">
        <v>6797</v>
      </c>
      <c r="J128" s="3073"/>
      <c r="K128" s="3091">
        <f t="shared" si="13"/>
        <v>0</v>
      </c>
      <c r="L128" s="3072" t="s">
        <v>6793</v>
      </c>
      <c r="M128" s="3094" t="s">
        <v>6797</v>
      </c>
      <c r="N128" s="3073"/>
      <c r="O128" s="3100"/>
      <c r="P128" s="3101"/>
      <c r="Q128" s="3101"/>
      <c r="R128" s="3101"/>
      <c r="S128" s="3102" t="s">
        <v>295</v>
      </c>
      <c r="T128" s="3102" t="s">
        <v>213</v>
      </c>
      <c r="U128" s="3103"/>
      <c r="V128" s="3103" t="s">
        <v>295</v>
      </c>
      <c r="W128" s="3103" t="s">
        <v>145</v>
      </c>
      <c r="X128" s="3103" t="s">
        <v>6794</v>
      </c>
      <c r="Y128" s="3104" t="s">
        <v>164</v>
      </c>
    </row>
    <row r="129" spans="1:25" ht="48" hidden="1">
      <c r="A129" s="1304"/>
      <c r="B129" s="643">
        <v>1503</v>
      </c>
      <c r="C129" s="643" t="s">
        <v>825</v>
      </c>
      <c r="D129" s="3088">
        <v>2</v>
      </c>
      <c r="E129" s="3089" t="str">
        <f t="shared" si="8"/>
        <v>可供出售金融资产</v>
      </c>
      <c r="F129" s="3090" t="s">
        <v>826</v>
      </c>
      <c r="G129" s="3091">
        <f t="shared" si="9"/>
        <v>0</v>
      </c>
      <c r="H129" s="3092" t="s">
        <v>6793</v>
      </c>
      <c r="I129" s="3094" t="s">
        <v>6797</v>
      </c>
      <c r="J129" s="3073"/>
      <c r="K129" s="3091">
        <f t="shared" si="13"/>
        <v>0</v>
      </c>
      <c r="L129" s="3072" t="s">
        <v>6793</v>
      </c>
      <c r="M129" s="3094" t="s">
        <v>6797</v>
      </c>
      <c r="N129" s="3073"/>
      <c r="O129" s="3100"/>
      <c r="P129" s="3101"/>
      <c r="Q129" s="3101"/>
      <c r="R129" s="3101"/>
      <c r="S129" s="3102" t="s">
        <v>295</v>
      </c>
      <c r="T129" s="3102" t="s">
        <v>213</v>
      </c>
      <c r="U129" s="3103"/>
      <c r="V129" s="3103" t="s">
        <v>295</v>
      </c>
      <c r="W129" s="3103" t="s">
        <v>145</v>
      </c>
      <c r="X129" s="3103" t="s">
        <v>6794</v>
      </c>
      <c r="Y129" s="3104" t="s">
        <v>164</v>
      </c>
    </row>
    <row r="130" spans="1:25" ht="18">
      <c r="A130" s="1304"/>
      <c r="B130" s="643">
        <v>1508</v>
      </c>
      <c r="C130" s="643" t="s">
        <v>847</v>
      </c>
      <c r="D130" s="3088">
        <v>1</v>
      </c>
      <c r="E130" s="3089" t="str">
        <f t="shared" si="8"/>
        <v>其他债权投资</v>
      </c>
      <c r="F130" s="3090" t="s">
        <v>848</v>
      </c>
      <c r="G130" s="3091">
        <f t="shared" si="9"/>
        <v>0</v>
      </c>
      <c r="H130" s="3092">
        <f t="shared" ref="H130:H138" ca="1" si="16">INDIRECT("Notes!CheckA"&amp;$C130)</f>
        <v>0</v>
      </c>
      <c r="I130" s="3094">
        <f ca="1">IF(AND(LEN(G130)&gt;0,LEN(H130)&gt;0),ROUND(SUM(G130)-SUM(H130),2),"")</f>
        <v>0</v>
      </c>
      <c r="J130" s="3073" t="str">
        <f ca="1">IF(ISNA(I130),"N/A",IF(I130=0,"√","？"))</f>
        <v>√</v>
      </c>
      <c r="K130" s="3091">
        <f t="shared" si="13"/>
        <v>0</v>
      </c>
      <c r="L130" s="3072">
        <f ca="1">INDIRECT("Notes!CheckB"&amp;$C130)</f>
        <v>0</v>
      </c>
      <c r="M130" s="3094">
        <f ca="1">IF(AND(LEN(K130)&gt;0,LEN(L130)&gt;0),ROUND(SUM(K130)-SUM(L130),2),"")</f>
        <v>0</v>
      </c>
      <c r="N130" s="3073" t="str">
        <f ca="1">IF(ISNA(M130),"N/A",IF(M130=0,"√","？"))</f>
        <v>√</v>
      </c>
      <c r="O130" s="3100"/>
      <c r="P130" s="3101"/>
      <c r="Q130" s="3101"/>
      <c r="R130" s="3101"/>
      <c r="S130" s="3102" t="s">
        <v>295</v>
      </c>
      <c r="T130" s="3102" t="s">
        <v>213</v>
      </c>
      <c r="U130" s="3103"/>
      <c r="V130" s="3103" t="s">
        <v>295</v>
      </c>
      <c r="W130" s="3103" t="s">
        <v>145</v>
      </c>
      <c r="X130" s="3103" t="s">
        <v>6794</v>
      </c>
      <c r="Y130" s="3104" t="s">
        <v>119</v>
      </c>
    </row>
    <row r="131" spans="1:25" ht="24" hidden="1">
      <c r="A131" s="1304"/>
      <c r="B131" s="643">
        <v>1508</v>
      </c>
      <c r="C131" s="643" t="s">
        <v>853</v>
      </c>
      <c r="D131" s="3088">
        <v>2</v>
      </c>
      <c r="E131" s="3089" t="str">
        <f t="shared" si="8"/>
        <v>其他债权投资</v>
      </c>
      <c r="F131" s="3090" t="s">
        <v>854</v>
      </c>
      <c r="G131" s="3091">
        <f t="shared" si="9"/>
        <v>0</v>
      </c>
      <c r="H131" s="3092">
        <f t="shared" ca="1" si="16"/>
        <v>0</v>
      </c>
      <c r="I131" s="3094" t="s">
        <v>6797</v>
      </c>
      <c r="J131" s="3073"/>
      <c r="K131" s="3091">
        <f t="shared" si="13"/>
        <v>0</v>
      </c>
      <c r="L131" s="3072">
        <f ca="1">INDIRECT("Notes!CheckB"&amp;$C131)</f>
        <v>0</v>
      </c>
      <c r="M131" s="3094" t="s">
        <v>6797</v>
      </c>
      <c r="N131" s="3073"/>
      <c r="O131" s="3100"/>
      <c r="P131" s="3101"/>
      <c r="Q131" s="3101"/>
      <c r="R131" s="3101"/>
      <c r="S131" s="3102" t="s">
        <v>295</v>
      </c>
      <c r="T131" s="3102" t="s">
        <v>213</v>
      </c>
      <c r="U131" s="3103"/>
      <c r="V131" s="3103" t="s">
        <v>295</v>
      </c>
      <c r="W131" s="3103" t="s">
        <v>145</v>
      </c>
      <c r="X131" s="3103" t="s">
        <v>6794</v>
      </c>
      <c r="Y131" s="3104" t="s">
        <v>119</v>
      </c>
    </row>
    <row r="132" spans="1:25" ht="36" hidden="1">
      <c r="A132" s="1304"/>
      <c r="B132" s="643">
        <v>1508</v>
      </c>
      <c r="C132" s="643" t="s">
        <v>859</v>
      </c>
      <c r="D132" s="3088">
        <v>2</v>
      </c>
      <c r="E132" s="3089" t="str">
        <f t="shared" si="8"/>
        <v>其他债权投资</v>
      </c>
      <c r="F132" s="3090" t="s">
        <v>6438</v>
      </c>
      <c r="G132" s="3091">
        <f t="shared" si="9"/>
        <v>0</v>
      </c>
      <c r="H132" s="3092">
        <f t="shared" ca="1" si="16"/>
        <v>0</v>
      </c>
      <c r="I132" s="3094" t="s">
        <v>6797</v>
      </c>
      <c r="J132" s="3073"/>
      <c r="K132" s="3091">
        <f t="shared" si="13"/>
        <v>0</v>
      </c>
      <c r="L132" s="3072" t="s">
        <v>6793</v>
      </c>
      <c r="M132" s="3094" t="s">
        <v>6797</v>
      </c>
      <c r="N132" s="3073"/>
      <c r="O132" s="3100"/>
      <c r="P132" s="3101"/>
      <c r="Q132" s="3101"/>
      <c r="R132" s="3101"/>
      <c r="S132" s="3102" t="s">
        <v>295</v>
      </c>
      <c r="T132" s="3102" t="s">
        <v>213</v>
      </c>
      <c r="U132" s="3103"/>
      <c r="V132" s="3103" t="s">
        <v>295</v>
      </c>
      <c r="W132" s="3103" t="s">
        <v>145</v>
      </c>
      <c r="X132" s="3103" t="s">
        <v>6794</v>
      </c>
      <c r="Y132" s="3104" t="s">
        <v>119</v>
      </c>
    </row>
    <row r="133" spans="1:25" ht="24" hidden="1">
      <c r="A133" s="1304"/>
      <c r="B133" s="643">
        <v>1508</v>
      </c>
      <c r="C133" s="643" t="s">
        <v>885</v>
      </c>
      <c r="D133" s="3088">
        <v>2</v>
      </c>
      <c r="E133" s="3089" t="str">
        <f t="shared" si="8"/>
        <v>其他债权投资</v>
      </c>
      <c r="F133" s="3090" t="s">
        <v>886</v>
      </c>
      <c r="G133" s="3091">
        <f t="shared" si="9"/>
        <v>0</v>
      </c>
      <c r="H133" s="3092">
        <f t="shared" ca="1" si="16"/>
        <v>0</v>
      </c>
      <c r="I133" s="3094" t="s">
        <v>6797</v>
      </c>
      <c r="J133" s="3073"/>
      <c r="K133" s="3091">
        <f t="shared" si="13"/>
        <v>0</v>
      </c>
      <c r="L133" s="3072" t="s">
        <v>6793</v>
      </c>
      <c r="M133" s="3094" t="s">
        <v>6797</v>
      </c>
      <c r="N133" s="3073"/>
      <c r="O133" s="3100"/>
      <c r="P133" s="3101"/>
      <c r="Q133" s="3101"/>
      <c r="R133" s="3101"/>
      <c r="S133" s="3102" t="s">
        <v>295</v>
      </c>
      <c r="T133" s="3102" t="s">
        <v>213</v>
      </c>
      <c r="U133" s="3103"/>
      <c r="V133" s="3103" t="s">
        <v>295</v>
      </c>
      <c r="W133" s="3103" t="s">
        <v>145</v>
      </c>
      <c r="X133" s="3103" t="s">
        <v>6794</v>
      </c>
      <c r="Y133" s="3104" t="s">
        <v>119</v>
      </c>
    </row>
    <row r="134" spans="1:25" ht="24" hidden="1">
      <c r="A134" s="1304"/>
      <c r="B134" s="643">
        <v>1508</v>
      </c>
      <c r="C134" s="643" t="s">
        <v>889</v>
      </c>
      <c r="D134" s="3088">
        <v>2</v>
      </c>
      <c r="E134" s="3089" t="str">
        <f t="shared" si="8"/>
        <v>其他债权投资</v>
      </c>
      <c r="F134" s="3090" t="s">
        <v>890</v>
      </c>
      <c r="G134" s="3091">
        <f t="shared" si="9"/>
        <v>0</v>
      </c>
      <c r="H134" s="3092">
        <f t="shared" ca="1" si="16"/>
        <v>0</v>
      </c>
      <c r="I134" s="3094" t="s">
        <v>6797</v>
      </c>
      <c r="J134" s="3073"/>
      <c r="K134" s="3091">
        <f t="shared" si="13"/>
        <v>0</v>
      </c>
      <c r="L134" s="3072" t="s">
        <v>6793</v>
      </c>
      <c r="M134" s="3094" t="s">
        <v>6797</v>
      </c>
      <c r="N134" s="3073"/>
      <c r="O134" s="3100"/>
      <c r="P134" s="3101"/>
      <c r="Q134" s="3101"/>
      <c r="R134" s="3101"/>
      <c r="S134" s="3102" t="s">
        <v>295</v>
      </c>
      <c r="T134" s="3102" t="s">
        <v>213</v>
      </c>
      <c r="U134" s="3103"/>
      <c r="V134" s="3103" t="s">
        <v>295</v>
      </c>
      <c r="W134" s="3103" t="s">
        <v>145</v>
      </c>
      <c r="X134" s="3103" t="s">
        <v>6794</v>
      </c>
      <c r="Y134" s="3104" t="s">
        <v>119</v>
      </c>
    </row>
    <row r="135" spans="1:25" ht="24" hidden="1">
      <c r="A135" s="1304"/>
      <c r="B135" s="643">
        <v>1508</v>
      </c>
      <c r="C135" s="643" t="s">
        <v>894</v>
      </c>
      <c r="D135" s="3088">
        <v>2</v>
      </c>
      <c r="E135" s="3089" t="str">
        <f t="shared" si="8"/>
        <v>其他债权投资</v>
      </c>
      <c r="F135" s="3090" t="s">
        <v>895</v>
      </c>
      <c r="G135" s="3091">
        <f t="shared" si="9"/>
        <v>0</v>
      </c>
      <c r="H135" s="3092">
        <f t="shared" ca="1" si="16"/>
        <v>0</v>
      </c>
      <c r="I135" s="3094" t="s">
        <v>6797</v>
      </c>
      <c r="J135" s="3073"/>
      <c r="K135" s="3091">
        <f t="shared" si="13"/>
        <v>0</v>
      </c>
      <c r="L135" s="3072" t="s">
        <v>6793</v>
      </c>
      <c r="M135" s="3094" t="s">
        <v>6797</v>
      </c>
      <c r="N135" s="3073"/>
      <c r="O135" s="3100"/>
      <c r="P135" s="3101"/>
      <c r="Q135" s="3101"/>
      <c r="R135" s="3101"/>
      <c r="S135" s="3102" t="s">
        <v>295</v>
      </c>
      <c r="T135" s="3102" t="s">
        <v>213</v>
      </c>
      <c r="U135" s="3103"/>
      <c r="V135" s="3103" t="s">
        <v>295</v>
      </c>
      <c r="W135" s="3103" t="s">
        <v>145</v>
      </c>
      <c r="X135" s="3103" t="s">
        <v>6794</v>
      </c>
      <c r="Y135" s="3104" t="s">
        <v>119</v>
      </c>
    </row>
    <row r="136" spans="1:25" ht="24" hidden="1">
      <c r="A136" s="1304"/>
      <c r="B136" s="643">
        <v>1508</v>
      </c>
      <c r="C136" s="643" t="s">
        <v>898</v>
      </c>
      <c r="D136" s="3088">
        <v>2</v>
      </c>
      <c r="E136" s="3089" t="str">
        <f t="shared" si="8"/>
        <v>其他债权投资</v>
      </c>
      <c r="F136" s="3090" t="s">
        <v>881</v>
      </c>
      <c r="G136" s="3091">
        <f t="shared" si="9"/>
        <v>0</v>
      </c>
      <c r="H136" s="3092">
        <f t="shared" ca="1" si="16"/>
        <v>0</v>
      </c>
      <c r="I136" s="3094" t="s">
        <v>6797</v>
      </c>
      <c r="J136" s="3073"/>
      <c r="K136" s="3091">
        <f t="shared" si="13"/>
        <v>0</v>
      </c>
      <c r="L136" s="3072" t="s">
        <v>6793</v>
      </c>
      <c r="M136" s="3094" t="s">
        <v>6797</v>
      </c>
      <c r="N136" s="3073"/>
      <c r="O136" s="3100"/>
      <c r="P136" s="3101"/>
      <c r="Q136" s="3101"/>
      <c r="R136" s="3101"/>
      <c r="S136" s="3102" t="s">
        <v>295</v>
      </c>
      <c r="T136" s="3102" t="s">
        <v>213</v>
      </c>
      <c r="U136" s="3103"/>
      <c r="V136" s="3103" t="s">
        <v>295</v>
      </c>
      <c r="W136" s="3103" t="s">
        <v>145</v>
      </c>
      <c r="X136" s="3103" t="s">
        <v>6794</v>
      </c>
      <c r="Y136" s="3104" t="s">
        <v>119</v>
      </c>
    </row>
    <row r="137" spans="1:25" ht="36" hidden="1">
      <c r="A137" s="1304"/>
      <c r="B137" s="643">
        <v>1508</v>
      </c>
      <c r="C137" s="643" t="s">
        <v>880</v>
      </c>
      <c r="D137" s="3088">
        <v>2</v>
      </c>
      <c r="E137" s="3089" t="str">
        <f t="shared" ref="E137:E200" si="17">IF(ISERROR(VLOOKUP($B137,Sheet_Items,2,0)),"        ----",VLOOKUP($B137,Sheet_Items,2,0))</f>
        <v>其他债权投资</v>
      </c>
      <c r="F137" s="3090" t="s">
        <v>5960</v>
      </c>
      <c r="G137" s="3091">
        <f t="shared" ref="G137:G200" si="18">IF(ISERROR(VLOOKUP($B137,Sheet_Trialbal,6,0)),"        ----",VLOOKUP($B137,Sheet_Trialbal,6,0))</f>
        <v>0</v>
      </c>
      <c r="H137" s="3092">
        <f t="shared" ca="1" si="16"/>
        <v>0</v>
      </c>
      <c r="I137" s="3094" t="s">
        <v>6797</v>
      </c>
      <c r="J137" s="3073"/>
      <c r="K137" s="3091">
        <f t="shared" ref="K137:K157" si="19">IF(ISERROR(VLOOKUP($B137,Sheet_Trialbal,10,0)),"        ----",VLOOKUP($B137,Sheet_Trialbal,10,0))</f>
        <v>0</v>
      </c>
      <c r="L137" s="3072" t="s">
        <v>6793</v>
      </c>
      <c r="M137" s="3094" t="s">
        <v>6797</v>
      </c>
      <c r="N137" s="3073"/>
      <c r="O137" s="3100"/>
      <c r="P137" s="3101"/>
      <c r="Q137" s="3101"/>
      <c r="R137" s="3101"/>
      <c r="S137" s="3102" t="s">
        <v>295</v>
      </c>
      <c r="T137" s="3102" t="s">
        <v>213</v>
      </c>
      <c r="U137" s="3103"/>
      <c r="V137" s="3103" t="s">
        <v>295</v>
      </c>
      <c r="W137" s="3103" t="s">
        <v>145</v>
      </c>
      <c r="X137" s="3103" t="s">
        <v>6794</v>
      </c>
      <c r="Y137" s="3104" t="s">
        <v>119</v>
      </c>
    </row>
    <row r="138" spans="1:25" ht="18">
      <c r="A138" s="1304"/>
      <c r="B138" s="643">
        <v>1501</v>
      </c>
      <c r="C138" s="643" t="s">
        <v>902</v>
      </c>
      <c r="D138" s="3088">
        <v>1</v>
      </c>
      <c r="E138" s="3089" t="str">
        <f t="shared" si="17"/>
        <v>持有至到期投资</v>
      </c>
      <c r="F138" s="3090" t="s">
        <v>903</v>
      </c>
      <c r="G138" s="3091">
        <f t="shared" si="18"/>
        <v>0</v>
      </c>
      <c r="H138" s="3092">
        <f t="shared" ca="1" si="16"/>
        <v>0</v>
      </c>
      <c r="I138" s="3094">
        <f ca="1">IF(AND(LEN(G138)&gt;0,LEN(H138)&gt;0),ROUND(SUM(G138)-SUM(H138),2),"")</f>
        <v>0</v>
      </c>
      <c r="J138" s="3073" t="str">
        <f ca="1">IF(ISNA(I138),"N/A",IF(I138=0,"√","？"))</f>
        <v>√</v>
      </c>
      <c r="K138" s="3091">
        <f t="shared" si="19"/>
        <v>0</v>
      </c>
      <c r="L138" s="3072">
        <f ca="1">INDIRECT("Notes!CheckB"&amp;$C138)</f>
        <v>0</v>
      </c>
      <c r="M138" s="3094">
        <f ca="1">IF(AND(LEN(K138)&gt;0,LEN(L138)&gt;0),ROUND(SUM(K138)-SUM(L138),2),"")</f>
        <v>0</v>
      </c>
      <c r="N138" s="3073" t="str">
        <f ca="1">IF(ISNA(M138),"N/A",IF(M138=0,"√","？"))</f>
        <v>√</v>
      </c>
      <c r="O138" s="3100"/>
      <c r="P138" s="3101"/>
      <c r="Q138" s="3101"/>
      <c r="R138" s="3101"/>
      <c r="S138" s="3102" t="s">
        <v>295</v>
      </c>
      <c r="T138" s="3102" t="s">
        <v>213</v>
      </c>
      <c r="U138" s="3103"/>
      <c r="V138" s="3103" t="s">
        <v>295</v>
      </c>
      <c r="W138" s="3103" t="s">
        <v>6791</v>
      </c>
      <c r="X138" s="3103" t="s">
        <v>6792</v>
      </c>
      <c r="Y138" s="3104" t="s">
        <v>164</v>
      </c>
    </row>
    <row r="139" spans="1:25" ht="18" hidden="1">
      <c r="A139" s="1304"/>
      <c r="B139" s="643">
        <v>1501</v>
      </c>
      <c r="C139" s="643" t="s">
        <v>910</v>
      </c>
      <c r="D139" s="3088">
        <v>2</v>
      </c>
      <c r="E139" s="3089" t="str">
        <f t="shared" si="17"/>
        <v>持有至到期投资</v>
      </c>
      <c r="F139" s="3090" t="s">
        <v>911</v>
      </c>
      <c r="G139" s="3091">
        <f t="shared" si="18"/>
        <v>0</v>
      </c>
      <c r="H139" s="3092" t="s">
        <v>6793</v>
      </c>
      <c r="I139" s="3094" t="s">
        <v>6797</v>
      </c>
      <c r="J139" s="3073"/>
      <c r="K139" s="3091">
        <f t="shared" si="19"/>
        <v>0</v>
      </c>
      <c r="L139" s="3072" t="s">
        <v>6793</v>
      </c>
      <c r="M139" s="3094" t="s">
        <v>6797</v>
      </c>
      <c r="N139" s="3073"/>
      <c r="O139" s="3100"/>
      <c r="P139" s="3101"/>
      <c r="Q139" s="3101"/>
      <c r="R139" s="3101"/>
      <c r="S139" s="3102" t="s">
        <v>295</v>
      </c>
      <c r="T139" s="3102" t="s">
        <v>213</v>
      </c>
      <c r="U139" s="3103"/>
      <c r="V139" s="3103" t="s">
        <v>295</v>
      </c>
      <c r="W139" s="3103" t="s">
        <v>6791</v>
      </c>
      <c r="X139" s="3103" t="s">
        <v>6792</v>
      </c>
      <c r="Y139" s="3104" t="s">
        <v>164</v>
      </c>
    </row>
    <row r="140" spans="1:25" ht="24" hidden="1">
      <c r="A140" s="1304"/>
      <c r="B140" s="643">
        <v>1501</v>
      </c>
      <c r="C140" s="643" t="s">
        <v>917</v>
      </c>
      <c r="D140" s="3088">
        <v>2</v>
      </c>
      <c r="E140" s="3089" t="str">
        <f t="shared" si="17"/>
        <v>持有至到期投资</v>
      </c>
      <c r="F140" s="3090" t="s">
        <v>6439</v>
      </c>
      <c r="G140" s="3091">
        <f t="shared" si="18"/>
        <v>0</v>
      </c>
      <c r="H140" s="3092" t="s">
        <v>6793</v>
      </c>
      <c r="I140" s="3094" t="s">
        <v>6797</v>
      </c>
      <c r="J140" s="3073"/>
      <c r="K140" s="3091">
        <f t="shared" si="19"/>
        <v>0</v>
      </c>
      <c r="L140" s="3072" t="s">
        <v>6793</v>
      </c>
      <c r="M140" s="3094" t="s">
        <v>6797</v>
      </c>
      <c r="N140" s="3073"/>
      <c r="O140" s="3100"/>
      <c r="P140" s="3101"/>
      <c r="Q140" s="3101"/>
      <c r="R140" s="3101"/>
      <c r="S140" s="3102" t="s">
        <v>295</v>
      </c>
      <c r="T140" s="3102" t="s">
        <v>213</v>
      </c>
      <c r="U140" s="3103"/>
      <c r="V140" s="3103" t="s">
        <v>295</v>
      </c>
      <c r="W140" s="3103" t="s">
        <v>6796</v>
      </c>
      <c r="X140" s="3103" t="s">
        <v>213</v>
      </c>
      <c r="Y140" s="3104" t="s">
        <v>164</v>
      </c>
    </row>
    <row r="141" spans="1:25" ht="18" hidden="1">
      <c r="A141" s="1304"/>
      <c r="B141" s="643">
        <v>1501</v>
      </c>
      <c r="C141" s="643" t="s">
        <v>5587</v>
      </c>
      <c r="D141" s="3088">
        <v>2</v>
      </c>
      <c r="E141" s="3089" t="str">
        <f t="shared" si="17"/>
        <v>持有至到期投资</v>
      </c>
      <c r="F141" s="3090" t="s">
        <v>5588</v>
      </c>
      <c r="G141" s="3091">
        <f t="shared" si="18"/>
        <v>0</v>
      </c>
      <c r="H141" s="3092">
        <f t="shared" ref="H141:H147" ca="1" si="20">INDIRECT("Notes!CheckA"&amp;$C141)</f>
        <v>0</v>
      </c>
      <c r="I141" s="3094" t="s">
        <v>6797</v>
      </c>
      <c r="J141" s="3073"/>
      <c r="K141" s="3091">
        <f t="shared" si="19"/>
        <v>0</v>
      </c>
      <c r="L141" s="3072">
        <f ca="1">INDIRECT("Notes!CheckB"&amp;$C141)</f>
        <v>0</v>
      </c>
      <c r="M141" s="3094" t="s">
        <v>6797</v>
      </c>
      <c r="N141" s="3073"/>
      <c r="O141" s="3100"/>
      <c r="P141" s="3101"/>
      <c r="Q141" s="3101"/>
      <c r="R141" s="3101"/>
      <c r="S141" s="3102" t="s">
        <v>295</v>
      </c>
      <c r="T141" s="3102" t="s">
        <v>213</v>
      </c>
      <c r="U141" s="3103"/>
      <c r="V141" s="3103" t="s">
        <v>295</v>
      </c>
      <c r="W141" s="3103" t="s">
        <v>6796</v>
      </c>
      <c r="X141" s="3103" t="s">
        <v>213</v>
      </c>
      <c r="Y141" s="3104" t="s">
        <v>164</v>
      </c>
    </row>
    <row r="142" spans="1:25" ht="18">
      <c r="A142" s="1304"/>
      <c r="B142" s="643">
        <v>1531</v>
      </c>
      <c r="C142" s="643" t="s">
        <v>923</v>
      </c>
      <c r="D142" s="3088">
        <v>1</v>
      </c>
      <c r="E142" s="3089" t="str">
        <f t="shared" si="17"/>
        <v>长期应收款</v>
      </c>
      <c r="F142" s="3090" t="s">
        <v>924</v>
      </c>
      <c r="G142" s="3091">
        <f t="shared" si="18"/>
        <v>0</v>
      </c>
      <c r="H142" s="3092">
        <f t="shared" ca="1" si="20"/>
        <v>0</v>
      </c>
      <c r="I142" s="3094">
        <f ca="1">IF(AND(LEN(G142)&gt;0,LEN(H142)&gt;0),ROUND(SUM(G142)-SUM(H142),2),"")</f>
        <v>0</v>
      </c>
      <c r="J142" s="3073" t="str">
        <f ca="1">IF(ISNA(I142),"N/A",IF(I142=0,"√","？"))</f>
        <v>√</v>
      </c>
      <c r="K142" s="3091">
        <f t="shared" si="19"/>
        <v>0</v>
      </c>
      <c r="L142" s="3072">
        <f ca="1">INDIRECT("Notes!CheckB"&amp;$C142)</f>
        <v>0</v>
      </c>
      <c r="M142" s="3094">
        <f ca="1">IF(AND(LEN(K142)&gt;0,LEN(L142)&gt;0),ROUND(SUM(K142)-SUM(L142),2),"")</f>
        <v>0</v>
      </c>
      <c r="N142" s="3073" t="str">
        <f ca="1">IF(ISNA(M142),"N/A",IF(M142=0,"√","？"))</f>
        <v>√</v>
      </c>
      <c r="O142" s="3100"/>
      <c r="P142" s="3101"/>
      <c r="Q142" s="3101"/>
      <c r="R142" s="3101"/>
      <c r="S142" s="3102" t="s">
        <v>295</v>
      </c>
      <c r="T142" s="3102" t="s">
        <v>213</v>
      </c>
      <c r="U142" s="3103"/>
      <c r="V142" s="3103" t="s">
        <v>295</v>
      </c>
      <c r="W142" s="3103" t="s">
        <v>6791</v>
      </c>
      <c r="X142" s="3103" t="s">
        <v>6792</v>
      </c>
      <c r="Y142" s="3104" t="s">
        <v>164</v>
      </c>
    </row>
    <row r="143" spans="1:25" ht="36" hidden="1">
      <c r="A143" s="1304"/>
      <c r="B143" s="643">
        <v>1531</v>
      </c>
      <c r="C143" s="643" t="s">
        <v>5919</v>
      </c>
      <c r="D143" s="3088">
        <v>2</v>
      </c>
      <c r="E143" s="3089" t="str">
        <f t="shared" si="17"/>
        <v>长期应收款</v>
      </c>
      <c r="F143" s="3090" t="s">
        <v>6440</v>
      </c>
      <c r="G143" s="3091">
        <f t="shared" si="18"/>
        <v>0</v>
      </c>
      <c r="H143" s="3092">
        <f t="shared" ca="1" si="20"/>
        <v>0</v>
      </c>
      <c r="I143" s="3094" t="s">
        <v>6797</v>
      </c>
      <c r="J143" s="3073"/>
      <c r="K143" s="3091">
        <f t="shared" si="19"/>
        <v>0</v>
      </c>
      <c r="L143" s="3072" t="s">
        <v>6793</v>
      </c>
      <c r="M143" s="3094" t="s">
        <v>6797</v>
      </c>
      <c r="N143" s="3073"/>
      <c r="O143" s="3100"/>
      <c r="P143" s="3101"/>
      <c r="Q143" s="3101"/>
      <c r="R143" s="3101"/>
      <c r="S143" s="3102" t="s">
        <v>295</v>
      </c>
      <c r="T143" s="3102" t="s">
        <v>213</v>
      </c>
      <c r="U143" s="3103"/>
      <c r="V143" s="3103" t="s">
        <v>295</v>
      </c>
      <c r="W143" s="3103" t="s">
        <v>145</v>
      </c>
      <c r="X143" s="3103" t="s">
        <v>6794</v>
      </c>
      <c r="Y143" s="3104" t="s">
        <v>119</v>
      </c>
    </row>
    <row r="144" spans="1:25" ht="36" hidden="1">
      <c r="A144" s="1304"/>
      <c r="B144" s="643">
        <v>1531</v>
      </c>
      <c r="C144" s="643" t="s">
        <v>928</v>
      </c>
      <c r="D144" s="3088">
        <v>2</v>
      </c>
      <c r="E144" s="3089" t="str">
        <f t="shared" si="17"/>
        <v>长期应收款</v>
      </c>
      <c r="F144" s="3090" t="s">
        <v>5953</v>
      </c>
      <c r="G144" s="3091">
        <f t="shared" si="18"/>
        <v>0</v>
      </c>
      <c r="H144" s="3092">
        <f t="shared" ca="1" si="20"/>
        <v>0</v>
      </c>
      <c r="I144" s="3094" t="s">
        <v>6797</v>
      </c>
      <c r="J144" s="3073"/>
      <c r="K144" s="3091">
        <f t="shared" si="19"/>
        <v>0</v>
      </c>
      <c r="L144" s="3072" t="s">
        <v>6793</v>
      </c>
      <c r="M144" s="3094" t="s">
        <v>6797</v>
      </c>
      <c r="N144" s="3073"/>
      <c r="O144" s="3100"/>
      <c r="P144" s="3101"/>
      <c r="Q144" s="3101"/>
      <c r="R144" s="3101"/>
      <c r="S144" s="3102" t="s">
        <v>295</v>
      </c>
      <c r="T144" s="3102" t="s">
        <v>213</v>
      </c>
      <c r="U144" s="3103"/>
      <c r="V144" s="3103" t="s">
        <v>295</v>
      </c>
      <c r="W144" s="3103" t="s">
        <v>145</v>
      </c>
      <c r="X144" s="3103" t="s">
        <v>6794</v>
      </c>
      <c r="Y144" s="3104" t="s">
        <v>119</v>
      </c>
    </row>
    <row r="145" spans="1:25" ht="36" hidden="1">
      <c r="A145" s="1304"/>
      <c r="B145" s="643">
        <v>1531</v>
      </c>
      <c r="C145" s="643" t="s">
        <v>931</v>
      </c>
      <c r="D145" s="3088">
        <v>2</v>
      </c>
      <c r="E145" s="3089" t="str">
        <f t="shared" si="17"/>
        <v>长期应收款</v>
      </c>
      <c r="F145" s="3090" t="s">
        <v>5954</v>
      </c>
      <c r="G145" s="3091">
        <f t="shared" si="18"/>
        <v>0</v>
      </c>
      <c r="H145" s="3092">
        <f t="shared" ca="1" si="20"/>
        <v>0</v>
      </c>
      <c r="I145" s="3094" t="s">
        <v>6797</v>
      </c>
      <c r="J145" s="3073"/>
      <c r="K145" s="3091">
        <f t="shared" si="19"/>
        <v>0</v>
      </c>
      <c r="L145" s="3072" t="s">
        <v>6793</v>
      </c>
      <c r="M145" s="3094" t="s">
        <v>6797</v>
      </c>
      <c r="N145" s="3073"/>
      <c r="O145" s="3100"/>
      <c r="P145" s="3101"/>
      <c r="Q145" s="3101"/>
      <c r="R145" s="3101"/>
      <c r="S145" s="3102" t="s">
        <v>295</v>
      </c>
      <c r="T145" s="3102" t="s">
        <v>213</v>
      </c>
      <c r="U145" s="3103"/>
      <c r="V145" s="3103" t="s">
        <v>295</v>
      </c>
      <c r="W145" s="3103" t="s">
        <v>145</v>
      </c>
      <c r="X145" s="3103" t="s">
        <v>6794</v>
      </c>
      <c r="Y145" s="3104" t="s">
        <v>119</v>
      </c>
    </row>
    <row r="146" spans="1:25" ht="36" hidden="1">
      <c r="A146" s="1304"/>
      <c r="B146" s="643">
        <v>1531</v>
      </c>
      <c r="C146" s="643" t="s">
        <v>934</v>
      </c>
      <c r="D146" s="3088">
        <v>2</v>
      </c>
      <c r="E146" s="3089" t="str">
        <f t="shared" si="17"/>
        <v>长期应收款</v>
      </c>
      <c r="F146" s="3090" t="s">
        <v>5955</v>
      </c>
      <c r="G146" s="3091">
        <f t="shared" si="18"/>
        <v>0</v>
      </c>
      <c r="H146" s="3092">
        <f t="shared" ca="1" si="20"/>
        <v>0</v>
      </c>
      <c r="I146" s="3094" t="s">
        <v>6797</v>
      </c>
      <c r="J146" s="3073"/>
      <c r="K146" s="3091">
        <f t="shared" si="19"/>
        <v>0</v>
      </c>
      <c r="L146" s="3072" t="s">
        <v>6793</v>
      </c>
      <c r="M146" s="3094" t="s">
        <v>6797</v>
      </c>
      <c r="N146" s="3073"/>
      <c r="O146" s="3100"/>
      <c r="P146" s="3101"/>
      <c r="Q146" s="3101"/>
      <c r="R146" s="3101"/>
      <c r="S146" s="3102" t="s">
        <v>295</v>
      </c>
      <c r="T146" s="3102" t="s">
        <v>213</v>
      </c>
      <c r="U146" s="3103"/>
      <c r="V146" s="3103" t="s">
        <v>295</v>
      </c>
      <c r="W146" s="3103" t="s">
        <v>145</v>
      </c>
      <c r="X146" s="3103" t="s">
        <v>6794</v>
      </c>
      <c r="Y146" s="3104" t="s">
        <v>119</v>
      </c>
    </row>
    <row r="147" spans="1:25" ht="36" hidden="1">
      <c r="A147" s="1304"/>
      <c r="B147" s="643">
        <v>1531</v>
      </c>
      <c r="C147" s="643" t="s">
        <v>946</v>
      </c>
      <c r="D147" s="3088">
        <v>2</v>
      </c>
      <c r="E147" s="3089" t="str">
        <f t="shared" si="17"/>
        <v>长期应收款</v>
      </c>
      <c r="F147" s="3090" t="s">
        <v>6441</v>
      </c>
      <c r="G147" s="3091">
        <f t="shared" si="18"/>
        <v>0</v>
      </c>
      <c r="H147" s="3092">
        <f t="shared" ca="1" si="20"/>
        <v>0</v>
      </c>
      <c r="I147" s="3094" t="s">
        <v>6797</v>
      </c>
      <c r="J147" s="3073"/>
      <c r="K147" s="3091">
        <f t="shared" si="19"/>
        <v>0</v>
      </c>
      <c r="L147" s="3072">
        <f ca="1">INDIRECT("Notes!CheckB"&amp;$C147)</f>
        <v>0</v>
      </c>
      <c r="M147" s="3094" t="s">
        <v>6797</v>
      </c>
      <c r="N147" s="3073"/>
      <c r="O147" s="3100"/>
      <c r="P147" s="3101"/>
      <c r="Q147" s="3101"/>
      <c r="R147" s="3101"/>
      <c r="S147" s="3102" t="s">
        <v>295</v>
      </c>
      <c r="T147" s="3102" t="s">
        <v>213</v>
      </c>
      <c r="U147" s="3103"/>
      <c r="V147" s="3103" t="s">
        <v>295</v>
      </c>
      <c r="W147" s="3103" t="s">
        <v>145</v>
      </c>
      <c r="X147" s="3103" t="s">
        <v>6794</v>
      </c>
      <c r="Y147" s="3104" t="s">
        <v>119</v>
      </c>
    </row>
    <row r="148" spans="1:25" ht="48" hidden="1">
      <c r="A148" s="1304"/>
      <c r="B148" s="643">
        <v>1531</v>
      </c>
      <c r="C148" s="643" t="s">
        <v>949</v>
      </c>
      <c r="D148" s="3088">
        <v>2</v>
      </c>
      <c r="E148" s="3089" t="str">
        <f t="shared" si="17"/>
        <v>长期应收款</v>
      </c>
      <c r="F148" s="3090" t="s">
        <v>5956</v>
      </c>
      <c r="G148" s="3091">
        <f t="shared" si="18"/>
        <v>0</v>
      </c>
      <c r="H148" s="3092" t="s">
        <v>6793</v>
      </c>
      <c r="I148" s="3094" t="s">
        <v>6797</v>
      </c>
      <c r="J148" s="3073"/>
      <c r="K148" s="3091">
        <f t="shared" si="19"/>
        <v>0</v>
      </c>
      <c r="L148" s="3072">
        <f ca="1">INDIRECT("Notes!CheckB"&amp;$C148)</f>
        <v>0</v>
      </c>
      <c r="M148" s="3094" t="s">
        <v>6797</v>
      </c>
      <c r="N148" s="3073"/>
      <c r="O148" s="3100"/>
      <c r="P148" s="3101"/>
      <c r="Q148" s="3101"/>
      <c r="R148" s="3101"/>
      <c r="S148" s="3102" t="s">
        <v>295</v>
      </c>
      <c r="T148" s="3102" t="s">
        <v>213</v>
      </c>
      <c r="U148" s="3103"/>
      <c r="V148" s="3103" t="s">
        <v>295</v>
      </c>
      <c r="W148" s="3103" t="s">
        <v>145</v>
      </c>
      <c r="X148" s="3103" t="s">
        <v>6794</v>
      </c>
      <c r="Y148" s="3104" t="s">
        <v>119</v>
      </c>
    </row>
    <row r="149" spans="1:25" ht="36" hidden="1">
      <c r="A149" s="1304"/>
      <c r="B149" s="643">
        <v>1531</v>
      </c>
      <c r="C149" s="643" t="s">
        <v>939</v>
      </c>
      <c r="D149" s="3088">
        <v>2</v>
      </c>
      <c r="E149" s="3089" t="str">
        <f t="shared" si="17"/>
        <v>长期应收款</v>
      </c>
      <c r="F149" s="3090" t="s">
        <v>5957</v>
      </c>
      <c r="G149" s="3091">
        <f t="shared" si="18"/>
        <v>0</v>
      </c>
      <c r="H149" s="3092">
        <f t="shared" ref="H149:H165" ca="1" si="21">INDIRECT("Notes!CheckA"&amp;$C149)</f>
        <v>0</v>
      </c>
      <c r="I149" s="3094" t="s">
        <v>6797</v>
      </c>
      <c r="J149" s="3073"/>
      <c r="K149" s="3091">
        <f t="shared" si="19"/>
        <v>0</v>
      </c>
      <c r="L149" s="3072" t="s">
        <v>6793</v>
      </c>
      <c r="M149" s="3094" t="s">
        <v>6797</v>
      </c>
      <c r="N149" s="3073"/>
      <c r="O149" s="3100"/>
      <c r="P149" s="3101"/>
      <c r="Q149" s="3101"/>
      <c r="R149" s="3101"/>
      <c r="S149" s="3102" t="s">
        <v>295</v>
      </c>
      <c r="T149" s="3102" t="s">
        <v>213</v>
      </c>
      <c r="U149" s="3103"/>
      <c r="V149" s="3103" t="s">
        <v>295</v>
      </c>
      <c r="W149" s="3103" t="s">
        <v>145</v>
      </c>
      <c r="X149" s="3103" t="s">
        <v>213</v>
      </c>
      <c r="Y149" s="3104" t="s">
        <v>119</v>
      </c>
    </row>
    <row r="150" spans="1:25" ht="24" hidden="1">
      <c r="A150" s="1304"/>
      <c r="B150" s="643">
        <v>1531</v>
      </c>
      <c r="C150" s="643" t="s">
        <v>954</v>
      </c>
      <c r="D150" s="3088">
        <v>2</v>
      </c>
      <c r="E150" s="3089" t="str">
        <f t="shared" si="17"/>
        <v>长期应收款</v>
      </c>
      <c r="F150" s="3090" t="s">
        <v>5958</v>
      </c>
      <c r="G150" s="3091">
        <f t="shared" si="18"/>
        <v>0</v>
      </c>
      <c r="H150" s="3092">
        <f t="shared" ca="1" si="21"/>
        <v>0</v>
      </c>
      <c r="I150" s="3094" t="s">
        <v>6797</v>
      </c>
      <c r="J150" s="3073"/>
      <c r="K150" s="3091">
        <f t="shared" si="19"/>
        <v>0</v>
      </c>
      <c r="L150" s="3072">
        <f ca="1">INDIRECT("Notes!CheckB"&amp;$C150)</f>
        <v>0</v>
      </c>
      <c r="M150" s="3094" t="s">
        <v>6797</v>
      </c>
      <c r="N150" s="3073"/>
      <c r="O150" s="3100"/>
      <c r="P150" s="3101"/>
      <c r="Q150" s="3101"/>
      <c r="R150" s="3101"/>
      <c r="S150" s="3102" t="s">
        <v>295</v>
      </c>
      <c r="T150" s="3102" t="s">
        <v>213</v>
      </c>
      <c r="U150" s="3103"/>
      <c r="V150" s="3103" t="s">
        <v>295</v>
      </c>
      <c r="W150" s="3103" t="s">
        <v>145</v>
      </c>
      <c r="X150" s="3103" t="s">
        <v>6794</v>
      </c>
      <c r="Y150" s="3104" t="s">
        <v>119</v>
      </c>
    </row>
    <row r="151" spans="1:25" ht="24" hidden="1">
      <c r="A151" s="1304"/>
      <c r="B151" s="643">
        <v>1531</v>
      </c>
      <c r="C151" s="643" t="s">
        <v>951</v>
      </c>
      <c r="D151" s="3088">
        <v>2</v>
      </c>
      <c r="E151" s="3089" t="str">
        <f t="shared" si="17"/>
        <v>长期应收款</v>
      </c>
      <c r="F151" s="3090" t="s">
        <v>5959</v>
      </c>
      <c r="G151" s="3091">
        <f t="shared" si="18"/>
        <v>0</v>
      </c>
      <c r="H151" s="3092">
        <f t="shared" ca="1" si="21"/>
        <v>0</v>
      </c>
      <c r="I151" s="3094" t="s">
        <v>6797</v>
      </c>
      <c r="J151" s="3073"/>
      <c r="K151" s="3091">
        <f t="shared" si="19"/>
        <v>0</v>
      </c>
      <c r="L151" s="3072" t="s">
        <v>6793</v>
      </c>
      <c r="M151" s="3094" t="s">
        <v>6797</v>
      </c>
      <c r="N151" s="3073"/>
      <c r="O151" s="3100"/>
      <c r="P151" s="3101"/>
      <c r="Q151" s="3101"/>
      <c r="R151" s="3101"/>
      <c r="S151" s="3102" t="s">
        <v>295</v>
      </c>
      <c r="T151" s="3102" t="s">
        <v>213</v>
      </c>
      <c r="U151" s="3103"/>
      <c r="V151" s="3103" t="s">
        <v>295</v>
      </c>
      <c r="W151" s="3103" t="s">
        <v>145</v>
      </c>
      <c r="X151" s="3103" t="s">
        <v>6794</v>
      </c>
      <c r="Y151" s="3104" t="s">
        <v>119</v>
      </c>
    </row>
    <row r="152" spans="1:25" ht="24" hidden="1">
      <c r="A152" s="1304"/>
      <c r="B152" s="643">
        <v>1531</v>
      </c>
      <c r="C152" s="643" t="s">
        <v>973</v>
      </c>
      <c r="D152" s="3088">
        <v>2</v>
      </c>
      <c r="E152" s="3089" t="str">
        <f t="shared" si="17"/>
        <v>长期应收款</v>
      </c>
      <c r="F152" s="3090" t="s">
        <v>956</v>
      </c>
      <c r="G152" s="3091">
        <f t="shared" si="18"/>
        <v>0</v>
      </c>
      <c r="H152" s="3092">
        <f t="shared" ca="1" si="21"/>
        <v>0</v>
      </c>
      <c r="I152" s="3094" t="s">
        <v>6797</v>
      </c>
      <c r="J152" s="3073"/>
      <c r="K152" s="3091">
        <f t="shared" si="19"/>
        <v>0</v>
      </c>
      <c r="L152" s="3072" t="s">
        <v>6793</v>
      </c>
      <c r="M152" s="3094" t="s">
        <v>6797</v>
      </c>
      <c r="N152" s="3073"/>
      <c r="O152" s="3100"/>
      <c r="P152" s="3101"/>
      <c r="Q152" s="3101"/>
      <c r="R152" s="3101"/>
      <c r="S152" s="3102" t="s">
        <v>295</v>
      </c>
      <c r="T152" s="3102" t="s">
        <v>213</v>
      </c>
      <c r="U152" s="3103"/>
      <c r="V152" s="3103" t="s">
        <v>295</v>
      </c>
      <c r="W152" s="3103" t="s">
        <v>6791</v>
      </c>
      <c r="X152" s="3103" t="s">
        <v>6792</v>
      </c>
      <c r="Y152" s="3104" t="s">
        <v>164</v>
      </c>
    </row>
    <row r="153" spans="1:25" ht="36" hidden="1">
      <c r="A153" s="1304"/>
      <c r="B153" s="643">
        <v>1531</v>
      </c>
      <c r="C153" s="643" t="s">
        <v>959</v>
      </c>
      <c r="D153" s="3088">
        <v>2</v>
      </c>
      <c r="E153" s="3089" t="str">
        <f t="shared" si="17"/>
        <v>长期应收款</v>
      </c>
      <c r="F153" s="3090" t="s">
        <v>960</v>
      </c>
      <c r="G153" s="3091">
        <f t="shared" si="18"/>
        <v>0</v>
      </c>
      <c r="H153" s="3092">
        <f t="shared" ca="1" si="21"/>
        <v>0</v>
      </c>
      <c r="I153" s="3094" t="s">
        <v>6797</v>
      </c>
      <c r="J153" s="3073"/>
      <c r="K153" s="3091">
        <f t="shared" si="19"/>
        <v>0</v>
      </c>
      <c r="L153" s="3072" t="s">
        <v>6793</v>
      </c>
      <c r="M153" s="3094" t="s">
        <v>6797</v>
      </c>
      <c r="N153" s="3073"/>
      <c r="O153" s="3100"/>
      <c r="P153" s="3101"/>
      <c r="Q153" s="3101"/>
      <c r="R153" s="3101"/>
      <c r="S153" s="3102" t="s">
        <v>295</v>
      </c>
      <c r="T153" s="3102" t="s">
        <v>213</v>
      </c>
      <c r="U153" s="3103"/>
      <c r="V153" s="3103" t="s">
        <v>295</v>
      </c>
      <c r="W153" s="3103" t="s">
        <v>6791</v>
      </c>
      <c r="X153" s="3103" t="s">
        <v>6792</v>
      </c>
      <c r="Y153" s="3104" t="s">
        <v>164</v>
      </c>
    </row>
    <row r="154" spans="1:25" ht="24" hidden="1">
      <c r="A154" s="1304"/>
      <c r="B154" s="643">
        <v>1531</v>
      </c>
      <c r="C154" s="643" t="s">
        <v>969</v>
      </c>
      <c r="D154" s="3088">
        <v>2</v>
      </c>
      <c r="E154" s="3089" t="str">
        <f t="shared" si="17"/>
        <v>长期应收款</v>
      </c>
      <c r="F154" s="3090" t="s">
        <v>6443</v>
      </c>
      <c r="G154" s="3091">
        <f t="shared" si="18"/>
        <v>0</v>
      </c>
      <c r="H154" s="3092">
        <f t="shared" ca="1" si="21"/>
        <v>0</v>
      </c>
      <c r="I154" s="3094" t="s">
        <v>6797</v>
      </c>
      <c r="J154" s="3073"/>
      <c r="K154" s="3091">
        <f t="shared" si="19"/>
        <v>0</v>
      </c>
      <c r="L154" s="3072">
        <f ca="1">INDIRECT("Notes!CheckB"&amp;$C154)</f>
        <v>0</v>
      </c>
      <c r="M154" s="3094" t="s">
        <v>6797</v>
      </c>
      <c r="N154" s="3073"/>
      <c r="O154" s="3100"/>
      <c r="P154" s="3101"/>
      <c r="Q154" s="3101"/>
      <c r="R154" s="3101"/>
      <c r="S154" s="3102" t="s">
        <v>295</v>
      </c>
      <c r="T154" s="3102" t="s">
        <v>213</v>
      </c>
      <c r="U154" s="3103"/>
      <c r="V154" s="3103" t="s">
        <v>295</v>
      </c>
      <c r="W154" s="3103" t="s">
        <v>6791</v>
      </c>
      <c r="X154" s="3103" t="s">
        <v>213</v>
      </c>
      <c r="Y154" s="3104" t="s">
        <v>164</v>
      </c>
    </row>
    <row r="155" spans="1:25" ht="18" hidden="1">
      <c r="A155" s="1304"/>
      <c r="B155" s="643">
        <v>1531</v>
      </c>
      <c r="C155" s="643" t="s">
        <v>977</v>
      </c>
      <c r="D155" s="3088">
        <v>2</v>
      </c>
      <c r="E155" s="3089" t="str">
        <f t="shared" si="17"/>
        <v>长期应收款</v>
      </c>
      <c r="F155" s="3090" t="s">
        <v>978</v>
      </c>
      <c r="G155" s="3091">
        <f t="shared" si="18"/>
        <v>0</v>
      </c>
      <c r="H155" s="3092">
        <f t="shared" ca="1" si="21"/>
        <v>0</v>
      </c>
      <c r="I155" s="3094" t="s">
        <v>6797</v>
      </c>
      <c r="J155" s="3073"/>
      <c r="K155" s="3091">
        <f t="shared" si="19"/>
        <v>0</v>
      </c>
      <c r="L155" s="3072" t="s">
        <v>6793</v>
      </c>
      <c r="M155" s="3094" t="s">
        <v>6797</v>
      </c>
      <c r="N155" s="3073"/>
      <c r="O155" s="3100"/>
      <c r="P155" s="3101"/>
      <c r="Q155" s="3101"/>
      <c r="R155" s="3101"/>
      <c r="S155" s="3102" t="s">
        <v>295</v>
      </c>
      <c r="T155" s="3102" t="s">
        <v>213</v>
      </c>
      <c r="U155" s="3103"/>
      <c r="V155" s="3103" t="s">
        <v>295</v>
      </c>
      <c r="W155" s="3103" t="s">
        <v>6791</v>
      </c>
      <c r="X155" s="3103" t="s">
        <v>213</v>
      </c>
      <c r="Y155" s="3104" t="s">
        <v>164</v>
      </c>
    </row>
    <row r="156" spans="1:25" ht="18">
      <c r="A156" s="1304"/>
      <c r="B156" s="643">
        <v>1511</v>
      </c>
      <c r="C156" s="643" t="s">
        <v>5621</v>
      </c>
      <c r="D156" s="3088">
        <v>1</v>
      </c>
      <c r="E156" s="3089" t="str">
        <f t="shared" si="17"/>
        <v>长期股权投资</v>
      </c>
      <c r="F156" s="3090" t="s">
        <v>5623</v>
      </c>
      <c r="G156" s="3091">
        <f t="shared" si="18"/>
        <v>50000000</v>
      </c>
      <c r="H156" s="3092">
        <f t="shared" ca="1" si="21"/>
        <v>0</v>
      </c>
      <c r="I156" s="3094">
        <f ca="1">IF(AND(LEN(G156)&gt;0,LEN(H156)&gt;0),ROUND(SUM(G156)-SUM(H156),2),"")</f>
        <v>50000000</v>
      </c>
      <c r="J156" s="3073" t="str">
        <f ca="1">IF(ISNA(I156),"N/A",IF(I156=0,"√","？"))</f>
        <v>？</v>
      </c>
      <c r="K156" s="3091">
        <f t="shared" si="19"/>
        <v>162000000</v>
      </c>
      <c r="L156" s="3072">
        <f ca="1">INDIRECT("Notes!CheckB"&amp;$C156)</f>
        <v>0</v>
      </c>
      <c r="M156" s="3094">
        <f ca="1">IF(AND(LEN(K156)&gt;0,LEN(L156)&gt;0),ROUND(SUM(K156)-SUM(L156),2),"")</f>
        <v>162000000</v>
      </c>
      <c r="N156" s="3073" t="str">
        <f ca="1">IF(ISNA(M156),"N/A",IF(M156=0,"√","？"))</f>
        <v>？</v>
      </c>
      <c r="O156" s="3100"/>
      <c r="P156" s="3101"/>
      <c r="Q156" s="3101"/>
      <c r="R156" s="3101"/>
      <c r="S156" s="3102" t="s">
        <v>295</v>
      </c>
      <c r="T156" s="3102" t="s">
        <v>213</v>
      </c>
      <c r="U156" s="3103"/>
      <c r="V156" s="3103" t="s">
        <v>295</v>
      </c>
      <c r="W156" s="3103" t="s">
        <v>6791</v>
      </c>
      <c r="X156" s="3103" t="s">
        <v>213</v>
      </c>
      <c r="Y156" s="3104" t="s">
        <v>164</v>
      </c>
    </row>
    <row r="157" spans="1:25" ht="24" hidden="1">
      <c r="A157" s="1304"/>
      <c r="B157" s="643">
        <v>1511</v>
      </c>
      <c r="C157" s="643" t="s">
        <v>5622</v>
      </c>
      <c r="D157" s="3088">
        <v>2</v>
      </c>
      <c r="E157" s="3089" t="str">
        <f t="shared" si="17"/>
        <v>长期股权投资</v>
      </c>
      <c r="F157" s="3090" t="s">
        <v>5624</v>
      </c>
      <c r="G157" s="3091">
        <f t="shared" si="18"/>
        <v>50000000</v>
      </c>
      <c r="H157" s="3092">
        <f t="shared" ca="1" si="21"/>
        <v>0</v>
      </c>
      <c r="I157" s="3094" t="s">
        <v>6797</v>
      </c>
      <c r="J157" s="3073"/>
      <c r="K157" s="3091">
        <f t="shared" si="19"/>
        <v>162000000</v>
      </c>
      <c r="L157" s="3072">
        <f ca="1">INDIRECT("Notes!CheckB"&amp;$C157)</f>
        <v>0</v>
      </c>
      <c r="M157" s="3094" t="s">
        <v>6797</v>
      </c>
      <c r="N157" s="3073"/>
      <c r="O157" s="3100"/>
      <c r="P157" s="3101"/>
      <c r="Q157" s="3101"/>
      <c r="R157" s="3101"/>
      <c r="S157" s="3102" t="s">
        <v>295</v>
      </c>
      <c r="T157" s="3102" t="s">
        <v>213</v>
      </c>
      <c r="U157" s="3103"/>
      <c r="V157" s="3103" t="s">
        <v>295</v>
      </c>
      <c r="W157" s="3103" t="s">
        <v>6791</v>
      </c>
      <c r="X157" s="3103" t="s">
        <v>213</v>
      </c>
      <c r="Y157" s="3104" t="s">
        <v>164</v>
      </c>
    </row>
    <row r="158" spans="1:25" ht="24" hidden="1">
      <c r="A158" s="1304"/>
      <c r="B158" s="643">
        <v>1511</v>
      </c>
      <c r="C158" s="643" t="s">
        <v>982</v>
      </c>
      <c r="D158" s="3088">
        <v>2</v>
      </c>
      <c r="E158" s="3089" t="str">
        <f t="shared" si="17"/>
        <v>长期股权投资</v>
      </c>
      <c r="F158" s="3090" t="s">
        <v>6444</v>
      </c>
      <c r="G158" s="3091">
        <f t="shared" si="18"/>
        <v>50000000</v>
      </c>
      <c r="H158" s="3092">
        <f t="shared" ca="1" si="21"/>
        <v>0</v>
      </c>
      <c r="I158" s="3094" t="s">
        <v>6797</v>
      </c>
      <c r="J158" s="3073"/>
      <c r="K158" s="3091"/>
      <c r="L158" s="3072"/>
      <c r="M158" s="3094" t="s">
        <v>6797</v>
      </c>
      <c r="N158" s="3073"/>
      <c r="O158" s="3100"/>
      <c r="P158" s="3101"/>
      <c r="Q158" s="3101"/>
      <c r="R158" s="3101"/>
      <c r="S158" s="3102" t="s">
        <v>295</v>
      </c>
      <c r="T158" s="3102" t="s">
        <v>213</v>
      </c>
      <c r="U158" s="3103"/>
      <c r="V158" s="3103" t="s">
        <v>295</v>
      </c>
      <c r="W158" s="3103" t="s">
        <v>6791</v>
      </c>
      <c r="X158" s="3103" t="s">
        <v>6792</v>
      </c>
      <c r="Y158" s="3104" t="s">
        <v>164</v>
      </c>
    </row>
    <row r="159" spans="1:25" ht="18">
      <c r="A159" s="1304"/>
      <c r="B159" s="643">
        <v>1538</v>
      </c>
      <c r="C159" s="643" t="s">
        <v>993</v>
      </c>
      <c r="D159" s="3088">
        <v>1</v>
      </c>
      <c r="E159" s="3089" t="str">
        <f t="shared" si="17"/>
        <v>其他权益工具投资</v>
      </c>
      <c r="F159" s="3090" t="s">
        <v>994</v>
      </c>
      <c r="G159" s="3091">
        <f t="shared" si="18"/>
        <v>0</v>
      </c>
      <c r="H159" s="3092">
        <f t="shared" ca="1" si="21"/>
        <v>0</v>
      </c>
      <c r="I159" s="3094">
        <f ca="1">IF(AND(LEN(G159)&gt;0,LEN(H159)&gt;0),ROUND(SUM(G159)-SUM(H159),2),"")</f>
        <v>0</v>
      </c>
      <c r="J159" s="3073" t="str">
        <f ca="1">IF(ISNA(I159),"N/A",IF(I159=0,"√","？"))</f>
        <v>√</v>
      </c>
      <c r="K159" s="3091">
        <f t="shared" ref="K159:K222" si="22">IF(ISERROR(VLOOKUP($B159,Sheet_Trialbal,10,0)),"        ----",VLOOKUP($B159,Sheet_Trialbal,10,0))</f>
        <v>0</v>
      </c>
      <c r="L159" s="3072">
        <f ca="1">INDIRECT("Notes!CheckB"&amp;$C159)</f>
        <v>0</v>
      </c>
      <c r="M159" s="3094">
        <f ca="1">IF(AND(LEN(K159)&gt;0,LEN(L159)&gt;0),ROUND(SUM(K159)-SUM(L159),2),"")</f>
        <v>0</v>
      </c>
      <c r="N159" s="3073" t="str">
        <f ca="1">IF(ISNA(M159),"N/A",IF(M159=0,"√","？"))</f>
        <v>√</v>
      </c>
      <c r="O159" s="3100"/>
      <c r="P159" s="3101"/>
      <c r="Q159" s="3101"/>
      <c r="R159" s="3101"/>
      <c r="S159" s="3102" t="s">
        <v>295</v>
      </c>
      <c r="T159" s="3102" t="s">
        <v>213</v>
      </c>
      <c r="U159" s="3103"/>
      <c r="V159" s="3103" t="s">
        <v>295</v>
      </c>
      <c r="W159" s="3103" t="s">
        <v>145</v>
      </c>
      <c r="X159" s="3103" t="s">
        <v>6794</v>
      </c>
      <c r="Y159" s="3104" t="s">
        <v>119</v>
      </c>
    </row>
    <row r="160" spans="1:25" ht="24" hidden="1">
      <c r="A160" s="1304"/>
      <c r="B160" s="643">
        <v>1538</v>
      </c>
      <c r="C160" s="643" t="s">
        <v>1000</v>
      </c>
      <c r="D160" s="3088">
        <v>2</v>
      </c>
      <c r="E160" s="3089" t="str">
        <f t="shared" si="17"/>
        <v>其他权益工具投资</v>
      </c>
      <c r="F160" s="3090" t="s">
        <v>1001</v>
      </c>
      <c r="G160" s="3091">
        <f t="shared" si="18"/>
        <v>0</v>
      </c>
      <c r="H160" s="3092">
        <f t="shared" ca="1" si="21"/>
        <v>0</v>
      </c>
      <c r="I160" s="3094" t="s">
        <v>6797</v>
      </c>
      <c r="J160" s="3073"/>
      <c r="K160" s="3091">
        <f t="shared" si="22"/>
        <v>0</v>
      </c>
      <c r="L160" s="3072" t="s">
        <v>6793</v>
      </c>
      <c r="M160" s="3094" t="s">
        <v>6797</v>
      </c>
      <c r="N160" s="3073"/>
      <c r="O160" s="3100"/>
      <c r="P160" s="3101"/>
      <c r="Q160" s="3101"/>
      <c r="R160" s="3101"/>
      <c r="S160" s="3102" t="s">
        <v>295</v>
      </c>
      <c r="T160" s="3102" t="s">
        <v>213</v>
      </c>
      <c r="U160" s="3103"/>
      <c r="V160" s="3103" t="s">
        <v>295</v>
      </c>
      <c r="W160" s="3103" t="s">
        <v>145</v>
      </c>
      <c r="X160" s="3103" t="s">
        <v>6794</v>
      </c>
      <c r="Y160" s="3104" t="s">
        <v>119</v>
      </c>
    </row>
    <row r="161" spans="1:25" ht="24">
      <c r="A161" s="1304"/>
      <c r="B161" s="643">
        <v>1539</v>
      </c>
      <c r="C161" s="643" t="s">
        <v>1006</v>
      </c>
      <c r="D161" s="3088">
        <v>1</v>
      </c>
      <c r="E161" s="3089" t="str">
        <f t="shared" si="17"/>
        <v>其他非流动金融资产</v>
      </c>
      <c r="F161" s="3090" t="s">
        <v>1007</v>
      </c>
      <c r="G161" s="3091">
        <f t="shared" si="18"/>
        <v>0</v>
      </c>
      <c r="H161" s="3092">
        <f t="shared" ca="1" si="21"/>
        <v>0</v>
      </c>
      <c r="I161" s="3094">
        <f ca="1">IF(AND(LEN(G161)&gt;0,LEN(H161)&gt;0),ROUND(SUM(G161)-SUM(H161),2),"")</f>
        <v>0</v>
      </c>
      <c r="J161" s="3073" t="str">
        <f ca="1">IF(ISNA(I161),"N/A",IF(I161=0,"√","？"))</f>
        <v>√</v>
      </c>
      <c r="K161" s="3091">
        <f t="shared" si="22"/>
        <v>0</v>
      </c>
      <c r="L161" s="3072">
        <f ca="1">INDIRECT("Notes!CheckB"&amp;$C161)</f>
        <v>0</v>
      </c>
      <c r="M161" s="3094">
        <f ca="1">IF(AND(LEN(K161)&gt;0,LEN(L161)&gt;0),ROUND(SUM(K161)-SUM(L161),2),"")</f>
        <v>0</v>
      </c>
      <c r="N161" s="3073" t="str">
        <f ca="1">IF(ISNA(M161),"N/A",IF(M161=0,"√","？"))</f>
        <v>√</v>
      </c>
      <c r="O161" s="3100"/>
      <c r="P161" s="3101"/>
      <c r="Q161" s="3101"/>
      <c r="R161" s="3101"/>
      <c r="S161" s="3102" t="s">
        <v>295</v>
      </c>
      <c r="T161" s="3102" t="s">
        <v>213</v>
      </c>
      <c r="U161" s="3103"/>
      <c r="V161" s="3103" t="s">
        <v>295</v>
      </c>
      <c r="W161" s="3103" t="s">
        <v>145</v>
      </c>
      <c r="X161" s="3103" t="s">
        <v>6794</v>
      </c>
      <c r="Y161" s="3104" t="s">
        <v>119</v>
      </c>
    </row>
    <row r="162" spans="1:25" ht="24" hidden="1">
      <c r="A162" s="1304"/>
      <c r="B162" s="643">
        <v>1539</v>
      </c>
      <c r="C162" s="643" t="s">
        <v>5617</v>
      </c>
      <c r="D162" s="3088">
        <v>2</v>
      </c>
      <c r="E162" s="3089" t="str">
        <f t="shared" si="17"/>
        <v>其他非流动金融资产</v>
      </c>
      <c r="F162" s="3090" t="s">
        <v>5619</v>
      </c>
      <c r="G162" s="3091">
        <f t="shared" si="18"/>
        <v>0</v>
      </c>
      <c r="H162" s="3092">
        <f t="shared" ca="1" si="21"/>
        <v>0</v>
      </c>
      <c r="I162" s="3094" t="s">
        <v>6797</v>
      </c>
      <c r="J162" s="3073"/>
      <c r="K162" s="3091">
        <f t="shared" si="22"/>
        <v>0</v>
      </c>
      <c r="L162" s="3072">
        <f ca="1">INDIRECT("Notes!CheckB"&amp;$C162)</f>
        <v>0</v>
      </c>
      <c r="M162" s="3094" t="s">
        <v>6797</v>
      </c>
      <c r="N162" s="3073"/>
      <c r="O162" s="3100"/>
      <c r="P162" s="3101"/>
      <c r="Q162" s="3101"/>
      <c r="R162" s="3101"/>
      <c r="S162" s="3102" t="s">
        <v>295</v>
      </c>
      <c r="T162" s="3102" t="s">
        <v>213</v>
      </c>
      <c r="U162" s="3103"/>
      <c r="V162" s="3103" t="s">
        <v>295</v>
      </c>
      <c r="W162" s="3103" t="s">
        <v>145</v>
      </c>
      <c r="X162" s="3103" t="s">
        <v>213</v>
      </c>
      <c r="Y162" s="3104" t="s">
        <v>119</v>
      </c>
    </row>
    <row r="163" spans="1:25" ht="24" hidden="1">
      <c r="A163" s="1304"/>
      <c r="B163" s="643">
        <v>1539</v>
      </c>
      <c r="C163" s="643" t="s">
        <v>5618</v>
      </c>
      <c r="D163" s="3088">
        <v>2</v>
      </c>
      <c r="E163" s="3089" t="str">
        <f t="shared" si="17"/>
        <v>其他非流动金融资产</v>
      </c>
      <c r="F163" s="3090" t="s">
        <v>5620</v>
      </c>
      <c r="G163" s="3091">
        <f t="shared" si="18"/>
        <v>0</v>
      </c>
      <c r="H163" s="3092">
        <f t="shared" ca="1" si="21"/>
        <v>0</v>
      </c>
      <c r="I163" s="3094" t="s">
        <v>6797</v>
      </c>
      <c r="J163" s="3073"/>
      <c r="K163" s="3091">
        <f t="shared" si="22"/>
        <v>0</v>
      </c>
      <c r="L163" s="3072">
        <f ca="1">INDIRECT("Notes!CheckB"&amp;$C163)</f>
        <v>0</v>
      </c>
      <c r="M163" s="3094" t="s">
        <v>6797</v>
      </c>
      <c r="N163" s="3073"/>
      <c r="O163" s="3100"/>
      <c r="P163" s="3101"/>
      <c r="Q163" s="3101"/>
      <c r="R163" s="3101"/>
      <c r="S163" s="3102" t="s">
        <v>295</v>
      </c>
      <c r="T163" s="3102" t="s">
        <v>213</v>
      </c>
      <c r="U163" s="3103"/>
      <c r="V163" s="3103" t="s">
        <v>295</v>
      </c>
      <c r="W163" s="3103" t="s">
        <v>145</v>
      </c>
      <c r="X163" s="3103" t="s">
        <v>213</v>
      </c>
      <c r="Y163" s="3104" t="s">
        <v>119</v>
      </c>
    </row>
    <row r="164" spans="1:25" ht="24" hidden="1">
      <c r="A164" s="1304"/>
      <c r="B164" s="643">
        <v>1521</v>
      </c>
      <c r="C164" s="643" t="s">
        <v>1051</v>
      </c>
      <c r="D164" s="3088">
        <v>2</v>
      </c>
      <c r="E164" s="3089" t="str">
        <f t="shared" si="17"/>
        <v>投资性房地产</v>
      </c>
      <c r="F164" s="3090" t="s">
        <v>1052</v>
      </c>
      <c r="G164" s="3091">
        <f t="shared" si="18"/>
        <v>0</v>
      </c>
      <c r="H164" s="3092">
        <f t="shared" ca="1" si="21"/>
        <v>0</v>
      </c>
      <c r="I164" s="3094" t="s">
        <v>6797</v>
      </c>
      <c r="J164" s="3073"/>
      <c r="K164" s="3091">
        <f t="shared" si="22"/>
        <v>0</v>
      </c>
      <c r="L164" s="3072">
        <f ca="1">INDIRECT("Notes!CheckB"&amp;$C164)</f>
        <v>0</v>
      </c>
      <c r="M164" s="3094" t="s">
        <v>6797</v>
      </c>
      <c r="N164" s="3073"/>
      <c r="O164" s="3100"/>
      <c r="P164" s="3101"/>
      <c r="Q164" s="3101"/>
      <c r="R164" s="3101"/>
      <c r="S164" s="3102" t="s">
        <v>295</v>
      </c>
      <c r="T164" s="3102" t="s">
        <v>213</v>
      </c>
      <c r="U164" s="3103">
        <v>1521</v>
      </c>
      <c r="V164" s="3103" t="s">
        <v>295</v>
      </c>
      <c r="W164" s="3103" t="s">
        <v>6791</v>
      </c>
      <c r="X164" s="3103" t="s">
        <v>6792</v>
      </c>
      <c r="Y164" s="3104" t="s">
        <v>164</v>
      </c>
    </row>
    <row r="165" spans="1:25" ht="24" hidden="1">
      <c r="A165" s="1304"/>
      <c r="B165" s="643">
        <v>1521</v>
      </c>
      <c r="C165" s="643" t="s">
        <v>1058</v>
      </c>
      <c r="D165" s="3088">
        <v>2</v>
      </c>
      <c r="E165" s="3089" t="str">
        <f t="shared" si="17"/>
        <v>投资性房地产</v>
      </c>
      <c r="F165" s="3090" t="s">
        <v>1059</v>
      </c>
      <c r="G165" s="3091">
        <f t="shared" si="18"/>
        <v>0</v>
      </c>
      <c r="H165" s="3092">
        <f t="shared" ca="1" si="21"/>
        <v>0</v>
      </c>
      <c r="I165" s="3094" t="s">
        <v>6797</v>
      </c>
      <c r="J165" s="3073"/>
      <c r="K165" s="3091">
        <f t="shared" si="22"/>
        <v>0</v>
      </c>
      <c r="L165" s="3072">
        <f ca="1">INDIRECT("Notes!CheckB"&amp;$C165)</f>
        <v>0</v>
      </c>
      <c r="M165" s="3094" t="s">
        <v>6797</v>
      </c>
      <c r="N165" s="3073"/>
      <c r="O165" s="3100"/>
      <c r="P165" s="3101"/>
      <c r="Q165" s="3101"/>
      <c r="R165" s="3101"/>
      <c r="S165" s="3102" t="s">
        <v>295</v>
      </c>
      <c r="T165" s="3102" t="s">
        <v>213</v>
      </c>
      <c r="U165" s="3103">
        <v>1521</v>
      </c>
      <c r="V165" s="3103" t="s">
        <v>295</v>
      </c>
      <c r="W165" s="3103" t="s">
        <v>6791</v>
      </c>
      <c r="X165" s="3103" t="s">
        <v>6792</v>
      </c>
      <c r="Y165" s="3104" t="s">
        <v>164</v>
      </c>
    </row>
    <row r="166" spans="1:25" ht="24" hidden="1">
      <c r="A166" s="1304"/>
      <c r="B166" s="643">
        <v>1521</v>
      </c>
      <c r="C166" s="643" t="s">
        <v>1062</v>
      </c>
      <c r="D166" s="3088">
        <v>2</v>
      </c>
      <c r="E166" s="3089" t="str">
        <f t="shared" si="17"/>
        <v>投资性房地产</v>
      </c>
      <c r="F166" s="3090" t="s">
        <v>1063</v>
      </c>
      <c r="G166" s="3091">
        <f t="shared" si="18"/>
        <v>0</v>
      </c>
      <c r="H166" s="3092" t="s">
        <v>6793</v>
      </c>
      <c r="I166" s="3094" t="s">
        <v>6797</v>
      </c>
      <c r="J166" s="3073"/>
      <c r="K166" s="3091">
        <f t="shared" si="22"/>
        <v>0</v>
      </c>
      <c r="L166" s="3072" t="s">
        <v>6793</v>
      </c>
      <c r="M166" s="3094" t="s">
        <v>6797</v>
      </c>
      <c r="N166" s="3073"/>
      <c r="O166" s="3100"/>
      <c r="P166" s="3101"/>
      <c r="Q166" s="3101"/>
      <c r="R166" s="3101"/>
      <c r="S166" s="3102" t="s">
        <v>295</v>
      </c>
      <c r="T166" s="3102" t="s">
        <v>213</v>
      </c>
      <c r="U166" s="3103">
        <v>1521</v>
      </c>
      <c r="V166" s="3103" t="s">
        <v>295</v>
      </c>
      <c r="W166" s="3103" t="s">
        <v>6791</v>
      </c>
      <c r="X166" s="3103" t="s">
        <v>6792</v>
      </c>
      <c r="Y166" s="3104" t="s">
        <v>164</v>
      </c>
    </row>
    <row r="167" spans="1:25" ht="18" hidden="1">
      <c r="A167" s="1304"/>
      <c r="B167" s="643">
        <v>1521</v>
      </c>
      <c r="C167" s="643" t="s">
        <v>1088</v>
      </c>
      <c r="D167" s="3088">
        <v>2</v>
      </c>
      <c r="E167" s="3089" t="str">
        <f t="shared" si="17"/>
        <v>投资性房地产</v>
      </c>
      <c r="F167" s="3090" t="s">
        <v>1089</v>
      </c>
      <c r="G167" s="3091">
        <f t="shared" si="18"/>
        <v>0</v>
      </c>
      <c r="H167" s="3092" t="s">
        <v>6793</v>
      </c>
      <c r="I167" s="3094" t="s">
        <v>6797</v>
      </c>
      <c r="J167" s="3073"/>
      <c r="K167" s="3091">
        <f t="shared" si="22"/>
        <v>0</v>
      </c>
      <c r="L167" s="3072" t="s">
        <v>6793</v>
      </c>
      <c r="M167" s="3094" t="s">
        <v>6797</v>
      </c>
      <c r="N167" s="3073"/>
      <c r="O167" s="3100"/>
      <c r="P167" s="3101"/>
      <c r="Q167" s="3101"/>
      <c r="R167" s="3101"/>
      <c r="S167" s="3102" t="s">
        <v>295</v>
      </c>
      <c r="T167" s="3102" t="s">
        <v>213</v>
      </c>
      <c r="U167" s="3103">
        <v>1521</v>
      </c>
      <c r="V167" s="3103" t="s">
        <v>295</v>
      </c>
      <c r="W167" s="3103" t="s">
        <v>6791</v>
      </c>
      <c r="X167" s="3103" t="s">
        <v>213</v>
      </c>
      <c r="Y167" s="3104" t="s">
        <v>164</v>
      </c>
    </row>
    <row r="168" spans="1:25" ht="18">
      <c r="A168" s="1304"/>
      <c r="B168" s="643">
        <v>1611</v>
      </c>
      <c r="C168" s="643" t="s">
        <v>1098</v>
      </c>
      <c r="D168" s="3088">
        <v>1</v>
      </c>
      <c r="E168" s="3089" t="str">
        <f t="shared" si="17"/>
        <v>固定资产（报表项目）</v>
      </c>
      <c r="F168" s="3090" t="s">
        <v>1099</v>
      </c>
      <c r="G168" s="3091">
        <f t="shared" si="18"/>
        <v>11018.74</v>
      </c>
      <c r="H168" s="3092">
        <f t="shared" ref="H168:H173" ca="1" si="23">INDIRECT("Notes!CheckA"&amp;$C168)</f>
        <v>11018.74</v>
      </c>
      <c r="I168" s="3094">
        <f ca="1">IF(AND(LEN(G168)&gt;0,LEN(H168)&gt;0),ROUND(SUM(G168)-SUM(H168),2),"")</f>
        <v>0</v>
      </c>
      <c r="J168" s="3073" t="str">
        <f ca="1">IF(ISNA(I168),"N/A",IF(I168=0,"√","？"))</f>
        <v>√</v>
      </c>
      <c r="K168" s="3091">
        <f t="shared" si="22"/>
        <v>16540.18</v>
      </c>
      <c r="L168" s="3072">
        <f ca="1">INDIRECT("Notes!CheckB"&amp;$C168)</f>
        <v>16540.18</v>
      </c>
      <c r="M168" s="3094">
        <f ca="1">IF(AND(LEN(K168)&gt;0,LEN(L168)&gt;0),ROUND(SUM(K168)-SUM(L168),2),"")</f>
        <v>0</v>
      </c>
      <c r="N168" s="3073" t="str">
        <f ca="1">IF(ISNA(M168),"N/A",IF(M168=0,"√","？"))</f>
        <v>√</v>
      </c>
      <c r="O168" s="3100"/>
      <c r="P168" s="3101"/>
      <c r="Q168" s="3101"/>
      <c r="R168" s="3101"/>
      <c r="S168" s="3102" t="s">
        <v>295</v>
      </c>
      <c r="T168" s="3102" t="s">
        <v>213</v>
      </c>
      <c r="U168" s="3103">
        <v>1611</v>
      </c>
      <c r="V168" s="3103" t="s">
        <v>295</v>
      </c>
      <c r="W168" s="3103" t="s">
        <v>6791</v>
      </c>
      <c r="X168" s="3103" t="s">
        <v>6792</v>
      </c>
      <c r="Y168" s="3104" t="s">
        <v>164</v>
      </c>
    </row>
    <row r="169" spans="1:25" ht="18">
      <c r="A169" s="1304"/>
      <c r="B169" s="643">
        <v>1601</v>
      </c>
      <c r="C169" s="643" t="s">
        <v>1105</v>
      </c>
      <c r="D169" s="3088">
        <v>1</v>
      </c>
      <c r="E169" s="3089" t="str">
        <f t="shared" si="17"/>
        <v>固定资产</v>
      </c>
      <c r="F169" s="3090" t="s">
        <v>1106</v>
      </c>
      <c r="G169" s="3091">
        <f t="shared" si="18"/>
        <v>11018.74</v>
      </c>
      <c r="H169" s="3092">
        <f t="shared" ca="1" si="23"/>
        <v>11018.74</v>
      </c>
      <c r="I169" s="3094">
        <f ca="1">IF(AND(LEN(G169)&gt;0,LEN(H169)&gt;0),ROUND(SUM(G169)-SUM(H169),2),"")</f>
        <v>0</v>
      </c>
      <c r="J169" s="3073" t="str">
        <f ca="1">IF(ISNA(I169),"N/A",IF(I169=0,"√","？"))</f>
        <v>√</v>
      </c>
      <c r="K169" s="3091">
        <f t="shared" si="22"/>
        <v>16540.18</v>
      </c>
      <c r="L169" s="3072">
        <f ca="1">INDIRECT("Notes!CheckB"&amp;$C169)</f>
        <v>16540.18</v>
      </c>
      <c r="M169" s="3094">
        <f ca="1">IF(AND(LEN(K169)&gt;0,LEN(L169)&gt;0),ROUND(SUM(K169)-SUM(L169),2),"")</f>
        <v>0</v>
      </c>
      <c r="N169" s="3073" t="str">
        <f ca="1">IF(ISNA(M169),"N/A",IF(M169=0,"√","？"))</f>
        <v>√</v>
      </c>
      <c r="O169" s="3100"/>
      <c r="P169" s="3101"/>
      <c r="Q169" s="3101"/>
      <c r="R169" s="3101"/>
      <c r="S169" s="3102" t="s">
        <v>295</v>
      </c>
      <c r="T169" s="3102" t="s">
        <v>213</v>
      </c>
      <c r="U169" s="3103">
        <v>1601</v>
      </c>
      <c r="V169" s="3103" t="s">
        <v>295</v>
      </c>
      <c r="W169" s="3103" t="s">
        <v>6791</v>
      </c>
      <c r="X169" s="3103" t="s">
        <v>6792</v>
      </c>
      <c r="Y169" s="3104" t="s">
        <v>164</v>
      </c>
    </row>
    <row r="170" spans="1:25" ht="24" hidden="1">
      <c r="A170" s="1304"/>
      <c r="B170" s="643">
        <v>1601</v>
      </c>
      <c r="C170" s="643" t="s">
        <v>1116</v>
      </c>
      <c r="D170" s="3088">
        <v>2</v>
      </c>
      <c r="E170" s="3089" t="str">
        <f t="shared" si="17"/>
        <v>固定资产</v>
      </c>
      <c r="F170" s="3090" t="s">
        <v>1117</v>
      </c>
      <c r="G170" s="3091">
        <f t="shared" si="18"/>
        <v>11018.74</v>
      </c>
      <c r="H170" s="3092">
        <f t="shared" ca="1" si="23"/>
        <v>0</v>
      </c>
      <c r="I170" s="3094" t="s">
        <v>6797</v>
      </c>
      <c r="J170" s="3073"/>
      <c r="K170" s="3091">
        <f t="shared" si="22"/>
        <v>16540.18</v>
      </c>
      <c r="L170" s="3072" t="s">
        <v>6793</v>
      </c>
      <c r="M170" s="3094" t="s">
        <v>6797</v>
      </c>
      <c r="N170" s="3073"/>
      <c r="O170" s="3100"/>
      <c r="P170" s="3101"/>
      <c r="Q170" s="3101"/>
      <c r="R170" s="3101"/>
      <c r="S170" s="3102" t="s">
        <v>295</v>
      </c>
      <c r="T170" s="3102" t="s">
        <v>213</v>
      </c>
      <c r="U170" s="3103">
        <v>1601</v>
      </c>
      <c r="V170" s="3103" t="s">
        <v>295</v>
      </c>
      <c r="W170" s="3103" t="s">
        <v>6791</v>
      </c>
      <c r="X170" s="3103" t="s">
        <v>6794</v>
      </c>
      <c r="Y170" s="3104" t="s">
        <v>164</v>
      </c>
    </row>
    <row r="171" spans="1:25" ht="24" hidden="1">
      <c r="A171" s="1304"/>
      <c r="B171" s="643">
        <v>1601</v>
      </c>
      <c r="C171" s="643" t="s">
        <v>1120</v>
      </c>
      <c r="D171" s="3088">
        <v>2</v>
      </c>
      <c r="E171" s="3089" t="str">
        <f t="shared" si="17"/>
        <v>固定资产</v>
      </c>
      <c r="F171" s="3090" t="s">
        <v>1121</v>
      </c>
      <c r="G171" s="3091">
        <f t="shared" si="18"/>
        <v>11018.74</v>
      </c>
      <c r="H171" s="3092">
        <f t="shared" ca="1" si="23"/>
        <v>0</v>
      </c>
      <c r="I171" s="3094" t="s">
        <v>6797</v>
      </c>
      <c r="J171" s="3073"/>
      <c r="K171" s="3091">
        <f t="shared" si="22"/>
        <v>16540.18</v>
      </c>
      <c r="L171" s="3072" t="s">
        <v>6793</v>
      </c>
      <c r="M171" s="3094" t="s">
        <v>6797</v>
      </c>
      <c r="N171" s="3073"/>
      <c r="O171" s="3100"/>
      <c r="P171" s="3101"/>
      <c r="Q171" s="3101"/>
      <c r="R171" s="3101"/>
      <c r="S171" s="3102" t="s">
        <v>295</v>
      </c>
      <c r="T171" s="3102" t="s">
        <v>213</v>
      </c>
      <c r="U171" s="3103">
        <v>1601</v>
      </c>
      <c r="V171" s="3103" t="s">
        <v>295</v>
      </c>
      <c r="W171" s="3103" t="s">
        <v>6791</v>
      </c>
      <c r="X171" s="3103" t="s">
        <v>6792</v>
      </c>
      <c r="Y171" s="3104" t="s">
        <v>164</v>
      </c>
    </row>
    <row r="172" spans="1:25" ht="24" hidden="1">
      <c r="A172" s="1304"/>
      <c r="B172" s="643">
        <v>1601</v>
      </c>
      <c r="C172" s="643" t="s">
        <v>1126</v>
      </c>
      <c r="D172" s="3088">
        <v>2</v>
      </c>
      <c r="E172" s="3089" t="str">
        <f t="shared" si="17"/>
        <v>固定资产</v>
      </c>
      <c r="F172" s="3090" t="s">
        <v>1127</v>
      </c>
      <c r="G172" s="3091">
        <f t="shared" si="18"/>
        <v>11018.74</v>
      </c>
      <c r="H172" s="3092">
        <f t="shared" ca="1" si="23"/>
        <v>0</v>
      </c>
      <c r="I172" s="3094" t="s">
        <v>6797</v>
      </c>
      <c r="J172" s="3073"/>
      <c r="K172" s="3091">
        <f t="shared" si="22"/>
        <v>16540.18</v>
      </c>
      <c r="L172" s="3072" t="s">
        <v>6793</v>
      </c>
      <c r="M172" s="3094" t="s">
        <v>6797</v>
      </c>
      <c r="N172" s="3073"/>
      <c r="O172" s="3100"/>
      <c r="P172" s="3101"/>
      <c r="Q172" s="3101"/>
      <c r="R172" s="3101"/>
      <c r="S172" s="3102" t="s">
        <v>295</v>
      </c>
      <c r="T172" s="3102" t="s">
        <v>213</v>
      </c>
      <c r="U172" s="3103">
        <v>1601</v>
      </c>
      <c r="V172" s="3103" t="s">
        <v>295</v>
      </c>
      <c r="W172" s="3103" t="s">
        <v>6791</v>
      </c>
      <c r="X172" s="3103" t="s">
        <v>6792</v>
      </c>
      <c r="Y172" s="3104" t="s">
        <v>164</v>
      </c>
    </row>
    <row r="173" spans="1:25" ht="24" hidden="1">
      <c r="A173" s="1304"/>
      <c r="B173" s="643">
        <v>1601</v>
      </c>
      <c r="C173" s="643" t="s">
        <v>1131</v>
      </c>
      <c r="D173" s="3088">
        <v>2</v>
      </c>
      <c r="E173" s="3089" t="str">
        <f t="shared" si="17"/>
        <v>固定资产</v>
      </c>
      <c r="F173" s="3090" t="s">
        <v>1132</v>
      </c>
      <c r="G173" s="3091">
        <f t="shared" si="18"/>
        <v>11018.74</v>
      </c>
      <c r="H173" s="3092">
        <f t="shared" ca="1" si="23"/>
        <v>0</v>
      </c>
      <c r="I173" s="3094" t="s">
        <v>6797</v>
      </c>
      <c r="J173" s="3073"/>
      <c r="K173" s="3091">
        <f t="shared" si="22"/>
        <v>16540.18</v>
      </c>
      <c r="L173" s="3072">
        <f ca="1">INDIRECT("Notes!CheckB"&amp;$C173)</f>
        <v>0</v>
      </c>
      <c r="M173" s="3094" t="s">
        <v>6797</v>
      </c>
      <c r="N173" s="3073"/>
      <c r="O173" s="3100"/>
      <c r="P173" s="3101"/>
      <c r="Q173" s="3101"/>
      <c r="R173" s="3101"/>
      <c r="S173" s="3102" t="s">
        <v>295</v>
      </c>
      <c r="T173" s="3102" t="s">
        <v>213</v>
      </c>
      <c r="U173" s="3103">
        <v>1601</v>
      </c>
      <c r="V173" s="3103" t="s">
        <v>295</v>
      </c>
      <c r="W173" s="3103" t="s">
        <v>6791</v>
      </c>
      <c r="X173" s="3103" t="s">
        <v>6794</v>
      </c>
      <c r="Y173" s="3104" t="s">
        <v>164</v>
      </c>
    </row>
    <row r="174" spans="1:25" ht="36" hidden="1">
      <c r="A174" s="1304"/>
      <c r="B174" s="643">
        <v>1601</v>
      </c>
      <c r="C174" s="643" t="s">
        <v>1136</v>
      </c>
      <c r="D174" s="3088">
        <v>2</v>
      </c>
      <c r="E174" s="3089" t="str">
        <f t="shared" si="17"/>
        <v>固定资产</v>
      </c>
      <c r="F174" s="3090" t="s">
        <v>1137</v>
      </c>
      <c r="G174" s="3091">
        <f t="shared" si="18"/>
        <v>11018.74</v>
      </c>
      <c r="H174" s="3092" t="s">
        <v>6793</v>
      </c>
      <c r="I174" s="3094" t="s">
        <v>6797</v>
      </c>
      <c r="J174" s="3073"/>
      <c r="K174" s="3091">
        <f t="shared" si="22"/>
        <v>16540.18</v>
      </c>
      <c r="L174" s="3072" t="s">
        <v>6793</v>
      </c>
      <c r="M174" s="3094" t="s">
        <v>6797</v>
      </c>
      <c r="N174" s="3073"/>
      <c r="O174" s="3100"/>
      <c r="P174" s="3101"/>
      <c r="Q174" s="3101"/>
      <c r="R174" s="3101"/>
      <c r="S174" s="3102" t="s">
        <v>295</v>
      </c>
      <c r="T174" s="3102" t="s">
        <v>213</v>
      </c>
      <c r="U174" s="3103">
        <v>1601</v>
      </c>
      <c r="V174" s="3103" t="s">
        <v>295</v>
      </c>
      <c r="W174" s="3103" t="s">
        <v>6791</v>
      </c>
      <c r="X174" s="3103" t="s">
        <v>213</v>
      </c>
      <c r="Y174" s="3104" t="s">
        <v>164</v>
      </c>
    </row>
    <row r="175" spans="1:25" ht="18" hidden="1">
      <c r="A175" s="1304"/>
      <c r="B175" s="643">
        <v>1601</v>
      </c>
      <c r="C175" s="643" t="s">
        <v>1156</v>
      </c>
      <c r="D175" s="3088">
        <v>2</v>
      </c>
      <c r="E175" s="3089" t="str">
        <f t="shared" si="17"/>
        <v>固定资产</v>
      </c>
      <c r="F175" s="3090" t="s">
        <v>1157</v>
      </c>
      <c r="G175" s="3091">
        <f t="shared" si="18"/>
        <v>11018.74</v>
      </c>
      <c r="H175" s="3092" t="s">
        <v>6793</v>
      </c>
      <c r="I175" s="3094" t="s">
        <v>6797</v>
      </c>
      <c r="J175" s="3073"/>
      <c r="K175" s="3091">
        <f t="shared" si="22"/>
        <v>16540.18</v>
      </c>
      <c r="L175" s="3072" t="s">
        <v>6793</v>
      </c>
      <c r="M175" s="3094" t="s">
        <v>6797</v>
      </c>
      <c r="N175" s="3073"/>
      <c r="O175" s="3100"/>
      <c r="P175" s="3101"/>
      <c r="Q175" s="3101"/>
      <c r="R175" s="3101"/>
      <c r="S175" s="3102" t="s">
        <v>295</v>
      </c>
      <c r="T175" s="3102" t="s">
        <v>213</v>
      </c>
      <c r="U175" s="3103">
        <v>1601</v>
      </c>
      <c r="V175" s="3103" t="s">
        <v>295</v>
      </c>
      <c r="W175" s="3103" t="s">
        <v>6791</v>
      </c>
      <c r="X175" s="3103" t="s">
        <v>213</v>
      </c>
      <c r="Y175" s="3104" t="s">
        <v>164</v>
      </c>
    </row>
    <row r="176" spans="1:25" ht="24" hidden="1">
      <c r="A176" s="1304"/>
      <c r="B176" s="643">
        <v>1601</v>
      </c>
      <c r="C176" s="643" t="s">
        <v>1162</v>
      </c>
      <c r="D176" s="3088">
        <v>2</v>
      </c>
      <c r="E176" s="3089" t="str">
        <f t="shared" si="17"/>
        <v>固定资产</v>
      </c>
      <c r="F176" s="3090" t="s">
        <v>1163</v>
      </c>
      <c r="G176" s="3091">
        <f t="shared" si="18"/>
        <v>11018.74</v>
      </c>
      <c r="H176" s="3092">
        <f t="shared" ref="H176:H181" ca="1" si="24">INDIRECT("Notes!CheckA"&amp;$C176)</f>
        <v>0</v>
      </c>
      <c r="I176" s="3094" t="s">
        <v>6797</v>
      </c>
      <c r="J176" s="3073"/>
      <c r="K176" s="3091">
        <f t="shared" si="22"/>
        <v>16540.18</v>
      </c>
      <c r="L176" s="3072" t="s">
        <v>6793</v>
      </c>
      <c r="M176" s="3094" t="s">
        <v>6797</v>
      </c>
      <c r="N176" s="3073"/>
      <c r="O176" s="3100"/>
      <c r="P176" s="3101"/>
      <c r="Q176" s="3101"/>
      <c r="R176" s="3101"/>
      <c r="S176" s="3102" t="s">
        <v>295</v>
      </c>
      <c r="T176" s="3102" t="s">
        <v>213</v>
      </c>
      <c r="U176" s="3103">
        <v>1601</v>
      </c>
      <c r="V176" s="3103" t="s">
        <v>295</v>
      </c>
      <c r="W176" s="3103" t="s">
        <v>6791</v>
      </c>
      <c r="X176" s="3103" t="s">
        <v>213</v>
      </c>
      <c r="Y176" s="3104" t="s">
        <v>164</v>
      </c>
    </row>
    <row r="177" spans="1:25" ht="18">
      <c r="A177" s="1304"/>
      <c r="B177" s="643">
        <v>1606</v>
      </c>
      <c r="C177" s="643" t="s">
        <v>1165</v>
      </c>
      <c r="D177" s="3088">
        <v>1</v>
      </c>
      <c r="E177" s="3089" t="str">
        <f t="shared" si="17"/>
        <v>固定资产清理</v>
      </c>
      <c r="F177" s="3090" t="s">
        <v>1166</v>
      </c>
      <c r="G177" s="3091">
        <f t="shared" si="18"/>
        <v>0</v>
      </c>
      <c r="H177" s="3092">
        <f t="shared" ca="1" si="24"/>
        <v>0</v>
      </c>
      <c r="I177" s="3094">
        <f ca="1">IF(AND(LEN(G177)&gt;0,LEN(H177)&gt;0),ROUND(SUM(G177)-SUM(H177),2),"")</f>
        <v>0</v>
      </c>
      <c r="J177" s="3073" t="str">
        <f ca="1">IF(ISNA(I177),"N/A",IF(I177=0,"√","？"))</f>
        <v>√</v>
      </c>
      <c r="K177" s="3091">
        <f t="shared" si="22"/>
        <v>0</v>
      </c>
      <c r="L177" s="3072">
        <f ca="1">INDIRECT("Notes!CheckB"&amp;$C177)</f>
        <v>0</v>
      </c>
      <c r="M177" s="3094">
        <f ca="1">IF(AND(LEN(K177)&gt;0,LEN(L177)&gt;0),ROUND(SUM(K177)-SUM(L177),2),"")</f>
        <v>0</v>
      </c>
      <c r="N177" s="3073" t="str">
        <f ca="1">IF(ISNA(M177),"N/A",IF(M177=0,"√","？"))</f>
        <v>√</v>
      </c>
      <c r="O177" s="3100"/>
      <c r="P177" s="3101"/>
      <c r="Q177" s="3101"/>
      <c r="R177" s="3101"/>
      <c r="S177" s="3102" t="s">
        <v>295</v>
      </c>
      <c r="T177" s="3102" t="s">
        <v>213</v>
      </c>
      <c r="U177" s="3103"/>
      <c r="V177" s="3103" t="s">
        <v>295</v>
      </c>
      <c r="W177" s="3103" t="s">
        <v>6791</v>
      </c>
      <c r="X177" s="3103" t="s">
        <v>6792</v>
      </c>
      <c r="Y177" s="3104" t="s">
        <v>164</v>
      </c>
    </row>
    <row r="178" spans="1:25" ht="18" hidden="1">
      <c r="A178" s="1304"/>
      <c r="B178" s="643">
        <v>1606</v>
      </c>
      <c r="C178" s="643" t="s">
        <v>1170</v>
      </c>
      <c r="D178" s="3088">
        <v>2</v>
      </c>
      <c r="E178" s="3089" t="str">
        <f t="shared" si="17"/>
        <v>固定资产清理</v>
      </c>
      <c r="F178" s="3090" t="s">
        <v>6445</v>
      </c>
      <c r="G178" s="3091">
        <f t="shared" si="18"/>
        <v>0</v>
      </c>
      <c r="H178" s="3092">
        <f t="shared" ca="1" si="24"/>
        <v>0</v>
      </c>
      <c r="I178" s="3094" t="s">
        <v>6797</v>
      </c>
      <c r="J178" s="3073"/>
      <c r="K178" s="3091">
        <f t="shared" si="22"/>
        <v>0</v>
      </c>
      <c r="L178" s="3072">
        <f ca="1">INDIRECT("Notes!CheckB"&amp;$C178)</f>
        <v>0</v>
      </c>
      <c r="M178" s="3094" t="s">
        <v>6797</v>
      </c>
      <c r="N178" s="3073"/>
      <c r="O178" s="3100"/>
      <c r="P178" s="3101"/>
      <c r="Q178" s="3101"/>
      <c r="R178" s="3101"/>
      <c r="S178" s="3102" t="s">
        <v>295</v>
      </c>
      <c r="T178" s="3102" t="s">
        <v>213</v>
      </c>
      <c r="U178" s="3103"/>
      <c r="V178" s="3103" t="s">
        <v>295</v>
      </c>
      <c r="W178" s="3103" t="s">
        <v>6791</v>
      </c>
      <c r="X178" s="3103" t="s">
        <v>213</v>
      </c>
      <c r="Y178" s="3104" t="s">
        <v>164</v>
      </c>
    </row>
    <row r="179" spans="1:25" ht="18">
      <c r="A179" s="1304"/>
      <c r="B179" s="643">
        <v>1616</v>
      </c>
      <c r="C179" s="643" t="s">
        <v>1174</v>
      </c>
      <c r="D179" s="3088">
        <v>1</v>
      </c>
      <c r="E179" s="3089" t="str">
        <f t="shared" si="17"/>
        <v>在建工程（报表项目）</v>
      </c>
      <c r="F179" s="3090" t="s">
        <v>1175</v>
      </c>
      <c r="G179" s="3091">
        <f t="shared" si="18"/>
        <v>0</v>
      </c>
      <c r="H179" s="3092">
        <f t="shared" ca="1" si="24"/>
        <v>0</v>
      </c>
      <c r="I179" s="3094">
        <f ca="1">IF(AND(LEN(G179)&gt;0,LEN(H179)&gt;0),ROUND(SUM(G179)-SUM(H179),2),"")</f>
        <v>0</v>
      </c>
      <c r="J179" s="3073" t="str">
        <f ca="1">IF(ISNA(I179),"N/A",IF(I179=0,"√","？"))</f>
        <v>√</v>
      </c>
      <c r="K179" s="3091">
        <f t="shared" si="22"/>
        <v>0</v>
      </c>
      <c r="L179" s="3072">
        <f ca="1">INDIRECT("Notes!CheckB"&amp;$C179)</f>
        <v>0</v>
      </c>
      <c r="M179" s="3094">
        <f ca="1">IF(AND(LEN(K179)&gt;0,LEN(L179)&gt;0),ROUND(SUM(K179)-SUM(L179),2),"")</f>
        <v>0</v>
      </c>
      <c r="N179" s="3073" t="str">
        <f ca="1">IF(ISNA(M179),"N/A",IF(M179=0,"√","？"))</f>
        <v>√</v>
      </c>
      <c r="O179" s="3100"/>
      <c r="P179" s="3101"/>
      <c r="Q179" s="3101"/>
      <c r="R179" s="3101"/>
      <c r="S179" s="3102" t="s">
        <v>295</v>
      </c>
      <c r="T179" s="3102" t="s">
        <v>213</v>
      </c>
      <c r="U179" s="3103"/>
      <c r="V179" s="3103" t="s">
        <v>295</v>
      </c>
      <c r="W179" s="3103" t="s">
        <v>6791</v>
      </c>
      <c r="X179" s="3103" t="s">
        <v>6792</v>
      </c>
      <c r="Y179" s="3104" t="s">
        <v>164</v>
      </c>
    </row>
    <row r="180" spans="1:25" ht="18">
      <c r="A180" s="1304"/>
      <c r="B180" s="643">
        <v>1604</v>
      </c>
      <c r="C180" s="643" t="s">
        <v>1179</v>
      </c>
      <c r="D180" s="3088">
        <v>1</v>
      </c>
      <c r="E180" s="3089" t="str">
        <f t="shared" si="17"/>
        <v>在建工程</v>
      </c>
      <c r="F180" s="3090" t="s">
        <v>1180</v>
      </c>
      <c r="G180" s="3091">
        <f t="shared" si="18"/>
        <v>0</v>
      </c>
      <c r="H180" s="3092">
        <f t="shared" ca="1" si="24"/>
        <v>0</v>
      </c>
      <c r="I180" s="3094">
        <f ca="1">IF(AND(LEN(G180)&gt;0,LEN(H180)&gt;0),ROUND(SUM(G180)-SUM(H180),2),"")</f>
        <v>0</v>
      </c>
      <c r="J180" s="3073" t="str">
        <f ca="1">IF(ISNA(I180),"N/A",IF(I180=0,"√","？"))</f>
        <v>√</v>
      </c>
      <c r="K180" s="3091">
        <f t="shared" si="22"/>
        <v>0</v>
      </c>
      <c r="L180" s="3072">
        <f ca="1">INDIRECT("Notes!CheckB"&amp;$C180)</f>
        <v>0</v>
      </c>
      <c r="M180" s="3094">
        <f ca="1">IF(AND(LEN(K180)&gt;0,LEN(L180)&gt;0),ROUND(SUM(K180)-SUM(L180),2),"")</f>
        <v>0</v>
      </c>
      <c r="N180" s="3073" t="str">
        <f ca="1">IF(ISNA(M180),"N/A",IF(M180=0,"√","？"))</f>
        <v>√</v>
      </c>
      <c r="O180" s="3100"/>
      <c r="P180" s="3101"/>
      <c r="Q180" s="3101"/>
      <c r="R180" s="3101"/>
      <c r="S180" s="3102" t="s">
        <v>295</v>
      </c>
      <c r="T180" s="3102" t="s">
        <v>213</v>
      </c>
      <c r="U180" s="3103"/>
      <c r="V180" s="3103" t="s">
        <v>295</v>
      </c>
      <c r="W180" s="3103" t="s">
        <v>6791</v>
      </c>
      <c r="X180" s="3103" t="s">
        <v>6792</v>
      </c>
      <c r="Y180" s="3104" t="s">
        <v>164</v>
      </c>
    </row>
    <row r="181" spans="1:25" ht="24" hidden="1">
      <c r="A181" s="1304"/>
      <c r="B181" s="643">
        <v>1604</v>
      </c>
      <c r="C181" s="643" t="s">
        <v>1190</v>
      </c>
      <c r="D181" s="3088">
        <v>2</v>
      </c>
      <c r="E181" s="3089" t="str">
        <f t="shared" si="17"/>
        <v>在建工程</v>
      </c>
      <c r="F181" s="3090" t="s">
        <v>1191</v>
      </c>
      <c r="G181" s="3091">
        <f t="shared" si="18"/>
        <v>0</v>
      </c>
      <c r="H181" s="3092">
        <f t="shared" ca="1" si="24"/>
        <v>0</v>
      </c>
      <c r="I181" s="3094" t="s">
        <v>6797</v>
      </c>
      <c r="J181" s="3073"/>
      <c r="K181" s="3091">
        <f t="shared" si="22"/>
        <v>0</v>
      </c>
      <c r="L181" s="3072">
        <f ca="1">INDIRECT("Notes!CheckB"&amp;$C181)</f>
        <v>0</v>
      </c>
      <c r="M181" s="3094" t="s">
        <v>6797</v>
      </c>
      <c r="N181" s="3073"/>
      <c r="O181" s="3100"/>
      <c r="P181" s="3101"/>
      <c r="Q181" s="3101"/>
      <c r="R181" s="3101"/>
      <c r="S181" s="3102" t="s">
        <v>295</v>
      </c>
      <c r="T181" s="3102" t="s">
        <v>213</v>
      </c>
      <c r="U181" s="3103"/>
      <c r="V181" s="3103" t="s">
        <v>295</v>
      </c>
      <c r="W181" s="3103" t="s">
        <v>6791</v>
      </c>
      <c r="X181" s="3103" t="s">
        <v>6792</v>
      </c>
      <c r="Y181" s="3104" t="s">
        <v>164</v>
      </c>
    </row>
    <row r="182" spans="1:25" ht="24" hidden="1">
      <c r="A182" s="1304"/>
      <c r="B182" s="643">
        <v>1604</v>
      </c>
      <c r="C182" s="643" t="s">
        <v>1193</v>
      </c>
      <c r="D182" s="3088">
        <v>2</v>
      </c>
      <c r="E182" s="3089" t="str">
        <f t="shared" si="17"/>
        <v>在建工程</v>
      </c>
      <c r="F182" s="3090" t="s">
        <v>1194</v>
      </c>
      <c r="G182" s="3091">
        <f t="shared" si="18"/>
        <v>0</v>
      </c>
      <c r="H182" s="3092" t="s">
        <v>6793</v>
      </c>
      <c r="I182" s="3094" t="s">
        <v>6797</v>
      </c>
      <c r="J182" s="3073"/>
      <c r="K182" s="3091">
        <f t="shared" si="22"/>
        <v>0</v>
      </c>
      <c r="L182" s="3072" t="s">
        <v>6793</v>
      </c>
      <c r="M182" s="3094" t="s">
        <v>6797</v>
      </c>
      <c r="N182" s="3073"/>
      <c r="O182" s="3100"/>
      <c r="P182" s="3101"/>
      <c r="Q182" s="3101"/>
      <c r="R182" s="3101"/>
      <c r="S182" s="3102" t="s">
        <v>295</v>
      </c>
      <c r="T182" s="3102" t="s">
        <v>213</v>
      </c>
      <c r="U182" s="3103"/>
      <c r="V182" s="3103" t="s">
        <v>295</v>
      </c>
      <c r="W182" s="3103" t="s">
        <v>6791</v>
      </c>
      <c r="X182" s="3103" t="s">
        <v>6792</v>
      </c>
      <c r="Y182" s="3104" t="s">
        <v>164</v>
      </c>
    </row>
    <row r="183" spans="1:25" ht="24" hidden="1">
      <c r="A183" s="1304"/>
      <c r="B183" s="643">
        <v>1604</v>
      </c>
      <c r="C183" s="643" t="s">
        <v>1186</v>
      </c>
      <c r="D183" s="3088">
        <v>2</v>
      </c>
      <c r="E183" s="3089" t="str">
        <f t="shared" si="17"/>
        <v>在建工程</v>
      </c>
      <c r="F183" s="3090" t="s">
        <v>6446</v>
      </c>
      <c r="G183" s="3091">
        <f t="shared" si="18"/>
        <v>0</v>
      </c>
      <c r="H183" s="3092">
        <f t="shared" ref="H183:H190" ca="1" si="25">INDIRECT("Notes!CheckA"&amp;$C183)</f>
        <v>0</v>
      </c>
      <c r="I183" s="3094" t="s">
        <v>6797</v>
      </c>
      <c r="J183" s="3073"/>
      <c r="K183" s="3091">
        <f t="shared" si="22"/>
        <v>0</v>
      </c>
      <c r="L183" s="3072">
        <f ca="1">INDIRECT("Notes!CheckB"&amp;$C183)</f>
        <v>0</v>
      </c>
      <c r="M183" s="3094" t="s">
        <v>6797</v>
      </c>
      <c r="N183" s="3073"/>
      <c r="O183" s="3100"/>
      <c r="P183" s="3101"/>
      <c r="Q183" s="3101"/>
      <c r="R183" s="3101"/>
      <c r="S183" s="3102" t="s">
        <v>295</v>
      </c>
      <c r="T183" s="3102" t="s">
        <v>213</v>
      </c>
      <c r="U183" s="3103"/>
      <c r="V183" s="3103" t="s">
        <v>295</v>
      </c>
      <c r="W183" s="3103" t="s">
        <v>145</v>
      </c>
      <c r="X183" s="3103" t="s">
        <v>6794</v>
      </c>
      <c r="Y183" s="3104" t="s">
        <v>164</v>
      </c>
    </row>
    <row r="184" spans="1:25" ht="24" hidden="1">
      <c r="A184" s="1304"/>
      <c r="B184" s="643">
        <v>1604</v>
      </c>
      <c r="C184" s="643" t="s">
        <v>1196</v>
      </c>
      <c r="D184" s="3088">
        <v>2</v>
      </c>
      <c r="E184" s="3089" t="str">
        <f t="shared" si="17"/>
        <v>在建工程</v>
      </c>
      <c r="F184" s="3090" t="s">
        <v>6447</v>
      </c>
      <c r="G184" s="3091">
        <f t="shared" si="18"/>
        <v>0</v>
      </c>
      <c r="H184" s="3092">
        <f t="shared" ca="1" si="25"/>
        <v>0</v>
      </c>
      <c r="I184" s="3094" t="s">
        <v>6797</v>
      </c>
      <c r="J184" s="3073"/>
      <c r="K184" s="3091">
        <f t="shared" si="22"/>
        <v>0</v>
      </c>
      <c r="L184" s="3072" t="s">
        <v>6793</v>
      </c>
      <c r="M184" s="3094" t="s">
        <v>6797</v>
      </c>
      <c r="N184" s="3073"/>
      <c r="O184" s="3100"/>
      <c r="P184" s="3101"/>
      <c r="Q184" s="3101"/>
      <c r="R184" s="3101"/>
      <c r="S184" s="3102" t="s">
        <v>213</v>
      </c>
      <c r="T184" s="3102" t="s">
        <v>213</v>
      </c>
      <c r="U184" s="3103"/>
      <c r="V184" s="3103" t="s">
        <v>295</v>
      </c>
      <c r="W184" s="3103" t="s">
        <v>6796</v>
      </c>
      <c r="X184" s="3103" t="s">
        <v>6795</v>
      </c>
      <c r="Y184" s="3104" t="s">
        <v>164</v>
      </c>
    </row>
    <row r="185" spans="1:25" ht="18">
      <c r="A185" s="1304"/>
      <c r="B185" s="643">
        <v>1605</v>
      </c>
      <c r="C185" s="643" t="s">
        <v>1198</v>
      </c>
      <c r="D185" s="3088">
        <v>1</v>
      </c>
      <c r="E185" s="3089" t="str">
        <f t="shared" si="17"/>
        <v>工程物资</v>
      </c>
      <c r="F185" s="3090" t="s">
        <v>1199</v>
      </c>
      <c r="G185" s="3091">
        <f t="shared" si="18"/>
        <v>0</v>
      </c>
      <c r="H185" s="3092">
        <f t="shared" ca="1" si="25"/>
        <v>0</v>
      </c>
      <c r="I185" s="3094">
        <f ca="1">IF(AND(LEN(G185)&gt;0,LEN(H185)&gt;0),ROUND(SUM(G185)-SUM(H185),2),"")</f>
        <v>0</v>
      </c>
      <c r="J185" s="3073" t="str">
        <f ca="1">IF(ISNA(I185),"N/A",IF(I185=0,"√","？"))</f>
        <v>√</v>
      </c>
      <c r="K185" s="3091">
        <f t="shared" si="22"/>
        <v>0</v>
      </c>
      <c r="L185" s="3072">
        <f ca="1">INDIRECT("Notes!CheckB"&amp;$C185)</f>
        <v>0</v>
      </c>
      <c r="M185" s="3094">
        <f ca="1">IF(AND(LEN(K185)&gt;0,LEN(L185)&gt;0),ROUND(SUM(K185)-SUM(L185),2),"")</f>
        <v>0</v>
      </c>
      <c r="N185" s="3073" t="str">
        <f ca="1">IF(ISNA(M185),"N/A",IF(M185=0,"√","？"))</f>
        <v>√</v>
      </c>
      <c r="O185" s="3100"/>
      <c r="P185" s="3101"/>
      <c r="Q185" s="3101"/>
      <c r="R185" s="3101"/>
      <c r="S185" s="3102" t="s">
        <v>295</v>
      </c>
      <c r="T185" s="3102" t="s">
        <v>213</v>
      </c>
      <c r="U185" s="3103"/>
      <c r="V185" s="3103" t="s">
        <v>295</v>
      </c>
      <c r="W185" s="3103" t="s">
        <v>6791</v>
      </c>
      <c r="X185" s="3103" t="s">
        <v>6792</v>
      </c>
      <c r="Y185" s="3104" t="s">
        <v>164</v>
      </c>
    </row>
    <row r="186" spans="1:25" ht="24">
      <c r="A186" s="1304"/>
      <c r="B186" s="643">
        <v>1621</v>
      </c>
      <c r="C186" s="643" t="s">
        <v>1205</v>
      </c>
      <c r="D186" s="3088">
        <v>1</v>
      </c>
      <c r="E186" s="3089" t="str">
        <f t="shared" si="17"/>
        <v>生产性生物资产</v>
      </c>
      <c r="F186" s="3090" t="s">
        <v>5356</v>
      </c>
      <c r="G186" s="3091">
        <f t="shared" si="18"/>
        <v>0</v>
      </c>
      <c r="H186" s="3092">
        <f t="shared" ca="1" si="25"/>
        <v>0</v>
      </c>
      <c r="I186" s="3094">
        <f ca="1">IF(AND(LEN(G186)&gt;0,LEN(H186)&gt;0),ROUND(SUM(G186)-SUM(H186),2),"")</f>
        <v>0</v>
      </c>
      <c r="J186" s="3073" t="str">
        <f ca="1">IF(ISNA(I186),"N/A",IF(I186=0,"√","？"))</f>
        <v>√</v>
      </c>
      <c r="K186" s="3091">
        <f t="shared" si="22"/>
        <v>0</v>
      </c>
      <c r="L186" s="3072">
        <f ca="1">INDIRECT("Notes!CheckB"&amp;$C186)</f>
        <v>0</v>
      </c>
      <c r="M186" s="3094">
        <f ca="1">IF(AND(LEN(K186)&gt;0,LEN(L186)&gt;0),ROUND(SUM(K186)-SUM(L186),2),"")</f>
        <v>0</v>
      </c>
      <c r="N186" s="3073" t="str">
        <f ca="1">IF(ISNA(M186),"N/A",IF(M186=0,"√","？"))</f>
        <v>√</v>
      </c>
      <c r="O186" s="3100"/>
      <c r="P186" s="3101"/>
      <c r="Q186" s="3101"/>
      <c r="R186" s="3101"/>
      <c r="S186" s="3102" t="s">
        <v>295</v>
      </c>
      <c r="T186" s="3102" t="s">
        <v>213</v>
      </c>
      <c r="U186" s="3103">
        <v>1621</v>
      </c>
      <c r="V186" s="3103" t="s">
        <v>295</v>
      </c>
      <c r="W186" s="3103" t="s">
        <v>6791</v>
      </c>
      <c r="X186" s="3103" t="s">
        <v>6792</v>
      </c>
      <c r="Y186" s="3104" t="s">
        <v>164</v>
      </c>
    </row>
    <row r="187" spans="1:25" ht="24" hidden="1">
      <c r="A187" s="1304"/>
      <c r="B187" s="643">
        <v>1621</v>
      </c>
      <c r="C187" s="643" t="s">
        <v>1223</v>
      </c>
      <c r="D187" s="3088">
        <v>2</v>
      </c>
      <c r="E187" s="3089" t="str">
        <f t="shared" si="17"/>
        <v>生产性生物资产</v>
      </c>
      <c r="F187" s="3090" t="s">
        <v>1224</v>
      </c>
      <c r="G187" s="3091">
        <f t="shared" si="18"/>
        <v>0</v>
      </c>
      <c r="H187" s="3092">
        <f t="shared" ca="1" si="25"/>
        <v>0</v>
      </c>
      <c r="I187" s="3094" t="s">
        <v>6797</v>
      </c>
      <c r="J187" s="3073"/>
      <c r="K187" s="3091">
        <f t="shared" si="22"/>
        <v>0</v>
      </c>
      <c r="L187" s="3072">
        <f ca="1">INDIRECT("Notes!CheckB"&amp;$C187)</f>
        <v>0</v>
      </c>
      <c r="M187" s="3094" t="s">
        <v>6797</v>
      </c>
      <c r="N187" s="3073"/>
      <c r="O187" s="3100"/>
      <c r="P187" s="3101"/>
      <c r="Q187" s="3101"/>
      <c r="R187" s="3101"/>
      <c r="S187" s="3102" t="s">
        <v>295</v>
      </c>
      <c r="T187" s="3102" t="s">
        <v>213</v>
      </c>
      <c r="U187" s="3103">
        <v>1621</v>
      </c>
      <c r="V187" s="3103" t="s">
        <v>295</v>
      </c>
      <c r="W187" s="3103" t="s">
        <v>6791</v>
      </c>
      <c r="X187" s="3103" t="s">
        <v>6792</v>
      </c>
      <c r="Y187" s="3104" t="s">
        <v>164</v>
      </c>
    </row>
    <row r="188" spans="1:25" ht="18">
      <c r="A188" s="1304"/>
      <c r="B188" s="643">
        <v>1631</v>
      </c>
      <c r="C188" s="643" t="s">
        <v>1233</v>
      </c>
      <c r="D188" s="3088">
        <v>1</v>
      </c>
      <c r="E188" s="3089" t="str">
        <f t="shared" si="17"/>
        <v>油气资产</v>
      </c>
      <c r="F188" s="3090" t="s">
        <v>1234</v>
      </c>
      <c r="G188" s="3091">
        <f t="shared" si="18"/>
        <v>0</v>
      </c>
      <c r="H188" s="3092">
        <f t="shared" ca="1" si="25"/>
        <v>0</v>
      </c>
      <c r="I188" s="3094">
        <f ca="1">IF(AND(LEN(G188)&gt;0,LEN(H188)&gt;0),ROUND(SUM(G188)-SUM(H188),2),"")</f>
        <v>0</v>
      </c>
      <c r="J188" s="3073" t="str">
        <f ca="1">IF(ISNA(I188),"N/A",IF(I188=0,"√","？"))</f>
        <v>√</v>
      </c>
      <c r="K188" s="3091">
        <f t="shared" si="22"/>
        <v>0</v>
      </c>
      <c r="L188" s="3072">
        <f ca="1">INDIRECT("Notes!CheckB"&amp;$C188)</f>
        <v>0</v>
      </c>
      <c r="M188" s="3094">
        <f ca="1">IF(AND(LEN(K188)&gt;0,LEN(L188)&gt;0),ROUND(SUM(K188)-SUM(L188),2),"")</f>
        <v>0</v>
      </c>
      <c r="N188" s="3073" t="str">
        <f ca="1">IF(ISNA(M188),"N/A",IF(M188=0,"√","？"))</f>
        <v>√</v>
      </c>
      <c r="O188" s="3100"/>
      <c r="P188" s="3101"/>
      <c r="Q188" s="3101"/>
      <c r="R188" s="3101"/>
      <c r="S188" s="3102" t="s">
        <v>295</v>
      </c>
      <c r="T188" s="3102" t="s">
        <v>213</v>
      </c>
      <c r="U188" s="3103">
        <v>1631</v>
      </c>
      <c r="V188" s="3103" t="s">
        <v>295</v>
      </c>
      <c r="W188" s="3103" t="s">
        <v>6791</v>
      </c>
      <c r="X188" s="3103" t="s">
        <v>6792</v>
      </c>
      <c r="Y188" s="3104" t="s">
        <v>164</v>
      </c>
    </row>
    <row r="189" spans="1:25" ht="18">
      <c r="A189" s="1304"/>
      <c r="B189" s="643">
        <v>1701</v>
      </c>
      <c r="C189" s="643" t="s">
        <v>1245</v>
      </c>
      <c r="D189" s="3088">
        <v>1</v>
      </c>
      <c r="E189" s="3089" t="str">
        <f t="shared" si="17"/>
        <v>无形资产</v>
      </c>
      <c r="F189" s="3090" t="s">
        <v>1280</v>
      </c>
      <c r="G189" s="3091">
        <f t="shared" si="18"/>
        <v>0</v>
      </c>
      <c r="H189" s="3092">
        <f t="shared" ca="1" si="25"/>
        <v>0</v>
      </c>
      <c r="I189" s="3094">
        <f ca="1">IF(AND(LEN(G189)&gt;0,LEN(H189)&gt;0),ROUND(SUM(G189)-SUM(H189),2),"")</f>
        <v>0</v>
      </c>
      <c r="J189" s="3073" t="str">
        <f ca="1">IF(ISNA(I189),"N/A",IF(I189=0,"√","？"))</f>
        <v>√</v>
      </c>
      <c r="K189" s="3091">
        <f t="shared" si="22"/>
        <v>0</v>
      </c>
      <c r="L189" s="3072">
        <f ca="1">INDIRECT("Notes!CheckB"&amp;$C189)</f>
        <v>0</v>
      </c>
      <c r="M189" s="3094">
        <f ca="1">IF(AND(LEN(K189)&gt;0,LEN(L189)&gt;0),ROUND(SUM(K189)-SUM(L189),2),"")</f>
        <v>0</v>
      </c>
      <c r="N189" s="3073" t="str">
        <f ca="1">IF(ISNA(M189),"N/A",IF(M189=0,"√","？"))</f>
        <v>√</v>
      </c>
      <c r="O189" s="3100"/>
      <c r="P189" s="3101"/>
      <c r="Q189" s="3101"/>
      <c r="R189" s="3101"/>
      <c r="S189" s="3102" t="s">
        <v>295</v>
      </c>
      <c r="T189" s="3102" t="s">
        <v>213</v>
      </c>
      <c r="U189" s="3103"/>
      <c r="V189" s="3103" t="s">
        <v>295</v>
      </c>
      <c r="W189" s="3103" t="s">
        <v>6791</v>
      </c>
      <c r="X189" s="3103" t="s">
        <v>6792</v>
      </c>
      <c r="Y189" s="3104" t="s">
        <v>164</v>
      </c>
    </row>
    <row r="190" spans="1:25" ht="24" hidden="1">
      <c r="A190" s="1304"/>
      <c r="B190" s="643">
        <v>1701</v>
      </c>
      <c r="C190" s="643" t="s">
        <v>1264</v>
      </c>
      <c r="D190" s="3088">
        <v>2</v>
      </c>
      <c r="E190" s="3089" t="str">
        <f t="shared" si="17"/>
        <v>无形资产</v>
      </c>
      <c r="F190" s="3090" t="s">
        <v>1265</v>
      </c>
      <c r="G190" s="3091">
        <f t="shared" si="18"/>
        <v>0</v>
      </c>
      <c r="H190" s="3092">
        <f t="shared" ca="1" si="25"/>
        <v>0</v>
      </c>
      <c r="I190" s="3094" t="s">
        <v>6797</v>
      </c>
      <c r="J190" s="3073"/>
      <c r="K190" s="3091">
        <f t="shared" si="22"/>
        <v>0</v>
      </c>
      <c r="L190" s="3072" t="s">
        <v>6793</v>
      </c>
      <c r="M190" s="3094" t="s">
        <v>6797</v>
      </c>
      <c r="N190" s="3073"/>
      <c r="O190" s="3100"/>
      <c r="P190" s="3101"/>
      <c r="Q190" s="3101"/>
      <c r="R190" s="3101"/>
      <c r="S190" s="3102" t="s">
        <v>295</v>
      </c>
      <c r="T190" s="3102" t="s">
        <v>213</v>
      </c>
      <c r="U190" s="3103"/>
      <c r="V190" s="3103" t="s">
        <v>295</v>
      </c>
      <c r="W190" s="3103" t="s">
        <v>6791</v>
      </c>
      <c r="X190" s="3103" t="s">
        <v>6794</v>
      </c>
      <c r="Y190" s="3104" t="s">
        <v>164</v>
      </c>
    </row>
    <row r="191" spans="1:25" ht="36" hidden="1">
      <c r="A191" s="1304"/>
      <c r="B191" s="643">
        <v>1701</v>
      </c>
      <c r="C191" s="643" t="s">
        <v>1269</v>
      </c>
      <c r="D191" s="3088">
        <v>2</v>
      </c>
      <c r="E191" s="3089" t="str">
        <f t="shared" si="17"/>
        <v>无形资产</v>
      </c>
      <c r="F191" s="3090" t="s">
        <v>1270</v>
      </c>
      <c r="G191" s="3091">
        <f t="shared" si="18"/>
        <v>0</v>
      </c>
      <c r="H191" s="3092" t="s">
        <v>6793</v>
      </c>
      <c r="I191" s="3094" t="s">
        <v>6797</v>
      </c>
      <c r="J191" s="3073"/>
      <c r="K191" s="3091">
        <f t="shared" si="22"/>
        <v>0</v>
      </c>
      <c r="L191" s="3072" t="s">
        <v>6793</v>
      </c>
      <c r="M191" s="3094" t="s">
        <v>6797</v>
      </c>
      <c r="N191" s="3073"/>
      <c r="O191" s="3100"/>
      <c r="P191" s="3101"/>
      <c r="Q191" s="3101"/>
      <c r="R191" s="3101"/>
      <c r="S191" s="3102" t="s">
        <v>295</v>
      </c>
      <c r="T191" s="3102" t="s">
        <v>213</v>
      </c>
      <c r="U191" s="3103"/>
      <c r="V191" s="3103" t="s">
        <v>295</v>
      </c>
      <c r="W191" s="3103" t="s">
        <v>6791</v>
      </c>
      <c r="X191" s="3103" t="s">
        <v>213</v>
      </c>
      <c r="Y191" s="3104" t="s">
        <v>164</v>
      </c>
    </row>
    <row r="192" spans="1:25" ht="24" hidden="1">
      <c r="A192" s="1304"/>
      <c r="B192" s="643">
        <v>1701</v>
      </c>
      <c r="C192" s="643" t="s">
        <v>6053</v>
      </c>
      <c r="D192" s="3088">
        <v>2</v>
      </c>
      <c r="E192" s="3089" t="str">
        <f t="shared" si="17"/>
        <v>无形资产</v>
      </c>
      <c r="F192" s="3090" t="s">
        <v>6055</v>
      </c>
      <c r="G192" s="3091">
        <f t="shared" si="18"/>
        <v>0</v>
      </c>
      <c r="H192" s="3092">
        <f ca="1">INDIRECT("Notes!CheckA"&amp;$C192)</f>
        <v>0</v>
      </c>
      <c r="I192" s="3094" t="s">
        <v>6797</v>
      </c>
      <c r="J192" s="3073"/>
      <c r="K192" s="3091">
        <f t="shared" si="22"/>
        <v>0</v>
      </c>
      <c r="L192" s="3072" t="s">
        <v>6793</v>
      </c>
      <c r="M192" s="3094" t="s">
        <v>6797</v>
      </c>
      <c r="N192" s="3073"/>
      <c r="O192" s="3100"/>
      <c r="P192" s="3101"/>
      <c r="Q192" s="3101"/>
      <c r="R192" s="3101"/>
      <c r="S192" s="3102" t="s">
        <v>295</v>
      </c>
      <c r="T192" s="3102" t="s">
        <v>213</v>
      </c>
      <c r="U192" s="3103"/>
      <c r="V192" s="3103" t="s">
        <v>295</v>
      </c>
      <c r="W192" s="3103" t="s">
        <v>6791</v>
      </c>
      <c r="X192" s="3103" t="s">
        <v>213</v>
      </c>
      <c r="Y192" s="3104" t="s">
        <v>164</v>
      </c>
    </row>
    <row r="193" spans="1:25" ht="18" hidden="1">
      <c r="A193" s="1304"/>
      <c r="B193" s="643">
        <v>1701</v>
      </c>
      <c r="C193" s="643" t="s">
        <v>6054</v>
      </c>
      <c r="D193" s="3088">
        <v>2</v>
      </c>
      <c r="E193" s="3089" t="str">
        <f t="shared" si="17"/>
        <v>无形资产</v>
      </c>
      <c r="F193" s="3090" t="s">
        <v>6056</v>
      </c>
      <c r="G193" s="3091">
        <f t="shared" si="18"/>
        <v>0</v>
      </c>
      <c r="H193" s="3092">
        <f ca="1">INDIRECT("Notes!CheckA"&amp;$C193)</f>
        <v>0</v>
      </c>
      <c r="I193" s="3094" t="s">
        <v>6797</v>
      </c>
      <c r="J193" s="3073"/>
      <c r="K193" s="3091">
        <f t="shared" si="22"/>
        <v>0</v>
      </c>
      <c r="L193" s="3072">
        <f ca="1">INDIRECT("Notes!CheckB"&amp;$C193)</f>
        <v>0</v>
      </c>
      <c r="M193" s="3094" t="s">
        <v>6797</v>
      </c>
      <c r="N193" s="3073"/>
      <c r="O193" s="3100"/>
      <c r="P193" s="3101"/>
      <c r="Q193" s="3101"/>
      <c r="R193" s="3101"/>
      <c r="S193" s="3102" t="s">
        <v>295</v>
      </c>
      <c r="T193" s="3102" t="s">
        <v>213</v>
      </c>
      <c r="U193" s="3103"/>
      <c r="V193" s="3103" t="s">
        <v>295</v>
      </c>
      <c r="W193" s="3103" t="s">
        <v>6791</v>
      </c>
      <c r="X193" s="3103" t="s">
        <v>213</v>
      </c>
      <c r="Y193" s="3104" t="s">
        <v>164</v>
      </c>
    </row>
    <row r="194" spans="1:25" ht="24" hidden="1">
      <c r="A194" s="1304"/>
      <c r="B194" s="643">
        <v>1701</v>
      </c>
      <c r="C194" s="643" t="s">
        <v>1274</v>
      </c>
      <c r="D194" s="3088">
        <v>2</v>
      </c>
      <c r="E194" s="3089" t="str">
        <f t="shared" si="17"/>
        <v>无形资产</v>
      </c>
      <c r="F194" s="3090" t="s">
        <v>1275</v>
      </c>
      <c r="G194" s="3091">
        <f t="shared" si="18"/>
        <v>0</v>
      </c>
      <c r="H194" s="3092" t="s">
        <v>6793</v>
      </c>
      <c r="I194" s="3094" t="s">
        <v>6797</v>
      </c>
      <c r="J194" s="3073"/>
      <c r="K194" s="3091">
        <f t="shared" si="22"/>
        <v>0</v>
      </c>
      <c r="L194" s="3072" t="s">
        <v>6793</v>
      </c>
      <c r="M194" s="3094" t="s">
        <v>6797</v>
      </c>
      <c r="N194" s="3073"/>
      <c r="O194" s="3100"/>
      <c r="P194" s="3101"/>
      <c r="Q194" s="3101"/>
      <c r="R194" s="3101"/>
      <c r="S194" s="3102" t="s">
        <v>295</v>
      </c>
      <c r="T194" s="3102" t="s">
        <v>213</v>
      </c>
      <c r="U194" s="3103"/>
      <c r="V194" s="3103" t="s">
        <v>295</v>
      </c>
      <c r="W194" s="3103" t="s">
        <v>6791</v>
      </c>
      <c r="X194" s="3103" t="s">
        <v>213</v>
      </c>
      <c r="Y194" s="3104" t="s">
        <v>164</v>
      </c>
    </row>
    <row r="195" spans="1:25" ht="18">
      <c r="A195" s="1304"/>
      <c r="B195" s="643">
        <v>1700</v>
      </c>
      <c r="C195" s="643" t="s">
        <v>6066</v>
      </c>
      <c r="D195" s="3088">
        <v>1</v>
      </c>
      <c r="E195" s="3089" t="str">
        <f t="shared" si="17"/>
        <v>开发支出</v>
      </c>
      <c r="F195" s="3090" t="s">
        <v>1290</v>
      </c>
      <c r="G195" s="3091">
        <f t="shared" si="18"/>
        <v>0</v>
      </c>
      <c r="H195" s="3092">
        <f ca="1">INDIRECT("Notes!CheckA"&amp;$C195)</f>
        <v>0</v>
      </c>
      <c r="I195" s="3094">
        <f ca="1">IF(AND(LEN(G195)&gt;0,LEN(H195)&gt;0),ROUND(SUM(G195)-SUM(H195),2),"")</f>
        <v>0</v>
      </c>
      <c r="J195" s="3073" t="str">
        <f ca="1">IF(ISNA(I195),"N/A",IF(I195=0,"√","？"))</f>
        <v>√</v>
      </c>
      <c r="K195" s="3091">
        <f t="shared" si="22"/>
        <v>0</v>
      </c>
      <c r="L195" s="3072">
        <f ca="1">INDIRECT("Notes!CheckB"&amp;$C195)</f>
        <v>0</v>
      </c>
      <c r="M195" s="3094">
        <f ca="1">IF(AND(LEN(K195)&gt;0,LEN(L195)&gt;0),ROUND(SUM(K195)-SUM(L195),2),"")</f>
        <v>0</v>
      </c>
      <c r="N195" s="3073" t="str">
        <f ca="1">IF(ISNA(M195),"N/A",IF(M195=0,"√","？"))</f>
        <v>√</v>
      </c>
      <c r="O195" s="3100"/>
      <c r="P195" s="3101"/>
      <c r="Q195" s="3101"/>
      <c r="R195" s="3101"/>
      <c r="S195" s="3102" t="s">
        <v>295</v>
      </c>
      <c r="T195" s="3102" t="s">
        <v>213</v>
      </c>
      <c r="U195" s="3103"/>
      <c r="V195" s="3103" t="s">
        <v>295</v>
      </c>
      <c r="W195" s="3103" t="s">
        <v>6791</v>
      </c>
      <c r="X195" s="3103" t="s">
        <v>6792</v>
      </c>
      <c r="Y195" s="3104" t="s">
        <v>164</v>
      </c>
    </row>
    <row r="196" spans="1:25" ht="18">
      <c r="A196" s="1304"/>
      <c r="B196" s="643">
        <v>1711</v>
      </c>
      <c r="C196" s="643" t="s">
        <v>1294</v>
      </c>
      <c r="D196" s="3088">
        <v>1</v>
      </c>
      <c r="E196" s="3089" t="str">
        <f t="shared" si="17"/>
        <v>商誉</v>
      </c>
      <c r="F196" s="3090" t="s">
        <v>1295</v>
      </c>
      <c r="G196" s="3091">
        <f t="shared" si="18"/>
        <v>0</v>
      </c>
      <c r="H196" s="3092">
        <f ca="1">INDIRECT("Notes!CheckA"&amp;$C196)</f>
        <v>0</v>
      </c>
      <c r="I196" s="3094">
        <f ca="1">IF(AND(LEN(G196)&gt;0,LEN(H196)&gt;0),ROUND(SUM(G196)-SUM(H196),2),"")</f>
        <v>0</v>
      </c>
      <c r="J196" s="3073" t="str">
        <f ca="1">IF(ISNA(I196),"N/A",IF(I196=0,"√","？"))</f>
        <v>√</v>
      </c>
      <c r="K196" s="3091">
        <f t="shared" si="22"/>
        <v>0</v>
      </c>
      <c r="L196" s="3072">
        <f ca="1">INDIRECT("Notes!CheckB"&amp;$C196)</f>
        <v>0</v>
      </c>
      <c r="M196" s="3094">
        <f ca="1">IF(AND(LEN(K196)&gt;0,LEN(L196)&gt;0),ROUND(SUM(K196)-SUM(L196),2),"")</f>
        <v>0</v>
      </c>
      <c r="N196" s="3073" t="str">
        <f ca="1">IF(ISNA(M196),"N/A",IF(M196=0,"√","？"))</f>
        <v>√</v>
      </c>
      <c r="O196" s="3100"/>
      <c r="P196" s="3101"/>
      <c r="Q196" s="3101"/>
      <c r="R196" s="3101"/>
      <c r="S196" s="3102" t="s">
        <v>295</v>
      </c>
      <c r="T196" s="3102" t="s">
        <v>213</v>
      </c>
      <c r="U196" s="3103"/>
      <c r="V196" s="3103" t="s">
        <v>295</v>
      </c>
      <c r="W196" s="3103" t="s">
        <v>6791</v>
      </c>
      <c r="X196" s="3103" t="s">
        <v>6792</v>
      </c>
      <c r="Y196" s="3104" t="s">
        <v>164</v>
      </c>
    </row>
    <row r="197" spans="1:25" ht="18" hidden="1">
      <c r="A197" s="1304"/>
      <c r="B197" s="643">
        <v>1711</v>
      </c>
      <c r="C197" s="643" t="s">
        <v>1300</v>
      </c>
      <c r="D197" s="3088">
        <v>2</v>
      </c>
      <c r="E197" s="3089" t="str">
        <f t="shared" si="17"/>
        <v>商誉</v>
      </c>
      <c r="F197" s="3090" t="s">
        <v>583</v>
      </c>
      <c r="G197" s="3091">
        <f t="shared" si="18"/>
        <v>0</v>
      </c>
      <c r="H197" s="3092">
        <f ca="1">INDIRECT("Notes!CheckA"&amp;$C197)</f>
        <v>0</v>
      </c>
      <c r="I197" s="3094" t="s">
        <v>6797</v>
      </c>
      <c r="J197" s="3073"/>
      <c r="K197" s="3091">
        <f t="shared" si="22"/>
        <v>0</v>
      </c>
      <c r="L197" s="3072">
        <f ca="1">INDIRECT("Notes!CheckB"&amp;$C197)</f>
        <v>0</v>
      </c>
      <c r="M197" s="3094" t="s">
        <v>6797</v>
      </c>
      <c r="N197" s="3073"/>
      <c r="O197" s="3100"/>
      <c r="P197" s="3101"/>
      <c r="Q197" s="3101"/>
      <c r="R197" s="3101"/>
      <c r="S197" s="3102" t="s">
        <v>295</v>
      </c>
      <c r="T197" s="3102" t="s">
        <v>213</v>
      </c>
      <c r="U197" s="3103"/>
      <c r="V197" s="3103" t="s">
        <v>295</v>
      </c>
      <c r="W197" s="3103" t="s">
        <v>6791</v>
      </c>
      <c r="X197" s="3103" t="s">
        <v>6792</v>
      </c>
      <c r="Y197" s="3104" t="s">
        <v>164</v>
      </c>
    </row>
    <row r="198" spans="1:25" ht="18">
      <c r="A198" s="1304"/>
      <c r="B198" s="643">
        <v>1801</v>
      </c>
      <c r="C198" s="643" t="s">
        <v>1304</v>
      </c>
      <c r="D198" s="3088">
        <v>1</v>
      </c>
      <c r="E198" s="3089" t="str">
        <f t="shared" si="17"/>
        <v>长期待摊费用</v>
      </c>
      <c r="F198" s="3090" t="s">
        <v>1305</v>
      </c>
      <c r="G198" s="3091">
        <f t="shared" si="18"/>
        <v>0</v>
      </c>
      <c r="H198" s="3092">
        <f ca="1">INDIRECT("Notes!CheckA"&amp;$C198)</f>
        <v>0</v>
      </c>
      <c r="I198" s="3094">
        <f ca="1">IF(AND(LEN(G198)&gt;0,LEN(H198)&gt;0),ROUND(SUM(G198)-SUM(H198),2),"")</f>
        <v>0</v>
      </c>
      <c r="J198" s="3073" t="str">
        <f ca="1">IF(ISNA(I198),"N/A",IF(I198=0,"√","？"))</f>
        <v>√</v>
      </c>
      <c r="K198" s="3091">
        <f t="shared" si="22"/>
        <v>0</v>
      </c>
      <c r="L198" s="3072">
        <f ca="1">INDIRECT("Notes!CheckB"&amp;$C198)</f>
        <v>0</v>
      </c>
      <c r="M198" s="3094">
        <f ca="1">IF(AND(LEN(K198)&gt;0,LEN(L198)&gt;0),ROUND(SUM(K198)-SUM(L198),2),"")</f>
        <v>0</v>
      </c>
      <c r="N198" s="3073" t="str">
        <f ca="1">IF(ISNA(M198),"N/A",IF(M198=0,"√","？"))</f>
        <v>√</v>
      </c>
      <c r="O198" s="3100"/>
      <c r="P198" s="3101"/>
      <c r="Q198" s="3101"/>
      <c r="R198" s="3101"/>
      <c r="S198" s="3102" t="s">
        <v>295</v>
      </c>
      <c r="T198" s="3102" t="s">
        <v>213</v>
      </c>
      <c r="U198" s="3103"/>
      <c r="V198" s="3103" t="s">
        <v>295</v>
      </c>
      <c r="W198" s="3103" t="s">
        <v>6791</v>
      </c>
      <c r="X198" s="3103" t="s">
        <v>6792</v>
      </c>
      <c r="Y198" s="3104" t="s">
        <v>164</v>
      </c>
    </row>
    <row r="199" spans="1:25" ht="18" hidden="1">
      <c r="A199" s="1304"/>
      <c r="B199" s="643">
        <v>1801</v>
      </c>
      <c r="C199" s="643" t="s">
        <v>1310</v>
      </c>
      <c r="D199" s="3088">
        <v>2</v>
      </c>
      <c r="E199" s="3089" t="str">
        <f t="shared" si="17"/>
        <v>长期待摊费用</v>
      </c>
      <c r="F199" s="3090" t="s">
        <v>1311</v>
      </c>
      <c r="G199" s="3091">
        <f t="shared" si="18"/>
        <v>0</v>
      </c>
      <c r="H199" s="3092" t="s">
        <v>6793</v>
      </c>
      <c r="I199" s="3094" t="s">
        <v>6797</v>
      </c>
      <c r="J199" s="3073"/>
      <c r="K199" s="3091">
        <f t="shared" si="22"/>
        <v>0</v>
      </c>
      <c r="L199" s="3072" t="s">
        <v>6793</v>
      </c>
      <c r="M199" s="3094" t="s">
        <v>6797</v>
      </c>
      <c r="N199" s="3073"/>
      <c r="O199" s="3100"/>
      <c r="P199" s="3101"/>
      <c r="Q199" s="3101"/>
      <c r="R199" s="3101"/>
      <c r="S199" s="3102" t="s">
        <v>295</v>
      </c>
      <c r="T199" s="3102" t="s">
        <v>213</v>
      </c>
      <c r="U199" s="3103"/>
      <c r="V199" s="3103" t="s">
        <v>295</v>
      </c>
      <c r="W199" s="3103" t="s">
        <v>6791</v>
      </c>
      <c r="X199" s="3103" t="s">
        <v>213</v>
      </c>
      <c r="Y199" s="3104" t="s">
        <v>164</v>
      </c>
    </row>
    <row r="200" spans="1:25" ht="24">
      <c r="A200" s="1304"/>
      <c r="B200" s="643">
        <v>1811</v>
      </c>
      <c r="C200" s="643" t="s">
        <v>1315</v>
      </c>
      <c r="D200" s="3088">
        <v>1</v>
      </c>
      <c r="E200" s="3089" t="str">
        <f t="shared" si="17"/>
        <v>递延所得税资产</v>
      </c>
      <c r="F200" s="3090" t="s">
        <v>1316</v>
      </c>
      <c r="G200" s="3091">
        <f t="shared" si="18"/>
        <v>937117.56</v>
      </c>
      <c r="H200" s="3092">
        <f ca="1">INDIRECT("Notes!CheckA"&amp;$C200)</f>
        <v>937117.56</v>
      </c>
      <c r="I200" s="3094">
        <f ca="1">IF(AND(LEN(G200)&gt;0,LEN(H200)&gt;0),ROUND(SUM(G200)-SUM(H200),2),"")</f>
        <v>0</v>
      </c>
      <c r="J200" s="3073" t="str">
        <f ca="1">IF(ISNA(I200),"N/A",IF(I200=0,"√","？"))</f>
        <v>√</v>
      </c>
      <c r="K200" s="3091">
        <f t="shared" si="22"/>
        <v>937117.56</v>
      </c>
      <c r="L200" s="3072">
        <f ca="1">INDIRECT("Notes!CheckB"&amp;$C200)</f>
        <v>937117.56</v>
      </c>
      <c r="M200" s="3094">
        <f ca="1">IF(AND(LEN(K200)&gt;0,LEN(L200)&gt;0),ROUND(SUM(K200)-SUM(L200),2),"")</f>
        <v>0</v>
      </c>
      <c r="N200" s="3073" t="str">
        <f ca="1">IF(ISNA(M200),"N/A",IF(M200=0,"√","？"))</f>
        <v>√</v>
      </c>
      <c r="O200" s="3100"/>
      <c r="P200" s="3101"/>
      <c r="Q200" s="3101"/>
      <c r="R200" s="3101"/>
      <c r="S200" s="3102" t="s">
        <v>295</v>
      </c>
      <c r="T200" s="3102" t="s">
        <v>213</v>
      </c>
      <c r="U200" s="3103"/>
      <c r="V200" s="3103" t="s">
        <v>295</v>
      </c>
      <c r="W200" s="3103" t="s">
        <v>6791</v>
      </c>
      <c r="X200" s="3103" t="s">
        <v>6792</v>
      </c>
      <c r="Y200" s="3104" t="s">
        <v>164</v>
      </c>
    </row>
    <row r="201" spans="1:25" ht="24">
      <c r="A201" s="1304"/>
      <c r="B201" s="643">
        <v>2901</v>
      </c>
      <c r="C201" s="643" t="s">
        <v>1321</v>
      </c>
      <c r="D201" s="3088">
        <v>1</v>
      </c>
      <c r="E201" s="3089" t="str">
        <f t="shared" ref="E201:E264" si="26">IF(ISERROR(VLOOKUP($B201,Sheet_Items,2,0)),"        ----",VLOOKUP($B201,Sheet_Items,2,0))</f>
        <v>递延所得税负债</v>
      </c>
      <c r="F201" s="3090" t="s">
        <v>1322</v>
      </c>
      <c r="G201" s="3091">
        <f t="shared" ref="G201:G264" si="27">IF(ISERROR(VLOOKUP($B201,Sheet_Trialbal,6,0)),"        ----",VLOOKUP($B201,Sheet_Trialbal,6,0))</f>
        <v>0</v>
      </c>
      <c r="H201" s="3092">
        <f ca="1">INDIRECT("Notes!CheckA"&amp;$C201)</f>
        <v>0</v>
      </c>
      <c r="I201" s="3094">
        <f ca="1">IF(AND(LEN(G201)&gt;0,LEN(H201)&gt;0),ROUND(SUM(G201)-SUM(H201),2),"")</f>
        <v>0</v>
      </c>
      <c r="J201" s="3073" t="str">
        <f ca="1">IF(ISNA(I201),"N/A",IF(I201=0,"√","？"))</f>
        <v>√</v>
      </c>
      <c r="K201" s="3091">
        <f t="shared" si="22"/>
        <v>0</v>
      </c>
      <c r="L201" s="3072">
        <f ca="1">INDIRECT("Notes!CheckB"&amp;$C201)</f>
        <v>0</v>
      </c>
      <c r="M201" s="3094">
        <f ca="1">IF(AND(LEN(K201)&gt;0,LEN(L201)&gt;0),ROUND(SUM(K201)-SUM(L201),2),"")</f>
        <v>0</v>
      </c>
      <c r="N201" s="3073" t="str">
        <f ca="1">IF(ISNA(M201),"N/A",IF(M201=0,"√","？"))</f>
        <v>√</v>
      </c>
      <c r="O201" s="3100"/>
      <c r="P201" s="3101"/>
      <c r="Q201" s="3101"/>
      <c r="R201" s="3101"/>
      <c r="S201" s="3102" t="s">
        <v>295</v>
      </c>
      <c r="T201" s="3102" t="s">
        <v>213</v>
      </c>
      <c r="U201" s="3103"/>
      <c r="V201" s="3103" t="s">
        <v>295</v>
      </c>
      <c r="W201" s="3103" t="s">
        <v>6791</v>
      </c>
      <c r="X201" s="3103" t="s">
        <v>6792</v>
      </c>
      <c r="Y201" s="3104" t="s">
        <v>164</v>
      </c>
    </row>
    <row r="202" spans="1:25" ht="24" hidden="1">
      <c r="A202" s="1304"/>
      <c r="B202" s="643"/>
      <c r="C202" s="643" t="s">
        <v>1326</v>
      </c>
      <c r="D202" s="3088">
        <v>3</v>
      </c>
      <c r="E202" s="3089" t="str">
        <f t="shared" si="26"/>
        <v xml:space="preserve">        ----</v>
      </c>
      <c r="F202" s="3090" t="s">
        <v>1327</v>
      </c>
      <c r="G202" s="3091" t="str">
        <f t="shared" si="27"/>
        <v xml:space="preserve">        ----</v>
      </c>
      <c r="H202" s="3092" t="s">
        <v>6793</v>
      </c>
      <c r="I202" s="3094" t="s">
        <v>6797</v>
      </c>
      <c r="J202" s="3073"/>
      <c r="K202" s="3091" t="str">
        <f t="shared" si="22"/>
        <v xml:space="preserve">        ----</v>
      </c>
      <c r="L202" s="3072" t="s">
        <v>6793</v>
      </c>
      <c r="M202" s="3094" t="s">
        <v>6797</v>
      </c>
      <c r="N202" s="3073"/>
      <c r="O202" s="3100"/>
      <c r="P202" s="3101"/>
      <c r="Q202" s="3101"/>
      <c r="R202" s="3101"/>
      <c r="S202" s="3102" t="s">
        <v>295</v>
      </c>
      <c r="T202" s="3102" t="s">
        <v>213</v>
      </c>
      <c r="U202" s="3103"/>
      <c r="V202" s="3103" t="s">
        <v>295</v>
      </c>
      <c r="W202" s="3103" t="s">
        <v>6791</v>
      </c>
      <c r="X202" s="3103" t="s">
        <v>6792</v>
      </c>
      <c r="Y202" s="3104" t="s">
        <v>164</v>
      </c>
    </row>
    <row r="203" spans="1:25" ht="24" hidden="1">
      <c r="A203" s="1304"/>
      <c r="B203" s="643"/>
      <c r="C203" s="643" t="s">
        <v>1331</v>
      </c>
      <c r="D203" s="3088">
        <v>3</v>
      </c>
      <c r="E203" s="3089" t="str">
        <f t="shared" si="26"/>
        <v xml:space="preserve">        ----</v>
      </c>
      <c r="F203" s="3090" t="s">
        <v>1332</v>
      </c>
      <c r="G203" s="3091" t="str">
        <f t="shared" si="27"/>
        <v xml:space="preserve">        ----</v>
      </c>
      <c r="H203" s="3092" t="s">
        <v>6793</v>
      </c>
      <c r="I203" s="3094" t="s">
        <v>6797</v>
      </c>
      <c r="J203" s="3073"/>
      <c r="K203" s="3091" t="str">
        <f t="shared" si="22"/>
        <v xml:space="preserve">        ----</v>
      </c>
      <c r="L203" s="3072" t="s">
        <v>6793</v>
      </c>
      <c r="M203" s="3094" t="s">
        <v>6797</v>
      </c>
      <c r="N203" s="3073"/>
      <c r="O203" s="3100"/>
      <c r="P203" s="3101"/>
      <c r="Q203" s="3101"/>
      <c r="R203" s="3101"/>
      <c r="S203" s="3102" t="s">
        <v>295</v>
      </c>
      <c r="T203" s="3102" t="s">
        <v>213</v>
      </c>
      <c r="U203" s="3103"/>
      <c r="V203" s="3103" t="s">
        <v>295</v>
      </c>
      <c r="W203" s="3103" t="s">
        <v>6791</v>
      </c>
      <c r="X203" s="3103" t="s">
        <v>6792</v>
      </c>
      <c r="Y203" s="3104" t="s">
        <v>164</v>
      </c>
    </row>
    <row r="204" spans="1:25" ht="36" hidden="1">
      <c r="A204" s="1304"/>
      <c r="B204" s="643"/>
      <c r="C204" s="643" t="s">
        <v>1336</v>
      </c>
      <c r="D204" s="3088">
        <v>3</v>
      </c>
      <c r="E204" s="3089" t="str">
        <f t="shared" si="26"/>
        <v xml:space="preserve">        ----</v>
      </c>
      <c r="F204" s="3090" t="s">
        <v>1337</v>
      </c>
      <c r="G204" s="3091" t="str">
        <f t="shared" si="27"/>
        <v xml:space="preserve">        ----</v>
      </c>
      <c r="H204" s="3092">
        <f t="shared" ref="H204:H220" ca="1" si="28">INDIRECT("Notes!CheckA"&amp;$C204)</f>
        <v>0</v>
      </c>
      <c r="I204" s="3094" t="s">
        <v>6797</v>
      </c>
      <c r="J204" s="3073"/>
      <c r="K204" s="3091" t="str">
        <f t="shared" si="22"/>
        <v xml:space="preserve">        ----</v>
      </c>
      <c r="L204" s="3072">
        <f ca="1">INDIRECT("Notes!CheckB"&amp;$C204)</f>
        <v>0</v>
      </c>
      <c r="M204" s="3094" t="s">
        <v>6797</v>
      </c>
      <c r="N204" s="3073"/>
      <c r="O204" s="3100"/>
      <c r="P204" s="3101"/>
      <c r="Q204" s="3101"/>
      <c r="R204" s="3101"/>
      <c r="S204" s="3102" t="s">
        <v>295</v>
      </c>
      <c r="T204" s="3102" t="s">
        <v>213</v>
      </c>
      <c r="U204" s="3103"/>
      <c r="V204" s="3103" t="s">
        <v>295</v>
      </c>
      <c r="W204" s="3103" t="s">
        <v>6791</v>
      </c>
      <c r="X204" s="3103" t="s">
        <v>6792</v>
      </c>
      <c r="Y204" s="3104" t="s">
        <v>164</v>
      </c>
    </row>
    <row r="205" spans="1:25" ht="24">
      <c r="A205" s="1304"/>
      <c r="B205" s="643">
        <v>1996</v>
      </c>
      <c r="C205" s="643" t="s">
        <v>1341</v>
      </c>
      <c r="D205" s="3088">
        <v>1</v>
      </c>
      <c r="E205" s="3089" t="str">
        <f t="shared" si="26"/>
        <v>其他非流动资产</v>
      </c>
      <c r="F205" s="3090" t="s">
        <v>1342</v>
      </c>
      <c r="G205" s="3091">
        <f t="shared" si="27"/>
        <v>0</v>
      </c>
      <c r="H205" s="3092">
        <f t="shared" ca="1" si="28"/>
        <v>0</v>
      </c>
      <c r="I205" s="3094">
        <f ca="1">IF(AND(LEN(G205)&gt;0,LEN(H205)&gt;0),ROUND(SUM(G205)-SUM(H205),2),"")</f>
        <v>0</v>
      </c>
      <c r="J205" s="3073" t="str">
        <f ca="1">IF(ISNA(I205),"N/A",IF(I205=0,"√","？"))</f>
        <v>√</v>
      </c>
      <c r="K205" s="3091">
        <f t="shared" si="22"/>
        <v>0</v>
      </c>
      <c r="L205" s="3072">
        <f ca="1">INDIRECT("Notes!CheckB"&amp;$C205)</f>
        <v>0</v>
      </c>
      <c r="M205" s="3094">
        <f ca="1">IF(AND(LEN(K205)&gt;0,LEN(L205)&gt;0),ROUND(SUM(K205)-SUM(L205),2),"")</f>
        <v>0</v>
      </c>
      <c r="N205" s="3073" t="str">
        <f ca="1">IF(ISNA(M205),"N/A",IF(M205=0,"√","？"))</f>
        <v>√</v>
      </c>
      <c r="O205" s="3100"/>
      <c r="P205" s="3101"/>
      <c r="Q205" s="3101"/>
      <c r="R205" s="3101"/>
      <c r="S205" s="3102" t="s">
        <v>295</v>
      </c>
      <c r="T205" s="3102" t="s">
        <v>213</v>
      </c>
      <c r="U205" s="3103"/>
      <c r="V205" s="3103" t="s">
        <v>295</v>
      </c>
      <c r="W205" s="3103" t="s">
        <v>6791</v>
      </c>
      <c r="X205" s="3103" t="s">
        <v>6792</v>
      </c>
      <c r="Y205" s="3104" t="s">
        <v>164</v>
      </c>
    </row>
    <row r="206" spans="1:25" ht="18">
      <c r="A206" s="1304"/>
      <c r="B206" s="643">
        <v>2001</v>
      </c>
      <c r="C206" s="643" t="s">
        <v>1357</v>
      </c>
      <c r="D206" s="3088">
        <v>1</v>
      </c>
      <c r="E206" s="3089" t="str">
        <f t="shared" si="26"/>
        <v>短期借款</v>
      </c>
      <c r="F206" s="3090" t="s">
        <v>1358</v>
      </c>
      <c r="G206" s="3091">
        <f t="shared" si="27"/>
        <v>0</v>
      </c>
      <c r="H206" s="3092">
        <f t="shared" ca="1" si="28"/>
        <v>0</v>
      </c>
      <c r="I206" s="3094">
        <f ca="1">IF(AND(LEN(G206)&gt;0,LEN(H206)&gt;0),ROUND(SUM(G206)-SUM(H206),2),"")</f>
        <v>0</v>
      </c>
      <c r="J206" s="3073" t="str">
        <f ca="1">IF(ISNA(I206),"N/A",IF(I206=0,"√","？"))</f>
        <v>√</v>
      </c>
      <c r="K206" s="3091">
        <f t="shared" si="22"/>
        <v>0</v>
      </c>
      <c r="L206" s="3072">
        <f ca="1">INDIRECT("Notes!CheckB"&amp;$C206)</f>
        <v>0</v>
      </c>
      <c r="M206" s="3094">
        <f ca="1">IF(AND(LEN(K206)&gt;0,LEN(L206)&gt;0),ROUND(SUM(K206)-SUM(L206),2),"")</f>
        <v>0</v>
      </c>
      <c r="N206" s="3073" t="str">
        <f ca="1">IF(ISNA(M206),"N/A",IF(M206=0,"√","？"))</f>
        <v>√</v>
      </c>
      <c r="O206" s="3100"/>
      <c r="P206" s="3101"/>
      <c r="Q206" s="3101"/>
      <c r="R206" s="3101"/>
      <c r="S206" s="3102" t="s">
        <v>295</v>
      </c>
      <c r="T206" s="3102" t="s">
        <v>213</v>
      </c>
      <c r="U206" s="3103"/>
      <c r="V206" s="3103" t="s">
        <v>295</v>
      </c>
      <c r="W206" s="3103" t="s">
        <v>6791</v>
      </c>
      <c r="X206" s="3103" t="s">
        <v>6792</v>
      </c>
      <c r="Y206" s="3104" t="s">
        <v>164</v>
      </c>
    </row>
    <row r="207" spans="1:25" ht="24" hidden="1">
      <c r="A207" s="1304"/>
      <c r="B207" s="643">
        <v>2001</v>
      </c>
      <c r="C207" s="643" t="s">
        <v>1369</v>
      </c>
      <c r="D207" s="3088">
        <v>2</v>
      </c>
      <c r="E207" s="3089" t="str">
        <f t="shared" si="26"/>
        <v>短期借款</v>
      </c>
      <c r="F207" s="3090" t="s">
        <v>1370</v>
      </c>
      <c r="G207" s="3091">
        <f t="shared" si="27"/>
        <v>0</v>
      </c>
      <c r="H207" s="3092">
        <f t="shared" ca="1" si="28"/>
        <v>0</v>
      </c>
      <c r="I207" s="3094" t="s">
        <v>6797</v>
      </c>
      <c r="J207" s="3073"/>
      <c r="K207" s="3091">
        <f t="shared" si="22"/>
        <v>0</v>
      </c>
      <c r="L207" s="3072" t="s">
        <v>6793</v>
      </c>
      <c r="M207" s="3094" t="s">
        <v>6797</v>
      </c>
      <c r="N207" s="3073"/>
      <c r="O207" s="3100"/>
      <c r="P207" s="3101"/>
      <c r="Q207" s="3101"/>
      <c r="R207" s="3101"/>
      <c r="S207" s="3102" t="s">
        <v>295</v>
      </c>
      <c r="T207" s="3102" t="s">
        <v>213</v>
      </c>
      <c r="U207" s="3103"/>
      <c r="V207" s="3103" t="s">
        <v>295</v>
      </c>
      <c r="W207" s="3103" t="s">
        <v>6791</v>
      </c>
      <c r="X207" s="3103" t="s">
        <v>213</v>
      </c>
      <c r="Y207" s="3104" t="s">
        <v>164</v>
      </c>
    </row>
    <row r="208" spans="1:25" ht="24" hidden="1">
      <c r="A208" s="1304"/>
      <c r="B208" s="643">
        <v>2001</v>
      </c>
      <c r="C208" s="643" t="s">
        <v>1375</v>
      </c>
      <c r="D208" s="3088">
        <v>2</v>
      </c>
      <c r="E208" s="3089" t="str">
        <f t="shared" si="26"/>
        <v>短期借款</v>
      </c>
      <c r="F208" s="3090" t="s">
        <v>1376</v>
      </c>
      <c r="G208" s="3091">
        <f t="shared" si="27"/>
        <v>0</v>
      </c>
      <c r="H208" s="3092">
        <f t="shared" ca="1" si="28"/>
        <v>0</v>
      </c>
      <c r="I208" s="3094" t="s">
        <v>6797</v>
      </c>
      <c r="J208" s="3073"/>
      <c r="K208" s="3091">
        <f t="shared" si="22"/>
        <v>0</v>
      </c>
      <c r="L208" s="3072" t="s">
        <v>6793</v>
      </c>
      <c r="M208" s="3094" t="s">
        <v>6797</v>
      </c>
      <c r="N208" s="3073"/>
      <c r="O208" s="3100"/>
      <c r="P208" s="3101"/>
      <c r="Q208" s="3101"/>
      <c r="R208" s="3101"/>
      <c r="S208" s="3102" t="s">
        <v>295</v>
      </c>
      <c r="T208" s="3102" t="s">
        <v>213</v>
      </c>
      <c r="U208" s="3103"/>
      <c r="V208" s="3103" t="s">
        <v>295</v>
      </c>
      <c r="W208" s="3103" t="s">
        <v>6791</v>
      </c>
      <c r="X208" s="3103" t="s">
        <v>213</v>
      </c>
      <c r="Y208" s="3104" t="s">
        <v>164</v>
      </c>
    </row>
    <row r="209" spans="1:25" ht="24" hidden="1">
      <c r="A209" s="1304"/>
      <c r="B209" s="643">
        <v>2001</v>
      </c>
      <c r="C209" s="643" t="s">
        <v>1380</v>
      </c>
      <c r="D209" s="3088">
        <v>2</v>
      </c>
      <c r="E209" s="3089" t="str">
        <f t="shared" si="26"/>
        <v>短期借款</v>
      </c>
      <c r="F209" s="3090" t="s">
        <v>1381</v>
      </c>
      <c r="G209" s="3091">
        <f t="shared" si="27"/>
        <v>0</v>
      </c>
      <c r="H209" s="3092">
        <f t="shared" ca="1" si="28"/>
        <v>0</v>
      </c>
      <c r="I209" s="3094" t="s">
        <v>6797</v>
      </c>
      <c r="J209" s="3073"/>
      <c r="K209" s="3091">
        <f t="shared" si="22"/>
        <v>0</v>
      </c>
      <c r="L209" s="3072" t="s">
        <v>6793</v>
      </c>
      <c r="M209" s="3094" t="s">
        <v>6797</v>
      </c>
      <c r="N209" s="3073"/>
      <c r="O209" s="3100"/>
      <c r="P209" s="3101"/>
      <c r="Q209" s="3101"/>
      <c r="R209" s="3101"/>
      <c r="S209" s="3102" t="s">
        <v>295</v>
      </c>
      <c r="T209" s="3102" t="s">
        <v>213</v>
      </c>
      <c r="U209" s="3103"/>
      <c r="V209" s="3103" t="s">
        <v>295</v>
      </c>
      <c r="W209" s="3103" t="s">
        <v>6791</v>
      </c>
      <c r="X209" s="3103" t="s">
        <v>213</v>
      </c>
      <c r="Y209" s="3104" t="s">
        <v>164</v>
      </c>
    </row>
    <row r="210" spans="1:25" ht="24" hidden="1">
      <c r="A210" s="1304"/>
      <c r="B210" s="643">
        <v>2001</v>
      </c>
      <c r="C210" s="643" t="s">
        <v>1363</v>
      </c>
      <c r="D210" s="3088">
        <v>2</v>
      </c>
      <c r="E210" s="3089" t="str">
        <f t="shared" si="26"/>
        <v>短期借款</v>
      </c>
      <c r="F210" s="3090" t="s">
        <v>1364</v>
      </c>
      <c r="G210" s="3091">
        <f t="shared" si="27"/>
        <v>0</v>
      </c>
      <c r="H210" s="3092">
        <f t="shared" ca="1" si="28"/>
        <v>0</v>
      </c>
      <c r="I210" s="3094" t="s">
        <v>6797</v>
      </c>
      <c r="J210" s="3073"/>
      <c r="K210" s="3091">
        <f t="shared" si="22"/>
        <v>0</v>
      </c>
      <c r="L210" s="3072" t="s">
        <v>6793</v>
      </c>
      <c r="M210" s="3094" t="s">
        <v>6797</v>
      </c>
      <c r="N210" s="3073"/>
      <c r="O210" s="3100"/>
      <c r="P210" s="3101"/>
      <c r="Q210" s="3101"/>
      <c r="R210" s="3101"/>
      <c r="S210" s="3102" t="s">
        <v>295</v>
      </c>
      <c r="T210" s="3102" t="s">
        <v>213</v>
      </c>
      <c r="U210" s="3103"/>
      <c r="V210" s="3103" t="s">
        <v>295</v>
      </c>
      <c r="W210" s="3103" t="s">
        <v>6791</v>
      </c>
      <c r="X210" s="3103" t="s">
        <v>6792</v>
      </c>
      <c r="Y210" s="3104" t="s">
        <v>164</v>
      </c>
    </row>
    <row r="211" spans="1:25" ht="18" hidden="1">
      <c r="A211" s="1304"/>
      <c r="B211" s="643">
        <v>2001</v>
      </c>
      <c r="C211" s="643" t="s">
        <v>1385</v>
      </c>
      <c r="D211" s="3088">
        <v>2</v>
      </c>
      <c r="E211" s="3089" t="str">
        <f t="shared" si="26"/>
        <v>短期借款</v>
      </c>
      <c r="F211" s="3090" t="s">
        <v>1386</v>
      </c>
      <c r="G211" s="3091">
        <f t="shared" si="27"/>
        <v>0</v>
      </c>
      <c r="H211" s="3092">
        <f t="shared" ca="1" si="28"/>
        <v>0</v>
      </c>
      <c r="I211" s="3094" t="s">
        <v>6797</v>
      </c>
      <c r="J211" s="3073"/>
      <c r="K211" s="3091">
        <f t="shared" si="22"/>
        <v>0</v>
      </c>
      <c r="L211" s="3072">
        <f t="shared" ref="L211:L218" ca="1" si="29">INDIRECT("Notes!CheckB"&amp;$C211)</f>
        <v>0</v>
      </c>
      <c r="M211" s="3094" t="s">
        <v>6797</v>
      </c>
      <c r="N211" s="3073"/>
      <c r="O211" s="3100"/>
      <c r="P211" s="3101"/>
      <c r="Q211" s="3101"/>
      <c r="R211" s="3101"/>
      <c r="S211" s="3102" t="s">
        <v>295</v>
      </c>
      <c r="T211" s="3102" t="s">
        <v>213</v>
      </c>
      <c r="U211" s="3103"/>
      <c r="V211" s="3103" t="s">
        <v>295</v>
      </c>
      <c r="W211" s="3103" t="s">
        <v>6791</v>
      </c>
      <c r="X211" s="3103" t="s">
        <v>213</v>
      </c>
      <c r="Y211" s="3104" t="s">
        <v>164</v>
      </c>
    </row>
    <row r="212" spans="1:25" ht="18">
      <c r="A212" s="1304"/>
      <c r="B212" s="643">
        <v>2102</v>
      </c>
      <c r="C212" s="643" t="s">
        <v>1395</v>
      </c>
      <c r="D212" s="3088">
        <v>1</v>
      </c>
      <c r="E212" s="3089" t="str">
        <f t="shared" si="26"/>
        <v>交易性金融负债</v>
      </c>
      <c r="F212" s="3090" t="s">
        <v>1396</v>
      </c>
      <c r="G212" s="3091">
        <f t="shared" si="27"/>
        <v>0</v>
      </c>
      <c r="H212" s="3092">
        <f t="shared" ca="1" si="28"/>
        <v>0</v>
      </c>
      <c r="I212" s="3094">
        <f ca="1">IF(AND(LEN(G212)&gt;0,LEN(H212)&gt;0),ROUND(SUM(G212)-SUM(H212),2),"")</f>
        <v>0</v>
      </c>
      <c r="J212" s="3073" t="str">
        <f ca="1">IF(ISNA(I212),"N/A",IF(I212=0,"√","？"))</f>
        <v>√</v>
      </c>
      <c r="K212" s="3091">
        <f t="shared" si="22"/>
        <v>0</v>
      </c>
      <c r="L212" s="3072">
        <f t="shared" ca="1" si="29"/>
        <v>0</v>
      </c>
      <c r="M212" s="3094">
        <f ca="1">IF(AND(LEN(K212)&gt;0,LEN(L212)&gt;0),ROUND(SUM(K212)-SUM(L212),2),"")</f>
        <v>0</v>
      </c>
      <c r="N212" s="3073" t="str">
        <f ca="1">IF(ISNA(M212),"N/A",IF(M212=0,"√","？"))</f>
        <v>√</v>
      </c>
      <c r="O212" s="3100"/>
      <c r="P212" s="3101"/>
      <c r="Q212" s="3101"/>
      <c r="R212" s="3101"/>
      <c r="S212" s="3102" t="s">
        <v>295</v>
      </c>
      <c r="T212" s="3102" t="s">
        <v>213</v>
      </c>
      <c r="U212" s="3103"/>
      <c r="V212" s="3103" t="s">
        <v>295</v>
      </c>
      <c r="W212" s="3103" t="s">
        <v>145</v>
      </c>
      <c r="X212" s="3103" t="s">
        <v>6794</v>
      </c>
      <c r="Y212" s="3104" t="s">
        <v>119</v>
      </c>
    </row>
    <row r="213" spans="1:25" ht="48" hidden="1">
      <c r="A213" s="1304"/>
      <c r="B213" s="643">
        <v>2102</v>
      </c>
      <c r="C213" s="643" t="s">
        <v>1400</v>
      </c>
      <c r="D213" s="3088">
        <v>2</v>
      </c>
      <c r="E213" s="3089" t="str">
        <f t="shared" si="26"/>
        <v>交易性金融负债</v>
      </c>
      <c r="F213" s="3090" t="s">
        <v>1401</v>
      </c>
      <c r="G213" s="3091">
        <f t="shared" si="27"/>
        <v>0</v>
      </c>
      <c r="H213" s="3092">
        <f t="shared" ca="1" si="28"/>
        <v>0</v>
      </c>
      <c r="I213" s="3094" t="s">
        <v>6797</v>
      </c>
      <c r="J213" s="3073"/>
      <c r="K213" s="3091">
        <f t="shared" si="22"/>
        <v>0</v>
      </c>
      <c r="L213" s="3072">
        <f t="shared" ca="1" si="29"/>
        <v>0</v>
      </c>
      <c r="M213" s="3094" t="s">
        <v>6797</v>
      </c>
      <c r="N213" s="3073"/>
      <c r="O213" s="3100"/>
      <c r="P213" s="3101"/>
      <c r="Q213" s="3101"/>
      <c r="R213" s="3101"/>
      <c r="S213" s="3102" t="s">
        <v>295</v>
      </c>
      <c r="T213" s="3102" t="s">
        <v>213</v>
      </c>
      <c r="U213" s="3103"/>
      <c r="V213" s="3103" t="s">
        <v>295</v>
      </c>
      <c r="W213" s="3103" t="s">
        <v>145</v>
      </c>
      <c r="X213" s="3103" t="s">
        <v>6794</v>
      </c>
      <c r="Y213" s="3104" t="s">
        <v>119</v>
      </c>
    </row>
    <row r="214" spans="1:25" ht="36">
      <c r="A214" s="1304"/>
      <c r="B214" s="643">
        <v>2101</v>
      </c>
      <c r="C214" s="643" t="s">
        <v>1390</v>
      </c>
      <c r="D214" s="3088">
        <v>1</v>
      </c>
      <c r="E214" s="3089" t="str">
        <f t="shared" si="26"/>
        <v>以公允价值计量且其变动计入当期损益的金融负债</v>
      </c>
      <c r="F214" s="3090" t="s">
        <v>1391</v>
      </c>
      <c r="G214" s="3091">
        <f t="shared" si="27"/>
        <v>0</v>
      </c>
      <c r="H214" s="3092">
        <f t="shared" ca="1" si="28"/>
        <v>0</v>
      </c>
      <c r="I214" s="3094">
        <f ca="1">IF(AND(LEN(G214)&gt;0,LEN(H214)&gt;0),ROUND(SUM(G214)-SUM(H214),2),"")</f>
        <v>0</v>
      </c>
      <c r="J214" s="3073" t="str">
        <f ca="1">IF(ISNA(I214),"N/A",IF(I214=0,"√","？"))</f>
        <v>√</v>
      </c>
      <c r="K214" s="3091">
        <f t="shared" si="22"/>
        <v>0</v>
      </c>
      <c r="L214" s="3072">
        <f t="shared" ca="1" si="29"/>
        <v>0</v>
      </c>
      <c r="M214" s="3094">
        <f ca="1">IF(AND(LEN(K214)&gt;0,LEN(L214)&gt;0),ROUND(SUM(K214)-SUM(L214),2),"")</f>
        <v>0</v>
      </c>
      <c r="N214" s="3073" t="str">
        <f ca="1">IF(ISNA(M214),"N/A",IF(M214=0,"√","？"))</f>
        <v>√</v>
      </c>
      <c r="O214" s="3100"/>
      <c r="P214" s="3101"/>
      <c r="Q214" s="3101"/>
      <c r="R214" s="3101"/>
      <c r="S214" s="3102" t="s">
        <v>295</v>
      </c>
      <c r="T214" s="3102" t="s">
        <v>213</v>
      </c>
      <c r="U214" s="3103"/>
      <c r="V214" s="3103" t="s">
        <v>295</v>
      </c>
      <c r="W214" s="3103" t="s">
        <v>6791</v>
      </c>
      <c r="X214" s="3103" t="s">
        <v>6792</v>
      </c>
      <c r="Y214" s="3104" t="s">
        <v>164</v>
      </c>
    </row>
    <row r="215" spans="1:25" ht="18">
      <c r="A215" s="1304"/>
      <c r="B215" s="643">
        <v>2115</v>
      </c>
      <c r="C215" s="643" t="s">
        <v>1405</v>
      </c>
      <c r="D215" s="3088">
        <v>1</v>
      </c>
      <c r="E215" s="3089" t="str">
        <f t="shared" si="26"/>
        <v>衍生金融负债</v>
      </c>
      <c r="F215" s="3090" t="s">
        <v>1406</v>
      </c>
      <c r="G215" s="3091">
        <f t="shared" si="27"/>
        <v>0</v>
      </c>
      <c r="H215" s="3092">
        <f t="shared" ca="1" si="28"/>
        <v>0</v>
      </c>
      <c r="I215" s="3094">
        <f ca="1">IF(AND(LEN(G215)&gt;0,LEN(H215)&gt;0),ROUND(SUM(G215)-SUM(H215),2),"")</f>
        <v>0</v>
      </c>
      <c r="J215" s="3073" t="str">
        <f ca="1">IF(ISNA(I215),"N/A",IF(I215=0,"√","？"))</f>
        <v>√</v>
      </c>
      <c r="K215" s="3091">
        <f t="shared" si="22"/>
        <v>0</v>
      </c>
      <c r="L215" s="3072">
        <f t="shared" ca="1" si="29"/>
        <v>0</v>
      </c>
      <c r="M215" s="3094">
        <f ca="1">IF(AND(LEN(K215)&gt;0,LEN(L215)&gt;0),ROUND(SUM(K215)-SUM(L215),2),"")</f>
        <v>0</v>
      </c>
      <c r="N215" s="3073" t="str">
        <f ca="1">IF(ISNA(M215),"N/A",IF(M215=0,"√","？"))</f>
        <v>√</v>
      </c>
      <c r="O215" s="3100"/>
      <c r="P215" s="3101"/>
      <c r="Q215" s="3101"/>
      <c r="R215" s="3101"/>
      <c r="S215" s="3102" t="s">
        <v>295</v>
      </c>
      <c r="T215" s="3102" t="s">
        <v>213</v>
      </c>
      <c r="U215" s="3103"/>
      <c r="V215" s="3103" t="s">
        <v>295</v>
      </c>
      <c r="W215" s="3103" t="s">
        <v>6791</v>
      </c>
      <c r="X215" s="3103" t="s">
        <v>6792</v>
      </c>
      <c r="Y215" s="3104" t="s">
        <v>164</v>
      </c>
    </row>
    <row r="216" spans="1:25" ht="18">
      <c r="A216" s="1304"/>
      <c r="B216" s="643">
        <v>2201</v>
      </c>
      <c r="C216" s="643" t="s">
        <v>1410</v>
      </c>
      <c r="D216" s="3088">
        <v>1</v>
      </c>
      <c r="E216" s="3089" t="str">
        <f t="shared" si="26"/>
        <v>应付票据</v>
      </c>
      <c r="F216" s="3090" t="s">
        <v>1411</v>
      </c>
      <c r="G216" s="3091">
        <f t="shared" si="27"/>
        <v>0</v>
      </c>
      <c r="H216" s="3092">
        <f t="shared" ca="1" si="28"/>
        <v>0</v>
      </c>
      <c r="I216" s="3094">
        <f ca="1">IF(AND(LEN(G216)&gt;0,LEN(H216)&gt;0),ROUND(SUM(G216)-SUM(H216),2),"")</f>
        <v>0</v>
      </c>
      <c r="J216" s="3073" t="str">
        <f ca="1">IF(ISNA(I216),"N/A",IF(I216=0,"√","？"))</f>
        <v>√</v>
      </c>
      <c r="K216" s="3091">
        <f t="shared" si="22"/>
        <v>0</v>
      </c>
      <c r="L216" s="3072">
        <f t="shared" ca="1" si="29"/>
        <v>0</v>
      </c>
      <c r="M216" s="3094">
        <f ca="1">IF(AND(LEN(K216)&gt;0,LEN(L216)&gt;0),ROUND(SUM(K216)-SUM(L216),2),"")</f>
        <v>0</v>
      </c>
      <c r="N216" s="3073" t="str">
        <f ca="1">IF(ISNA(M216),"N/A",IF(M216=0,"√","？"))</f>
        <v>√</v>
      </c>
      <c r="O216" s="3100"/>
      <c r="P216" s="3101"/>
      <c r="Q216" s="3101"/>
      <c r="R216" s="3101"/>
      <c r="S216" s="3102" t="s">
        <v>295</v>
      </c>
      <c r="T216" s="3102" t="s">
        <v>213</v>
      </c>
      <c r="U216" s="3103"/>
      <c r="V216" s="3103" t="s">
        <v>295</v>
      </c>
      <c r="W216" s="3103" t="s">
        <v>6791</v>
      </c>
      <c r="X216" s="3103" t="s">
        <v>6792</v>
      </c>
      <c r="Y216" s="3104" t="s">
        <v>164</v>
      </c>
    </row>
    <row r="217" spans="1:25" ht="18">
      <c r="A217" s="1304"/>
      <c r="B217" s="643">
        <v>2202</v>
      </c>
      <c r="C217" s="643" t="s">
        <v>1416</v>
      </c>
      <c r="D217" s="3088">
        <v>1</v>
      </c>
      <c r="E217" s="3089" t="str">
        <f t="shared" si="26"/>
        <v>应付账款</v>
      </c>
      <c r="F217" s="3090" t="s">
        <v>1417</v>
      </c>
      <c r="G217" s="3091">
        <f t="shared" si="27"/>
        <v>0</v>
      </c>
      <c r="H217" s="3092">
        <f t="shared" ca="1" si="28"/>
        <v>0</v>
      </c>
      <c r="I217" s="3094">
        <f ca="1">IF(AND(LEN(G217)&gt;0,LEN(H217)&gt;0),ROUND(SUM(G217)-SUM(H217),2),"")</f>
        <v>0</v>
      </c>
      <c r="J217" s="3073" t="str">
        <f ca="1">IF(ISNA(I217),"N/A",IF(I217=0,"√","？"))</f>
        <v>√</v>
      </c>
      <c r="K217" s="3091">
        <f t="shared" si="22"/>
        <v>182031</v>
      </c>
      <c r="L217" s="3072">
        <f t="shared" ca="1" si="29"/>
        <v>182031</v>
      </c>
      <c r="M217" s="3094">
        <f ca="1">IF(AND(LEN(K217)&gt;0,LEN(L217)&gt;0),ROUND(SUM(K217)-SUM(L217),2),"")</f>
        <v>0</v>
      </c>
      <c r="N217" s="3073" t="str">
        <f ca="1">IF(ISNA(M217),"N/A",IF(M217=0,"√","？"))</f>
        <v>√</v>
      </c>
      <c r="O217" s="3100"/>
      <c r="P217" s="3101"/>
      <c r="Q217" s="3101"/>
      <c r="R217" s="3101"/>
      <c r="S217" s="3102" t="s">
        <v>295</v>
      </c>
      <c r="T217" s="3102" t="s">
        <v>213</v>
      </c>
      <c r="U217" s="3103"/>
      <c r="V217" s="3103" t="s">
        <v>295</v>
      </c>
      <c r="W217" s="3103" t="s">
        <v>6791</v>
      </c>
      <c r="X217" s="3103" t="s">
        <v>6792</v>
      </c>
      <c r="Y217" s="3104" t="s">
        <v>164</v>
      </c>
    </row>
    <row r="218" spans="1:25" ht="18">
      <c r="A218" s="1304"/>
      <c r="B218" s="643">
        <v>2202</v>
      </c>
      <c r="C218" s="643" t="s">
        <v>1427</v>
      </c>
      <c r="D218" s="3088">
        <v>1</v>
      </c>
      <c r="E218" s="3089" t="str">
        <f t="shared" si="26"/>
        <v>应付账款</v>
      </c>
      <c r="F218" s="3090" t="s">
        <v>1428</v>
      </c>
      <c r="G218" s="3091">
        <f t="shared" si="27"/>
        <v>0</v>
      </c>
      <c r="H218" s="3092">
        <f t="shared" ca="1" si="28"/>
        <v>0</v>
      </c>
      <c r="I218" s="3094">
        <f ca="1">IF(AND(LEN(G218)&gt;0,LEN(H218)&gt;0),ROUND(SUM(G218)-SUM(H218),2),"")</f>
        <v>0</v>
      </c>
      <c r="J218" s="3073" t="str">
        <f ca="1">IF(ISNA(I218),"N/A",IF(I218=0,"√","？"))</f>
        <v>√</v>
      </c>
      <c r="K218" s="3091">
        <f t="shared" si="22"/>
        <v>182031</v>
      </c>
      <c r="L218" s="3072">
        <f t="shared" ca="1" si="29"/>
        <v>182031</v>
      </c>
      <c r="M218" s="3094">
        <f ca="1">IF(AND(LEN(K218)&gt;0,LEN(L218)&gt;0),ROUND(SUM(K218)-SUM(L218),2),"")</f>
        <v>0</v>
      </c>
      <c r="N218" s="3073" t="str">
        <f ca="1">IF(ISNA(M218),"N/A",IF(M218=0,"√","？"))</f>
        <v>√</v>
      </c>
      <c r="O218" s="3100"/>
      <c r="P218" s="3101"/>
      <c r="Q218" s="3101"/>
      <c r="R218" s="3101"/>
      <c r="S218" s="3102" t="s">
        <v>295</v>
      </c>
      <c r="T218" s="3102" t="s">
        <v>213</v>
      </c>
      <c r="U218" s="3103"/>
      <c r="V218" s="3103" t="s">
        <v>295</v>
      </c>
      <c r="W218" s="3103" t="s">
        <v>6791</v>
      </c>
      <c r="X218" s="3103" t="s">
        <v>213</v>
      </c>
      <c r="Y218" s="3104" t="s">
        <v>164</v>
      </c>
    </row>
    <row r="219" spans="1:25" ht="24" hidden="1">
      <c r="A219" s="1304"/>
      <c r="B219" s="643">
        <v>2202</v>
      </c>
      <c r="C219" s="643" t="s">
        <v>1421</v>
      </c>
      <c r="D219" s="3088">
        <v>2</v>
      </c>
      <c r="E219" s="3089" t="str">
        <f t="shared" si="26"/>
        <v>应付账款</v>
      </c>
      <c r="F219" s="3090" t="s">
        <v>1422</v>
      </c>
      <c r="G219" s="3091">
        <f t="shared" si="27"/>
        <v>0</v>
      </c>
      <c r="H219" s="3092">
        <f t="shared" ca="1" si="28"/>
        <v>0</v>
      </c>
      <c r="I219" s="3094" t="s">
        <v>6797</v>
      </c>
      <c r="J219" s="3073"/>
      <c r="K219" s="3091">
        <f t="shared" si="22"/>
        <v>182031</v>
      </c>
      <c r="L219" s="3072" t="s">
        <v>6793</v>
      </c>
      <c r="M219" s="3094" t="s">
        <v>6797</v>
      </c>
      <c r="N219" s="3073"/>
      <c r="O219" s="3100"/>
      <c r="P219" s="3101"/>
      <c r="Q219" s="3101"/>
      <c r="R219" s="3101"/>
      <c r="S219" s="3102" t="s">
        <v>295</v>
      </c>
      <c r="T219" s="3102" t="s">
        <v>213</v>
      </c>
      <c r="U219" s="3103"/>
      <c r="V219" s="3103" t="s">
        <v>295</v>
      </c>
      <c r="W219" s="3103" t="s">
        <v>6791</v>
      </c>
      <c r="X219" s="3103" t="s">
        <v>6792</v>
      </c>
      <c r="Y219" s="3104" t="s">
        <v>164</v>
      </c>
    </row>
    <row r="220" spans="1:25" ht="18" hidden="1">
      <c r="A220" s="1304"/>
      <c r="B220" s="643">
        <v>2202</v>
      </c>
      <c r="C220" s="643" t="s">
        <v>1437</v>
      </c>
      <c r="D220" s="3088">
        <v>2</v>
      </c>
      <c r="E220" s="3089" t="str">
        <f t="shared" si="26"/>
        <v>应付账款</v>
      </c>
      <c r="F220" s="3090" t="s">
        <v>1438</v>
      </c>
      <c r="G220" s="3091">
        <f t="shared" si="27"/>
        <v>0</v>
      </c>
      <c r="H220" s="3092">
        <f t="shared" ca="1" si="28"/>
        <v>0</v>
      </c>
      <c r="I220" s="3094" t="s">
        <v>6797</v>
      </c>
      <c r="J220" s="3073"/>
      <c r="K220" s="3091">
        <f t="shared" si="22"/>
        <v>182031</v>
      </c>
      <c r="L220" s="3072" t="s">
        <v>6793</v>
      </c>
      <c r="M220" s="3094" t="s">
        <v>6797</v>
      </c>
      <c r="N220" s="3073"/>
      <c r="O220" s="3100"/>
      <c r="P220" s="3101"/>
      <c r="Q220" s="3101"/>
      <c r="R220" s="3101"/>
      <c r="S220" s="3102" t="s">
        <v>295</v>
      </c>
      <c r="T220" s="3102" t="s">
        <v>213</v>
      </c>
      <c r="U220" s="3103"/>
      <c r="V220" s="3103" t="s">
        <v>295</v>
      </c>
      <c r="W220" s="3103" t="s">
        <v>6791</v>
      </c>
      <c r="X220" s="3103" t="s">
        <v>213</v>
      </c>
      <c r="Y220" s="3104" t="s">
        <v>164</v>
      </c>
    </row>
    <row r="221" spans="1:25" ht="24" hidden="1">
      <c r="A221" s="1304"/>
      <c r="B221" s="643">
        <v>2202</v>
      </c>
      <c r="C221" s="643" t="s">
        <v>1432</v>
      </c>
      <c r="D221" s="3088">
        <v>2</v>
      </c>
      <c r="E221" s="3089" t="str">
        <f t="shared" si="26"/>
        <v>应付账款</v>
      </c>
      <c r="F221" s="3090" t="s">
        <v>1433</v>
      </c>
      <c r="G221" s="3091">
        <f t="shared" si="27"/>
        <v>0</v>
      </c>
      <c r="H221" s="3092" t="s">
        <v>6793</v>
      </c>
      <c r="I221" s="3094" t="s">
        <v>6797</v>
      </c>
      <c r="J221" s="3073"/>
      <c r="K221" s="3091">
        <f t="shared" si="22"/>
        <v>182031</v>
      </c>
      <c r="L221" s="3072" t="s">
        <v>6793</v>
      </c>
      <c r="M221" s="3094" t="s">
        <v>6797</v>
      </c>
      <c r="N221" s="3073"/>
      <c r="O221" s="3100"/>
      <c r="P221" s="3101"/>
      <c r="Q221" s="3101"/>
      <c r="R221" s="3101"/>
      <c r="S221" s="3102" t="s">
        <v>295</v>
      </c>
      <c r="T221" s="3102" t="s">
        <v>213</v>
      </c>
      <c r="U221" s="3103"/>
      <c r="V221" s="3103" t="s">
        <v>295</v>
      </c>
      <c r="W221" s="3103" t="s">
        <v>6791</v>
      </c>
      <c r="X221" s="3103" t="s">
        <v>213</v>
      </c>
      <c r="Y221" s="3104" t="s">
        <v>164</v>
      </c>
    </row>
    <row r="222" spans="1:25" ht="24" hidden="1">
      <c r="A222" s="1304"/>
      <c r="B222" s="643">
        <v>2202</v>
      </c>
      <c r="C222" s="643" t="s">
        <v>1443</v>
      </c>
      <c r="D222" s="3088">
        <v>2</v>
      </c>
      <c r="E222" s="3089" t="str">
        <f t="shared" si="26"/>
        <v>应付账款</v>
      </c>
      <c r="F222" s="3090" t="s">
        <v>1444</v>
      </c>
      <c r="G222" s="3091">
        <f t="shared" si="27"/>
        <v>0</v>
      </c>
      <c r="H222" s="3092">
        <f t="shared" ref="H222:H228" ca="1" si="30">INDIRECT("Notes!CheckA"&amp;$C222)</f>
        <v>0</v>
      </c>
      <c r="I222" s="3094" t="s">
        <v>6797</v>
      </c>
      <c r="J222" s="3073"/>
      <c r="K222" s="3091">
        <f t="shared" si="22"/>
        <v>182031</v>
      </c>
      <c r="L222" s="3072" t="s">
        <v>6793</v>
      </c>
      <c r="M222" s="3094" t="s">
        <v>6797</v>
      </c>
      <c r="N222" s="3073"/>
      <c r="O222" s="3100"/>
      <c r="P222" s="3101"/>
      <c r="Q222" s="3101"/>
      <c r="R222" s="3101"/>
      <c r="S222" s="3102" t="s">
        <v>295</v>
      </c>
      <c r="T222" s="3102" t="s">
        <v>213</v>
      </c>
      <c r="U222" s="3103"/>
      <c r="V222" s="3103" t="s">
        <v>295</v>
      </c>
      <c r="W222" s="3103" t="s">
        <v>6791</v>
      </c>
      <c r="X222" s="3103" t="s">
        <v>213</v>
      </c>
      <c r="Y222" s="3104" t="s">
        <v>164</v>
      </c>
    </row>
    <row r="223" spans="1:25" ht="18" hidden="1">
      <c r="A223" s="1304"/>
      <c r="B223" s="643">
        <v>2202</v>
      </c>
      <c r="C223" s="643" t="s">
        <v>1448</v>
      </c>
      <c r="D223" s="3088">
        <v>2</v>
      </c>
      <c r="E223" s="3089" t="str">
        <f t="shared" si="26"/>
        <v>应付账款</v>
      </c>
      <c r="F223" s="3090" t="s">
        <v>1449</v>
      </c>
      <c r="G223" s="3091">
        <f t="shared" si="27"/>
        <v>0</v>
      </c>
      <c r="H223" s="3092">
        <f t="shared" ca="1" si="30"/>
        <v>0</v>
      </c>
      <c r="I223" s="3094" t="s">
        <v>6797</v>
      </c>
      <c r="J223" s="3073"/>
      <c r="K223" s="3091">
        <f t="shared" ref="K223:K286" si="31">IF(ISERROR(VLOOKUP($B223,Sheet_Trialbal,10,0)),"        ----",VLOOKUP($B223,Sheet_Trialbal,10,0))</f>
        <v>182031</v>
      </c>
      <c r="L223" s="3072" t="s">
        <v>6793</v>
      </c>
      <c r="M223" s="3094" t="s">
        <v>6797</v>
      </c>
      <c r="N223" s="3073"/>
      <c r="O223" s="3100"/>
      <c r="P223" s="3101"/>
      <c r="Q223" s="3101"/>
      <c r="R223" s="3101"/>
      <c r="S223" s="3102" t="s">
        <v>295</v>
      </c>
      <c r="T223" s="3102" t="s">
        <v>213</v>
      </c>
      <c r="U223" s="3103"/>
      <c r="V223" s="3103" t="s">
        <v>295</v>
      </c>
      <c r="W223" s="3103" t="s">
        <v>6791</v>
      </c>
      <c r="X223" s="3103" t="s">
        <v>213</v>
      </c>
      <c r="Y223" s="3104" t="s">
        <v>164</v>
      </c>
    </row>
    <row r="224" spans="1:25" ht="18">
      <c r="A224" s="1304"/>
      <c r="B224" s="643">
        <v>2205</v>
      </c>
      <c r="C224" s="643" t="s">
        <v>1458</v>
      </c>
      <c r="D224" s="3088">
        <v>1</v>
      </c>
      <c r="E224" s="3089" t="str">
        <f t="shared" si="26"/>
        <v>预收款项</v>
      </c>
      <c r="F224" s="3090" t="s">
        <v>1459</v>
      </c>
      <c r="G224" s="3091">
        <f t="shared" si="27"/>
        <v>0</v>
      </c>
      <c r="H224" s="3092">
        <f t="shared" ca="1" si="30"/>
        <v>0</v>
      </c>
      <c r="I224" s="3094">
        <f ca="1">IF(AND(LEN(G224)&gt;0,LEN(H224)&gt;0),ROUND(SUM(G224)-SUM(H224),2),"")</f>
        <v>0</v>
      </c>
      <c r="J224" s="3073" t="str">
        <f ca="1">IF(ISNA(I224),"N/A",IF(I224=0,"√","？"))</f>
        <v>√</v>
      </c>
      <c r="K224" s="3091">
        <f t="shared" si="31"/>
        <v>0</v>
      </c>
      <c r="L224" s="3072">
        <f ca="1">INDIRECT("Notes!CheckB"&amp;$C224)</f>
        <v>0</v>
      </c>
      <c r="M224" s="3094">
        <f ca="1">IF(AND(LEN(K224)&gt;0,LEN(L224)&gt;0),ROUND(SUM(K224)-SUM(L224),2),"")</f>
        <v>0</v>
      </c>
      <c r="N224" s="3073" t="str">
        <f ca="1">IF(ISNA(M224),"N/A",IF(M224=0,"√","？"))</f>
        <v>√</v>
      </c>
      <c r="O224" s="3100"/>
      <c r="P224" s="3101"/>
      <c r="Q224" s="3101"/>
      <c r="R224" s="3101"/>
      <c r="S224" s="3102" t="s">
        <v>295</v>
      </c>
      <c r="T224" s="3102" t="s">
        <v>213</v>
      </c>
      <c r="U224" s="3103"/>
      <c r="V224" s="3103" t="s">
        <v>295</v>
      </c>
      <c r="W224" s="3103" t="s">
        <v>6791</v>
      </c>
      <c r="X224" s="3103" t="s">
        <v>6792</v>
      </c>
      <c r="Y224" s="3104" t="s">
        <v>164</v>
      </c>
    </row>
    <row r="225" spans="1:25" ht="18">
      <c r="A225" s="1304"/>
      <c r="B225" s="643">
        <v>2205</v>
      </c>
      <c r="C225" s="643" t="s">
        <v>1490</v>
      </c>
      <c r="D225" s="3088">
        <v>1</v>
      </c>
      <c r="E225" s="3089" t="str">
        <f t="shared" si="26"/>
        <v>预收款项</v>
      </c>
      <c r="F225" s="3090" t="s">
        <v>1491</v>
      </c>
      <c r="G225" s="3091">
        <f t="shared" si="27"/>
        <v>0</v>
      </c>
      <c r="H225" s="3092">
        <f t="shared" ca="1" si="30"/>
        <v>0</v>
      </c>
      <c r="I225" s="3094">
        <f ca="1">IF(AND(LEN(G225)&gt;0,LEN(H225)&gt;0),ROUND(SUM(G225)-SUM(H225),2),"")</f>
        <v>0</v>
      </c>
      <c r="J225" s="3073" t="str">
        <f ca="1">IF(ISNA(I225),"N/A",IF(I225=0,"√","？"))</f>
        <v>√</v>
      </c>
      <c r="K225" s="3091">
        <f t="shared" si="31"/>
        <v>0</v>
      </c>
      <c r="L225" s="3072">
        <f ca="1">INDIRECT("Notes!CheckB"&amp;$C225)</f>
        <v>0</v>
      </c>
      <c r="M225" s="3094">
        <f ca="1">IF(AND(LEN(K225)&gt;0,LEN(L225)&gt;0),ROUND(SUM(K225)-SUM(L225),2),"")</f>
        <v>0</v>
      </c>
      <c r="N225" s="3073" t="str">
        <f ca="1">IF(ISNA(M225),"N/A",IF(M225=0,"√","？"))</f>
        <v>√</v>
      </c>
      <c r="O225" s="3100"/>
      <c r="P225" s="3101"/>
      <c r="Q225" s="3101"/>
      <c r="R225" s="3101"/>
      <c r="S225" s="3102" t="s">
        <v>295</v>
      </c>
      <c r="T225" s="3102" t="s">
        <v>213</v>
      </c>
      <c r="U225" s="3103"/>
      <c r="V225" s="3103" t="s">
        <v>295</v>
      </c>
      <c r="W225" s="3103" t="s">
        <v>6791</v>
      </c>
      <c r="X225" s="3103" t="s">
        <v>213</v>
      </c>
      <c r="Y225" s="3104" t="s">
        <v>164</v>
      </c>
    </row>
    <row r="226" spans="1:25" ht="24" hidden="1">
      <c r="A226" s="1304"/>
      <c r="B226" s="643">
        <v>2205</v>
      </c>
      <c r="C226" s="643" t="s">
        <v>1463</v>
      </c>
      <c r="D226" s="3088">
        <v>2</v>
      </c>
      <c r="E226" s="3089" t="str">
        <f t="shared" si="26"/>
        <v>预收款项</v>
      </c>
      <c r="F226" s="3090" t="s">
        <v>1464</v>
      </c>
      <c r="G226" s="3091">
        <f t="shared" si="27"/>
        <v>0</v>
      </c>
      <c r="H226" s="3092">
        <f t="shared" ca="1" si="30"/>
        <v>0</v>
      </c>
      <c r="I226" s="3094" t="s">
        <v>6797</v>
      </c>
      <c r="J226" s="3073"/>
      <c r="K226" s="3091">
        <f t="shared" si="31"/>
        <v>0</v>
      </c>
      <c r="L226" s="3072" t="s">
        <v>6793</v>
      </c>
      <c r="M226" s="3094" t="s">
        <v>6797</v>
      </c>
      <c r="N226" s="3073"/>
      <c r="O226" s="3100"/>
      <c r="P226" s="3101"/>
      <c r="Q226" s="3101"/>
      <c r="R226" s="3101"/>
      <c r="S226" s="3102" t="s">
        <v>295</v>
      </c>
      <c r="T226" s="3102" t="s">
        <v>213</v>
      </c>
      <c r="U226" s="3103"/>
      <c r="V226" s="3103" t="s">
        <v>295</v>
      </c>
      <c r="W226" s="3103" t="s">
        <v>6791</v>
      </c>
      <c r="X226" s="3103" t="s">
        <v>6792</v>
      </c>
      <c r="Y226" s="3104" t="s">
        <v>164</v>
      </c>
    </row>
    <row r="227" spans="1:25" ht="24" hidden="1">
      <c r="A227" s="1304"/>
      <c r="B227" s="643">
        <v>2205</v>
      </c>
      <c r="C227" s="643" t="s">
        <v>1469</v>
      </c>
      <c r="D227" s="3088">
        <v>2</v>
      </c>
      <c r="E227" s="3089" t="str">
        <f t="shared" si="26"/>
        <v>预收款项</v>
      </c>
      <c r="F227" s="3090" t="s">
        <v>1470</v>
      </c>
      <c r="G227" s="3091">
        <f t="shared" si="27"/>
        <v>0</v>
      </c>
      <c r="H227" s="3092">
        <f t="shared" ca="1" si="30"/>
        <v>0</v>
      </c>
      <c r="I227" s="3094" t="s">
        <v>6797</v>
      </c>
      <c r="J227" s="3073"/>
      <c r="K227" s="3091">
        <f t="shared" si="31"/>
        <v>0</v>
      </c>
      <c r="L227" s="3072" t="s">
        <v>6793</v>
      </c>
      <c r="M227" s="3094" t="s">
        <v>6797</v>
      </c>
      <c r="N227" s="3073"/>
      <c r="O227" s="3100"/>
      <c r="P227" s="3101"/>
      <c r="Q227" s="3101"/>
      <c r="R227" s="3101"/>
      <c r="S227" s="3102" t="s">
        <v>295</v>
      </c>
      <c r="T227" s="3102" t="s">
        <v>213</v>
      </c>
      <c r="U227" s="3103"/>
      <c r="V227" s="3103" t="s">
        <v>295</v>
      </c>
      <c r="W227" s="3103" t="s">
        <v>6791</v>
      </c>
      <c r="X227" s="3103" t="s">
        <v>6794</v>
      </c>
      <c r="Y227" s="3104" t="s">
        <v>164</v>
      </c>
    </row>
    <row r="228" spans="1:25" ht="24" hidden="1">
      <c r="A228" s="1304"/>
      <c r="B228" s="643">
        <v>2205</v>
      </c>
      <c r="C228" s="643" t="s">
        <v>1485</v>
      </c>
      <c r="D228" s="3088">
        <v>2</v>
      </c>
      <c r="E228" s="3089" t="str">
        <f t="shared" si="26"/>
        <v>预收款项</v>
      </c>
      <c r="F228" s="3090" t="s">
        <v>1486</v>
      </c>
      <c r="G228" s="3091">
        <f t="shared" si="27"/>
        <v>0</v>
      </c>
      <c r="H228" s="3092">
        <f t="shared" ca="1" si="30"/>
        <v>0</v>
      </c>
      <c r="I228" s="3094" t="s">
        <v>6797</v>
      </c>
      <c r="J228" s="3073"/>
      <c r="K228" s="3091">
        <f t="shared" si="31"/>
        <v>0</v>
      </c>
      <c r="L228" s="3072">
        <f ca="1">INDIRECT("Notes!CheckB"&amp;$C228)</f>
        <v>0</v>
      </c>
      <c r="M228" s="3094" t="s">
        <v>6797</v>
      </c>
      <c r="N228" s="3073"/>
      <c r="O228" s="3100"/>
      <c r="P228" s="3101"/>
      <c r="Q228" s="3101"/>
      <c r="R228" s="3101"/>
      <c r="S228" s="3102" t="s">
        <v>295</v>
      </c>
      <c r="T228" s="3102" t="s">
        <v>213</v>
      </c>
      <c r="U228" s="3103"/>
      <c r="V228" s="3103" t="s">
        <v>295</v>
      </c>
      <c r="W228" s="3103" t="s">
        <v>6791</v>
      </c>
      <c r="X228" s="3103" t="s">
        <v>213</v>
      </c>
      <c r="Y228" s="3104" t="s">
        <v>164</v>
      </c>
    </row>
    <row r="229" spans="1:25" ht="24" hidden="1">
      <c r="A229" s="1304"/>
      <c r="B229" s="643">
        <v>2205</v>
      </c>
      <c r="C229" s="643" t="s">
        <v>1474</v>
      </c>
      <c r="D229" s="3088">
        <v>2</v>
      </c>
      <c r="E229" s="3089" t="str">
        <f t="shared" si="26"/>
        <v>预收款项</v>
      </c>
      <c r="F229" s="3090" t="s">
        <v>1475</v>
      </c>
      <c r="G229" s="3091">
        <f t="shared" si="27"/>
        <v>0</v>
      </c>
      <c r="H229" s="3092" t="s">
        <v>6793</v>
      </c>
      <c r="I229" s="3094" t="s">
        <v>6797</v>
      </c>
      <c r="J229" s="3073"/>
      <c r="K229" s="3091">
        <f t="shared" si="31"/>
        <v>0</v>
      </c>
      <c r="L229" s="3072" t="s">
        <v>6793</v>
      </c>
      <c r="M229" s="3094" t="s">
        <v>6797</v>
      </c>
      <c r="N229" s="3073"/>
      <c r="O229" s="3100"/>
      <c r="P229" s="3101"/>
      <c r="Q229" s="3101"/>
      <c r="R229" s="3101"/>
      <c r="S229" s="3102" t="s">
        <v>295</v>
      </c>
      <c r="T229" s="3102" t="s">
        <v>213</v>
      </c>
      <c r="U229" s="3103"/>
      <c r="V229" s="3103" t="s">
        <v>295</v>
      </c>
      <c r="W229" s="3103" t="s">
        <v>6791</v>
      </c>
      <c r="X229" s="3103" t="s">
        <v>213</v>
      </c>
      <c r="Y229" s="3104" t="s">
        <v>164</v>
      </c>
    </row>
    <row r="230" spans="1:25" ht="18" hidden="1">
      <c r="A230" s="1304"/>
      <c r="B230" s="643">
        <v>2205</v>
      </c>
      <c r="C230" s="643" t="s">
        <v>1495</v>
      </c>
      <c r="D230" s="3088">
        <v>2</v>
      </c>
      <c r="E230" s="3089" t="str">
        <f t="shared" si="26"/>
        <v>预收款项</v>
      </c>
      <c r="F230" s="3090" t="s">
        <v>1496</v>
      </c>
      <c r="G230" s="3091">
        <f t="shared" si="27"/>
        <v>0</v>
      </c>
      <c r="H230" s="3092">
        <f t="shared" ref="H230:H239" ca="1" si="32">INDIRECT("Notes!CheckA"&amp;$C230)</f>
        <v>0</v>
      </c>
      <c r="I230" s="3094" t="s">
        <v>6797</v>
      </c>
      <c r="J230" s="3073"/>
      <c r="K230" s="3091">
        <f t="shared" si="31"/>
        <v>0</v>
      </c>
      <c r="L230" s="3072" t="s">
        <v>6793</v>
      </c>
      <c r="M230" s="3094" t="s">
        <v>6797</v>
      </c>
      <c r="N230" s="3073"/>
      <c r="O230" s="3100"/>
      <c r="P230" s="3101"/>
      <c r="Q230" s="3101"/>
      <c r="R230" s="3101"/>
      <c r="S230" s="3102" t="s">
        <v>295</v>
      </c>
      <c r="T230" s="3102" t="s">
        <v>213</v>
      </c>
      <c r="U230" s="3103"/>
      <c r="V230" s="3103" t="s">
        <v>295</v>
      </c>
      <c r="W230" s="3103" t="s">
        <v>6791</v>
      </c>
      <c r="X230" s="3103" t="s">
        <v>213</v>
      </c>
      <c r="Y230" s="3104" t="s">
        <v>164</v>
      </c>
    </row>
    <row r="231" spans="1:25" ht="18">
      <c r="A231" s="1304"/>
      <c r="B231" s="643">
        <v>2211</v>
      </c>
      <c r="C231" s="643" t="s">
        <v>1500</v>
      </c>
      <c r="D231" s="3088">
        <v>1</v>
      </c>
      <c r="E231" s="3089" t="str">
        <f t="shared" si="26"/>
        <v>应付职工薪酬</v>
      </c>
      <c r="F231" s="3090" t="s">
        <v>1501</v>
      </c>
      <c r="G231" s="3091">
        <f t="shared" si="27"/>
        <v>621334.09</v>
      </c>
      <c r="H231" s="3092">
        <f t="shared" ca="1" si="32"/>
        <v>621334.09</v>
      </c>
      <c r="I231" s="3094">
        <f ca="1">IF(AND(LEN(G231)&gt;0,LEN(H231)&gt;0),ROUND(SUM(G231)-SUM(H231),2),"")</f>
        <v>0</v>
      </c>
      <c r="J231" s="3073" t="str">
        <f ca="1">IF(ISNA(I231),"N/A",IF(I231=0,"√","？"))</f>
        <v>√</v>
      </c>
      <c r="K231" s="3091">
        <f t="shared" si="31"/>
        <v>306477.86</v>
      </c>
      <c r="L231" s="3072">
        <f t="shared" ref="L231:L239" ca="1" si="33">INDIRECT("Notes!CheckB"&amp;$C231)</f>
        <v>306477.86</v>
      </c>
      <c r="M231" s="3094">
        <f ca="1">IF(AND(LEN(K231)&gt;0,LEN(L231)&gt;0),ROUND(SUM(K231)-SUM(L231),2),"")</f>
        <v>0</v>
      </c>
      <c r="N231" s="3073" t="str">
        <f ca="1">IF(ISNA(M231),"N/A",IF(M231=0,"√","？"))</f>
        <v>√</v>
      </c>
      <c r="O231" s="3100"/>
      <c r="P231" s="3101"/>
      <c r="Q231" s="3101"/>
      <c r="R231" s="3101"/>
      <c r="S231" s="3102" t="s">
        <v>295</v>
      </c>
      <c r="T231" s="3102" t="s">
        <v>213</v>
      </c>
      <c r="U231" s="3103"/>
      <c r="V231" s="3103" t="s">
        <v>295</v>
      </c>
      <c r="W231" s="3103" t="s">
        <v>6791</v>
      </c>
      <c r="X231" s="3103" t="s">
        <v>6792</v>
      </c>
      <c r="Y231" s="3104" t="s">
        <v>164</v>
      </c>
    </row>
    <row r="232" spans="1:25" ht="18" hidden="1">
      <c r="A232" s="1304"/>
      <c r="B232" s="643">
        <v>2211</v>
      </c>
      <c r="C232" s="643" t="s">
        <v>1505</v>
      </c>
      <c r="D232" s="3088">
        <v>2</v>
      </c>
      <c r="E232" s="3089" t="str">
        <f t="shared" si="26"/>
        <v>应付职工薪酬</v>
      </c>
      <c r="F232" s="3090" t="s">
        <v>1506</v>
      </c>
      <c r="G232" s="3091">
        <f t="shared" si="27"/>
        <v>621334.09</v>
      </c>
      <c r="H232" s="3092">
        <f t="shared" ca="1" si="32"/>
        <v>581849.89</v>
      </c>
      <c r="I232" s="3094" t="s">
        <v>6797</v>
      </c>
      <c r="J232" s="3073"/>
      <c r="K232" s="3091">
        <f t="shared" si="31"/>
        <v>306477.86</v>
      </c>
      <c r="L232" s="3072">
        <f t="shared" ca="1" si="33"/>
        <v>279430.26</v>
      </c>
      <c r="M232" s="3094" t="s">
        <v>6797</v>
      </c>
      <c r="N232" s="3073"/>
      <c r="O232" s="3100"/>
      <c r="P232" s="3101"/>
      <c r="Q232" s="3101"/>
      <c r="R232" s="3101"/>
      <c r="S232" s="3102" t="s">
        <v>295</v>
      </c>
      <c r="T232" s="3102" t="s">
        <v>213</v>
      </c>
      <c r="U232" s="3103"/>
      <c r="V232" s="3103" t="s">
        <v>295</v>
      </c>
      <c r="W232" s="3103" t="s">
        <v>6791</v>
      </c>
      <c r="X232" s="3103" t="s">
        <v>6792</v>
      </c>
      <c r="Y232" s="3104" t="s">
        <v>164</v>
      </c>
    </row>
    <row r="233" spans="1:25" ht="18" hidden="1">
      <c r="A233" s="1304"/>
      <c r="B233" s="643">
        <v>2211</v>
      </c>
      <c r="C233" s="643" t="s">
        <v>1510</v>
      </c>
      <c r="D233" s="3088">
        <v>2</v>
      </c>
      <c r="E233" s="3089" t="str">
        <f t="shared" si="26"/>
        <v>应付职工薪酬</v>
      </c>
      <c r="F233" s="3090" t="s">
        <v>1511</v>
      </c>
      <c r="G233" s="3091">
        <f t="shared" si="27"/>
        <v>621334.09</v>
      </c>
      <c r="H233" s="3092">
        <f t="shared" ca="1" si="32"/>
        <v>39484.199999999997</v>
      </c>
      <c r="I233" s="3094" t="s">
        <v>6797</v>
      </c>
      <c r="J233" s="3073"/>
      <c r="K233" s="3091">
        <f t="shared" si="31"/>
        <v>306477.86</v>
      </c>
      <c r="L233" s="3072">
        <f t="shared" ca="1" si="33"/>
        <v>27047.599999999999</v>
      </c>
      <c r="M233" s="3094" t="s">
        <v>6797</v>
      </c>
      <c r="N233" s="3073"/>
      <c r="O233" s="3100"/>
      <c r="P233" s="3101"/>
      <c r="Q233" s="3101"/>
      <c r="R233" s="3101"/>
      <c r="S233" s="3102" t="s">
        <v>295</v>
      </c>
      <c r="T233" s="3102" t="s">
        <v>213</v>
      </c>
      <c r="U233" s="3103"/>
      <c r="V233" s="3103" t="s">
        <v>295</v>
      </c>
      <c r="W233" s="3103" t="s">
        <v>6791</v>
      </c>
      <c r="X233" s="3103" t="s">
        <v>6792</v>
      </c>
      <c r="Y233" s="3104" t="s">
        <v>164</v>
      </c>
    </row>
    <row r="234" spans="1:25" ht="18" hidden="1">
      <c r="A234" s="1304"/>
      <c r="B234" s="643">
        <v>2211</v>
      </c>
      <c r="C234" s="643" t="s">
        <v>1515</v>
      </c>
      <c r="D234" s="3088">
        <v>2</v>
      </c>
      <c r="E234" s="3089" t="str">
        <f t="shared" si="26"/>
        <v>应付职工薪酬</v>
      </c>
      <c r="F234" s="3090" t="s">
        <v>1516</v>
      </c>
      <c r="G234" s="3091">
        <f t="shared" si="27"/>
        <v>621334.09</v>
      </c>
      <c r="H234" s="3092">
        <f t="shared" ca="1" si="32"/>
        <v>0</v>
      </c>
      <c r="I234" s="3094" t="s">
        <v>6797</v>
      </c>
      <c r="J234" s="3073"/>
      <c r="K234" s="3091">
        <f t="shared" si="31"/>
        <v>306477.86</v>
      </c>
      <c r="L234" s="3072">
        <f t="shared" ca="1" si="33"/>
        <v>0</v>
      </c>
      <c r="M234" s="3094" t="s">
        <v>6797</v>
      </c>
      <c r="N234" s="3073"/>
      <c r="O234" s="3100"/>
      <c r="P234" s="3101"/>
      <c r="Q234" s="3101"/>
      <c r="R234" s="3101"/>
      <c r="S234" s="3102" t="s">
        <v>295</v>
      </c>
      <c r="T234" s="3102" t="s">
        <v>213</v>
      </c>
      <c r="U234" s="3103"/>
      <c r="V234" s="3103" t="s">
        <v>295</v>
      </c>
      <c r="W234" s="3103" t="s">
        <v>6791</v>
      </c>
      <c r="X234" s="3103" t="s">
        <v>213</v>
      </c>
      <c r="Y234" s="3104" t="s">
        <v>164</v>
      </c>
    </row>
    <row r="235" spans="1:25" ht="18" hidden="1">
      <c r="A235" s="1304"/>
      <c r="B235" s="643">
        <v>2211</v>
      </c>
      <c r="C235" s="643" t="s">
        <v>1520</v>
      </c>
      <c r="D235" s="3088">
        <v>2</v>
      </c>
      <c r="E235" s="3089" t="str">
        <f t="shared" si="26"/>
        <v>应付职工薪酬</v>
      </c>
      <c r="F235" s="3090" t="s">
        <v>1521</v>
      </c>
      <c r="G235" s="3091">
        <f t="shared" si="27"/>
        <v>621334.09</v>
      </c>
      <c r="H235" s="3092">
        <f t="shared" ca="1" si="32"/>
        <v>0</v>
      </c>
      <c r="I235" s="3094" t="s">
        <v>6797</v>
      </c>
      <c r="J235" s="3073"/>
      <c r="K235" s="3091">
        <f t="shared" si="31"/>
        <v>306477.86</v>
      </c>
      <c r="L235" s="3072">
        <f t="shared" ca="1" si="33"/>
        <v>3407.4</v>
      </c>
      <c r="M235" s="3094" t="s">
        <v>6797</v>
      </c>
      <c r="N235" s="3073"/>
      <c r="O235" s="3100"/>
      <c r="P235" s="3101"/>
      <c r="Q235" s="3101"/>
      <c r="R235" s="3101"/>
      <c r="S235" s="3102" t="s">
        <v>295</v>
      </c>
      <c r="T235" s="3102" t="s">
        <v>213</v>
      </c>
      <c r="U235" s="3103"/>
      <c r="V235" s="3103" t="s">
        <v>295</v>
      </c>
      <c r="W235" s="3103" t="s">
        <v>6791</v>
      </c>
      <c r="X235" s="3103" t="s">
        <v>213</v>
      </c>
      <c r="Y235" s="3104" t="s">
        <v>164</v>
      </c>
    </row>
    <row r="236" spans="1:25" ht="18">
      <c r="A236" s="1304"/>
      <c r="B236" s="643">
        <v>2221</v>
      </c>
      <c r="C236" s="643" t="s">
        <v>1528</v>
      </c>
      <c r="D236" s="3088">
        <v>1</v>
      </c>
      <c r="E236" s="3089" t="str">
        <f t="shared" si="26"/>
        <v>应交税费</v>
      </c>
      <c r="F236" s="3090" t="s">
        <v>1529</v>
      </c>
      <c r="G236" s="3091">
        <f t="shared" si="27"/>
        <v>101055.66</v>
      </c>
      <c r="H236" s="3092">
        <f t="shared" ca="1" si="32"/>
        <v>101055.66</v>
      </c>
      <c r="I236" s="3094">
        <f ca="1">IF(AND(LEN(G236)&gt;0,LEN(H236)&gt;0),ROUND(SUM(G236)-SUM(H236),2),"")</f>
        <v>0</v>
      </c>
      <c r="J236" s="3073" t="str">
        <f ca="1">IF(ISNA(I236),"N/A",IF(I236=0,"√","？"))</f>
        <v>√</v>
      </c>
      <c r="K236" s="3091">
        <f t="shared" si="31"/>
        <v>27898.14</v>
      </c>
      <c r="L236" s="3072">
        <f t="shared" ca="1" si="33"/>
        <v>27898.14</v>
      </c>
      <c r="M236" s="3094">
        <f ca="1">IF(AND(LEN(K236)&gt;0,LEN(L236)&gt;0),ROUND(SUM(K236)-SUM(L236),2),"")</f>
        <v>0</v>
      </c>
      <c r="N236" s="3073" t="str">
        <f ca="1">IF(ISNA(M236),"N/A",IF(M236=0,"√","？"))</f>
        <v>√</v>
      </c>
      <c r="O236" s="3100"/>
      <c r="P236" s="3101"/>
      <c r="Q236" s="3101"/>
      <c r="R236" s="3101"/>
      <c r="S236" s="3102" t="s">
        <v>295</v>
      </c>
      <c r="T236" s="3102" t="s">
        <v>213</v>
      </c>
      <c r="U236" s="3103"/>
      <c r="V236" s="3103" t="s">
        <v>295</v>
      </c>
      <c r="W236" s="3103" t="s">
        <v>6791</v>
      </c>
      <c r="X236" s="3103" t="s">
        <v>6792</v>
      </c>
      <c r="Y236" s="3104" t="s">
        <v>164</v>
      </c>
    </row>
    <row r="237" spans="1:25" ht="18" hidden="1">
      <c r="A237" s="1304"/>
      <c r="B237" s="643">
        <v>2221</v>
      </c>
      <c r="C237" s="643" t="s">
        <v>1533</v>
      </c>
      <c r="D237" s="3088">
        <v>2</v>
      </c>
      <c r="E237" s="3089" t="str">
        <f t="shared" si="26"/>
        <v>应交税费</v>
      </c>
      <c r="F237" s="3090" t="s">
        <v>1534</v>
      </c>
      <c r="G237" s="3091">
        <f t="shared" si="27"/>
        <v>101055.66</v>
      </c>
      <c r="H237" s="3092">
        <f t="shared" ca="1" si="32"/>
        <v>0</v>
      </c>
      <c r="I237" s="3094" t="s">
        <v>6797</v>
      </c>
      <c r="J237" s="3073"/>
      <c r="K237" s="3091">
        <f t="shared" si="31"/>
        <v>27898.14</v>
      </c>
      <c r="L237" s="3072">
        <f t="shared" ca="1" si="33"/>
        <v>0</v>
      </c>
      <c r="M237" s="3094" t="s">
        <v>6797</v>
      </c>
      <c r="N237" s="3073"/>
      <c r="O237" s="3100"/>
      <c r="P237" s="3101"/>
      <c r="Q237" s="3101"/>
      <c r="R237" s="3101"/>
      <c r="S237" s="3102" t="s">
        <v>295</v>
      </c>
      <c r="T237" s="3102" t="s">
        <v>213</v>
      </c>
      <c r="U237" s="3103"/>
      <c r="V237" s="3103" t="s">
        <v>295</v>
      </c>
      <c r="W237" s="3103" t="s">
        <v>6791</v>
      </c>
      <c r="X237" s="3103" t="s">
        <v>213</v>
      </c>
      <c r="Y237" s="3104" t="s">
        <v>164</v>
      </c>
    </row>
    <row r="238" spans="1:25" ht="24">
      <c r="A238" s="1304"/>
      <c r="B238" s="643">
        <v>2246</v>
      </c>
      <c r="C238" s="643" t="s">
        <v>1594</v>
      </c>
      <c r="D238" s="3088">
        <v>1</v>
      </c>
      <c r="E238" s="3089" t="str">
        <f t="shared" si="26"/>
        <v>其他应付款（报表项目）</v>
      </c>
      <c r="F238" s="3090" t="s">
        <v>1595</v>
      </c>
      <c r="G238" s="3091">
        <f t="shared" si="27"/>
        <v>4224459.3600000003</v>
      </c>
      <c r="H238" s="3092">
        <f t="shared" ca="1" si="32"/>
        <v>4224459.3600000003</v>
      </c>
      <c r="I238" s="3094">
        <f ca="1">IF(AND(LEN(G238)&gt;0,LEN(H238)&gt;0),ROUND(SUM(G238)-SUM(H238),2),"")</f>
        <v>0</v>
      </c>
      <c r="J238" s="3073" t="str">
        <f ca="1">IF(ISNA(I238),"N/A",IF(I238=0,"√","？"))</f>
        <v>√</v>
      </c>
      <c r="K238" s="3091">
        <f t="shared" si="31"/>
        <v>113852180.2</v>
      </c>
      <c r="L238" s="3072">
        <f t="shared" ca="1" si="33"/>
        <v>113852180.2</v>
      </c>
      <c r="M238" s="3094">
        <f ca="1">IF(AND(LEN(K238)&gt;0,LEN(L238)&gt;0),ROUND(SUM(K238)-SUM(L238),2),"")</f>
        <v>0</v>
      </c>
      <c r="N238" s="3073" t="str">
        <f ca="1">IF(ISNA(M238),"N/A",IF(M238=0,"√","？"))</f>
        <v>√</v>
      </c>
      <c r="O238" s="3100"/>
      <c r="P238" s="3101"/>
      <c r="Q238" s="3101"/>
      <c r="R238" s="3101"/>
      <c r="S238" s="3102" t="s">
        <v>295</v>
      </c>
      <c r="T238" s="3102" t="s">
        <v>213</v>
      </c>
      <c r="U238" s="3103"/>
      <c r="V238" s="3103" t="s">
        <v>295</v>
      </c>
      <c r="W238" s="3103" t="s">
        <v>6791</v>
      </c>
      <c r="X238" s="3103" t="s">
        <v>6792</v>
      </c>
      <c r="Y238" s="3104" t="s">
        <v>164</v>
      </c>
    </row>
    <row r="239" spans="1:25" ht="18">
      <c r="A239" s="1304"/>
      <c r="B239" s="643">
        <v>2231</v>
      </c>
      <c r="C239" s="643" t="s">
        <v>1538</v>
      </c>
      <c r="D239" s="3088">
        <v>1</v>
      </c>
      <c r="E239" s="3089" t="str">
        <f t="shared" si="26"/>
        <v>应付利息</v>
      </c>
      <c r="F239" s="3090" t="s">
        <v>1539</v>
      </c>
      <c r="G239" s="3091">
        <f t="shared" si="27"/>
        <v>0</v>
      </c>
      <c r="H239" s="3092">
        <f t="shared" ca="1" si="32"/>
        <v>0</v>
      </c>
      <c r="I239" s="3094">
        <f ca="1">IF(AND(LEN(G239)&gt;0,LEN(H239)&gt;0),ROUND(SUM(G239)-SUM(H239),2),"")</f>
        <v>0</v>
      </c>
      <c r="J239" s="3073" t="str">
        <f ca="1">IF(ISNA(I239),"N/A",IF(I239=0,"√","？"))</f>
        <v>√</v>
      </c>
      <c r="K239" s="3091">
        <f t="shared" si="31"/>
        <v>0</v>
      </c>
      <c r="L239" s="3072">
        <f t="shared" ca="1" si="33"/>
        <v>0</v>
      </c>
      <c r="M239" s="3094">
        <f ca="1">IF(AND(LEN(K239)&gt;0,LEN(L239)&gt;0),ROUND(SUM(K239)-SUM(L239),2),"")</f>
        <v>0</v>
      </c>
      <c r="N239" s="3073" t="str">
        <f ca="1">IF(ISNA(M239),"N/A",IF(M239=0,"√","？"))</f>
        <v>√</v>
      </c>
      <c r="O239" s="3100"/>
      <c r="P239" s="3101"/>
      <c r="Q239" s="3101"/>
      <c r="R239" s="3101"/>
      <c r="S239" s="3102" t="s">
        <v>295</v>
      </c>
      <c r="T239" s="3102" t="s">
        <v>213</v>
      </c>
      <c r="U239" s="3103"/>
      <c r="V239" s="3103" t="s">
        <v>295</v>
      </c>
      <c r="W239" s="3103" t="s">
        <v>6791</v>
      </c>
      <c r="X239" s="3103" t="s">
        <v>6792</v>
      </c>
      <c r="Y239" s="3104" t="s">
        <v>164</v>
      </c>
    </row>
    <row r="240" spans="1:25" ht="24" hidden="1">
      <c r="A240" s="1304"/>
      <c r="B240" s="643">
        <v>2231</v>
      </c>
      <c r="C240" s="643" t="s">
        <v>1543</v>
      </c>
      <c r="D240" s="3088">
        <v>2</v>
      </c>
      <c r="E240" s="3089" t="str">
        <f t="shared" si="26"/>
        <v>应付利息</v>
      </c>
      <c r="F240" s="3090" t="s">
        <v>1544</v>
      </c>
      <c r="G240" s="3091">
        <f t="shared" si="27"/>
        <v>0</v>
      </c>
      <c r="H240" s="3092" t="s">
        <v>6793</v>
      </c>
      <c r="I240" s="3094" t="s">
        <v>6797</v>
      </c>
      <c r="J240" s="3073"/>
      <c r="K240" s="3091">
        <f t="shared" si="31"/>
        <v>0</v>
      </c>
      <c r="L240" s="3072" t="s">
        <v>6793</v>
      </c>
      <c r="M240" s="3094" t="s">
        <v>6797</v>
      </c>
      <c r="N240" s="3073"/>
      <c r="O240" s="3100"/>
      <c r="P240" s="3101"/>
      <c r="Q240" s="3101"/>
      <c r="R240" s="3101"/>
      <c r="S240" s="3102" t="s">
        <v>295</v>
      </c>
      <c r="T240" s="3102" t="s">
        <v>213</v>
      </c>
      <c r="U240" s="3103"/>
      <c r="V240" s="3103" t="s">
        <v>295</v>
      </c>
      <c r="W240" s="3103" t="s">
        <v>6791</v>
      </c>
      <c r="X240" s="3103" t="s">
        <v>6792</v>
      </c>
      <c r="Y240" s="3104" t="s">
        <v>164</v>
      </c>
    </row>
    <row r="241" spans="1:25" ht="18">
      <c r="A241" s="1304"/>
      <c r="B241" s="643">
        <v>2232</v>
      </c>
      <c r="C241" s="643" t="s">
        <v>1549</v>
      </c>
      <c r="D241" s="3088">
        <v>1</v>
      </c>
      <c r="E241" s="3089" t="str">
        <f t="shared" si="26"/>
        <v>应付股利</v>
      </c>
      <c r="F241" s="3090" t="s">
        <v>1550</v>
      </c>
      <c r="G241" s="3091">
        <f t="shared" si="27"/>
        <v>0</v>
      </c>
      <c r="H241" s="3092">
        <f t="shared" ref="H241:H247" ca="1" si="34">INDIRECT("Notes!CheckA"&amp;$C241)</f>
        <v>0</v>
      </c>
      <c r="I241" s="3094">
        <f ca="1">IF(AND(LEN(G241)&gt;0,LEN(H241)&gt;0),ROUND(SUM(G241)-SUM(H241),2),"")</f>
        <v>0</v>
      </c>
      <c r="J241" s="3073" t="str">
        <f ca="1">IF(ISNA(I241),"N/A",IF(I241=0,"√","？"))</f>
        <v>√</v>
      </c>
      <c r="K241" s="3091">
        <f t="shared" si="31"/>
        <v>0</v>
      </c>
      <c r="L241" s="3072">
        <f ca="1">INDIRECT("Notes!CheckB"&amp;$C241)</f>
        <v>0</v>
      </c>
      <c r="M241" s="3094">
        <f ca="1">IF(AND(LEN(K241)&gt;0,LEN(L241)&gt;0),ROUND(SUM(K241)-SUM(L241),2),"")</f>
        <v>0</v>
      </c>
      <c r="N241" s="3073" t="str">
        <f ca="1">IF(ISNA(M241),"N/A",IF(M241=0,"√","？"))</f>
        <v>√</v>
      </c>
      <c r="O241" s="3100"/>
      <c r="P241" s="3101"/>
      <c r="Q241" s="3101"/>
      <c r="R241" s="3101"/>
      <c r="S241" s="3102" t="s">
        <v>295</v>
      </c>
      <c r="T241" s="3102" t="s">
        <v>213</v>
      </c>
      <c r="U241" s="3103"/>
      <c r="V241" s="3103" t="s">
        <v>295</v>
      </c>
      <c r="W241" s="3103" t="s">
        <v>6791</v>
      </c>
      <c r="X241" s="3103" t="s">
        <v>6792</v>
      </c>
      <c r="Y241" s="3104" t="s">
        <v>164</v>
      </c>
    </row>
    <row r="242" spans="1:25" ht="24" hidden="1">
      <c r="A242" s="1304"/>
      <c r="B242" s="643">
        <v>2232</v>
      </c>
      <c r="C242" s="643" t="s">
        <v>1554</v>
      </c>
      <c r="D242" s="3088">
        <v>2</v>
      </c>
      <c r="E242" s="3089" t="str">
        <f t="shared" si="26"/>
        <v>应付股利</v>
      </c>
      <c r="F242" s="3090" t="s">
        <v>1555</v>
      </c>
      <c r="G242" s="3091">
        <f t="shared" si="27"/>
        <v>0</v>
      </c>
      <c r="H242" s="3092">
        <f t="shared" ca="1" si="34"/>
        <v>0</v>
      </c>
      <c r="I242" s="3094" t="s">
        <v>6797</v>
      </c>
      <c r="J242" s="3073"/>
      <c r="K242" s="3091">
        <f t="shared" si="31"/>
        <v>0</v>
      </c>
      <c r="L242" s="3072" t="s">
        <v>6793</v>
      </c>
      <c r="M242" s="3094" t="s">
        <v>6797</v>
      </c>
      <c r="N242" s="3073"/>
      <c r="O242" s="3100"/>
      <c r="P242" s="3101"/>
      <c r="Q242" s="3101"/>
      <c r="R242" s="3101"/>
      <c r="S242" s="3102" t="s">
        <v>295</v>
      </c>
      <c r="T242" s="3102" t="s">
        <v>213</v>
      </c>
      <c r="U242" s="3103"/>
      <c r="V242" s="3103" t="s">
        <v>295</v>
      </c>
      <c r="W242" s="3103" t="s">
        <v>6791</v>
      </c>
      <c r="X242" s="3103" t="s">
        <v>6792</v>
      </c>
      <c r="Y242" s="3104" t="s">
        <v>164</v>
      </c>
    </row>
    <row r="243" spans="1:25" ht="24">
      <c r="A243" s="1304"/>
      <c r="B243" s="643">
        <v>2241</v>
      </c>
      <c r="C243" s="643" t="s">
        <v>1559</v>
      </c>
      <c r="D243" s="3088">
        <v>1</v>
      </c>
      <c r="E243" s="3089" t="str">
        <f t="shared" si="26"/>
        <v>其他应付款</v>
      </c>
      <c r="F243" s="3090" t="s">
        <v>1560</v>
      </c>
      <c r="G243" s="3091">
        <f t="shared" si="27"/>
        <v>4224459.3600000003</v>
      </c>
      <c r="H243" s="3092">
        <f t="shared" ca="1" si="34"/>
        <v>4224459.3600000003</v>
      </c>
      <c r="I243" s="3094">
        <f ca="1">IF(AND(LEN(G243)&gt;0,LEN(H243)&gt;0),ROUND(SUM(G243)-SUM(H243),2),"")</f>
        <v>0</v>
      </c>
      <c r="J243" s="3073" t="str">
        <f ca="1">IF(ISNA(I243),"N/A",IF(I243=0,"√","？"))</f>
        <v>√</v>
      </c>
      <c r="K243" s="3091">
        <f t="shared" si="31"/>
        <v>113852180.2</v>
      </c>
      <c r="L243" s="3072">
        <f ca="1">INDIRECT("Notes!CheckB"&amp;$C243)</f>
        <v>113852180.2</v>
      </c>
      <c r="M243" s="3094">
        <f ca="1">IF(AND(LEN(K243)&gt;0,LEN(L243)&gt;0),ROUND(SUM(K243)-SUM(L243),2),"")</f>
        <v>0</v>
      </c>
      <c r="N243" s="3073" t="str">
        <f ca="1">IF(ISNA(M243),"N/A",IF(M243=0,"√","？"))</f>
        <v>√</v>
      </c>
      <c r="O243" s="3100"/>
      <c r="P243" s="3101"/>
      <c r="Q243" s="3101"/>
      <c r="R243" s="3101"/>
      <c r="S243" s="3102" t="s">
        <v>295</v>
      </c>
      <c r="T243" s="3102" t="s">
        <v>213</v>
      </c>
      <c r="U243" s="3103"/>
      <c r="V243" s="3103" t="s">
        <v>295</v>
      </c>
      <c r="W243" s="3103" t="s">
        <v>6791</v>
      </c>
      <c r="X243" s="3103" t="s">
        <v>6792</v>
      </c>
      <c r="Y243" s="3104" t="s">
        <v>164</v>
      </c>
    </row>
    <row r="244" spans="1:25" ht="18">
      <c r="A244" s="1304"/>
      <c r="B244" s="643">
        <v>2241</v>
      </c>
      <c r="C244" s="643" t="s">
        <v>1569</v>
      </c>
      <c r="D244" s="3088">
        <v>1</v>
      </c>
      <c r="E244" s="3089" t="str">
        <f t="shared" si="26"/>
        <v>其他应付款</v>
      </c>
      <c r="F244" s="3090" t="s">
        <v>1570</v>
      </c>
      <c r="G244" s="3091">
        <f t="shared" si="27"/>
        <v>4224459.3600000003</v>
      </c>
      <c r="H244" s="3092">
        <f t="shared" ca="1" si="34"/>
        <v>0</v>
      </c>
      <c r="I244" s="3094">
        <f ca="1">IF(AND(LEN(G244)&gt;0,LEN(H244)&gt;0),ROUND(SUM(G244)-SUM(H244),2),"")</f>
        <v>4224459.3600000003</v>
      </c>
      <c r="J244" s="3073" t="str">
        <f ca="1">IF(ISNA(I244),"N/A",IF(I244=0,"√","？"))</f>
        <v>？</v>
      </c>
      <c r="K244" s="3091">
        <f t="shared" si="31"/>
        <v>113852180.2</v>
      </c>
      <c r="L244" s="3072">
        <f ca="1">INDIRECT("Notes!CheckB"&amp;$C244)</f>
        <v>0</v>
      </c>
      <c r="M244" s="3094">
        <f ca="1">IF(AND(LEN(K244)&gt;0,LEN(L244)&gt;0),ROUND(SUM(K244)-SUM(L244),2),"")</f>
        <v>113852180.2</v>
      </c>
      <c r="N244" s="3073" t="str">
        <f ca="1">IF(ISNA(M244),"N/A",IF(M244=0,"√","？"))</f>
        <v>？</v>
      </c>
      <c r="O244" s="3100"/>
      <c r="P244" s="3101"/>
      <c r="Q244" s="3101"/>
      <c r="R244" s="3101"/>
      <c r="S244" s="3102" t="s">
        <v>295</v>
      </c>
      <c r="T244" s="3102" t="s">
        <v>213</v>
      </c>
      <c r="U244" s="3103"/>
      <c r="V244" s="3103" t="s">
        <v>295</v>
      </c>
      <c r="W244" s="3103" t="s">
        <v>6791</v>
      </c>
      <c r="X244" s="3103" t="s">
        <v>213</v>
      </c>
      <c r="Y244" s="3104" t="s">
        <v>164</v>
      </c>
    </row>
    <row r="245" spans="1:25" ht="24" hidden="1">
      <c r="A245" s="1304"/>
      <c r="B245" s="643">
        <v>2241</v>
      </c>
      <c r="C245" s="643" t="s">
        <v>1564</v>
      </c>
      <c r="D245" s="3088">
        <v>2</v>
      </c>
      <c r="E245" s="3089" t="str">
        <f t="shared" si="26"/>
        <v>其他应付款</v>
      </c>
      <c r="F245" s="3090" t="s">
        <v>1565</v>
      </c>
      <c r="G245" s="3091">
        <f t="shared" si="27"/>
        <v>4224459.3600000003</v>
      </c>
      <c r="H245" s="3092">
        <f t="shared" ca="1" si="34"/>
        <v>0</v>
      </c>
      <c r="I245" s="3094" t="s">
        <v>6797</v>
      </c>
      <c r="J245" s="3073"/>
      <c r="K245" s="3091">
        <f t="shared" si="31"/>
        <v>113852180.2</v>
      </c>
      <c r="L245" s="3072" t="s">
        <v>6793</v>
      </c>
      <c r="M245" s="3094" t="s">
        <v>6797</v>
      </c>
      <c r="N245" s="3073"/>
      <c r="O245" s="3100"/>
      <c r="P245" s="3101"/>
      <c r="Q245" s="3101"/>
      <c r="R245" s="3101"/>
      <c r="S245" s="3102" t="s">
        <v>295</v>
      </c>
      <c r="T245" s="3102" t="s">
        <v>213</v>
      </c>
      <c r="U245" s="3103"/>
      <c r="V245" s="3103" t="s">
        <v>295</v>
      </c>
      <c r="W245" s="3103" t="s">
        <v>6791</v>
      </c>
      <c r="X245" s="3103" t="s">
        <v>6792</v>
      </c>
      <c r="Y245" s="3104" t="s">
        <v>164</v>
      </c>
    </row>
    <row r="246" spans="1:25" ht="24" hidden="1">
      <c r="A246" s="1304"/>
      <c r="B246" s="643">
        <v>2241</v>
      </c>
      <c r="C246" s="643" t="s">
        <v>1579</v>
      </c>
      <c r="D246" s="3088">
        <v>2</v>
      </c>
      <c r="E246" s="3089" t="str">
        <f t="shared" si="26"/>
        <v>其他应付款</v>
      </c>
      <c r="F246" s="3090" t="s">
        <v>1580</v>
      </c>
      <c r="G246" s="3091">
        <f t="shared" si="27"/>
        <v>4224459.3600000003</v>
      </c>
      <c r="H246" s="3092">
        <f t="shared" ca="1" si="34"/>
        <v>0</v>
      </c>
      <c r="I246" s="3094" t="s">
        <v>6797</v>
      </c>
      <c r="J246" s="3073"/>
      <c r="K246" s="3091">
        <f t="shared" si="31"/>
        <v>113852180.2</v>
      </c>
      <c r="L246" s="3072" t="s">
        <v>6793</v>
      </c>
      <c r="M246" s="3094" t="s">
        <v>6797</v>
      </c>
      <c r="N246" s="3073"/>
      <c r="O246" s="3100"/>
      <c r="P246" s="3101"/>
      <c r="Q246" s="3101"/>
      <c r="R246" s="3101"/>
      <c r="S246" s="3102" t="s">
        <v>295</v>
      </c>
      <c r="T246" s="3102" t="s">
        <v>213</v>
      </c>
      <c r="U246" s="3103"/>
      <c r="V246" s="3103" t="s">
        <v>295</v>
      </c>
      <c r="W246" s="3103" t="s">
        <v>6791</v>
      </c>
      <c r="X246" s="3103" t="s">
        <v>213</v>
      </c>
      <c r="Y246" s="3104" t="s">
        <v>164</v>
      </c>
    </row>
    <row r="247" spans="1:25" ht="18" hidden="1">
      <c r="A247" s="1304"/>
      <c r="B247" s="643">
        <v>2241</v>
      </c>
      <c r="C247" s="643" t="s">
        <v>1584</v>
      </c>
      <c r="D247" s="3088">
        <v>2</v>
      </c>
      <c r="E247" s="3089" t="str">
        <f t="shared" si="26"/>
        <v>其他应付款</v>
      </c>
      <c r="F247" s="3090" t="s">
        <v>1585</v>
      </c>
      <c r="G247" s="3091">
        <f t="shared" si="27"/>
        <v>4224459.3600000003</v>
      </c>
      <c r="H247" s="3092">
        <f t="shared" ca="1" si="34"/>
        <v>0</v>
      </c>
      <c r="I247" s="3094" t="s">
        <v>6797</v>
      </c>
      <c r="J247" s="3073"/>
      <c r="K247" s="3091">
        <f t="shared" si="31"/>
        <v>113852180.2</v>
      </c>
      <c r="L247" s="3072" t="s">
        <v>6793</v>
      </c>
      <c r="M247" s="3094" t="s">
        <v>6797</v>
      </c>
      <c r="N247" s="3073"/>
      <c r="O247" s="3100"/>
      <c r="P247" s="3101"/>
      <c r="Q247" s="3101"/>
      <c r="R247" s="3101"/>
      <c r="S247" s="3102" t="s">
        <v>295</v>
      </c>
      <c r="T247" s="3102" t="s">
        <v>213</v>
      </c>
      <c r="U247" s="3103"/>
      <c r="V247" s="3103" t="s">
        <v>295</v>
      </c>
      <c r="W247" s="3103" t="s">
        <v>6791</v>
      </c>
      <c r="X247" s="3103" t="s">
        <v>213</v>
      </c>
      <c r="Y247" s="3104" t="s">
        <v>164</v>
      </c>
    </row>
    <row r="248" spans="1:25" ht="24" hidden="1">
      <c r="A248" s="1304"/>
      <c r="B248" s="643">
        <v>2241</v>
      </c>
      <c r="C248" s="643" t="s">
        <v>1574</v>
      </c>
      <c r="D248" s="3088">
        <v>2</v>
      </c>
      <c r="E248" s="3089" t="str">
        <f t="shared" si="26"/>
        <v>其他应付款</v>
      </c>
      <c r="F248" s="3090" t="s">
        <v>1575</v>
      </c>
      <c r="G248" s="3091">
        <f t="shared" si="27"/>
        <v>4224459.3600000003</v>
      </c>
      <c r="H248" s="3092" t="s">
        <v>6793</v>
      </c>
      <c r="I248" s="3094" t="s">
        <v>6797</v>
      </c>
      <c r="J248" s="3073"/>
      <c r="K248" s="3091">
        <f t="shared" si="31"/>
        <v>113852180.2</v>
      </c>
      <c r="L248" s="3072" t="s">
        <v>6793</v>
      </c>
      <c r="M248" s="3094" t="s">
        <v>6797</v>
      </c>
      <c r="N248" s="3073"/>
      <c r="O248" s="3100"/>
      <c r="P248" s="3101"/>
      <c r="Q248" s="3101"/>
      <c r="R248" s="3101"/>
      <c r="S248" s="3102" t="s">
        <v>295</v>
      </c>
      <c r="T248" s="3102" t="s">
        <v>213</v>
      </c>
      <c r="U248" s="3103"/>
      <c r="V248" s="3103" t="s">
        <v>295</v>
      </c>
      <c r="W248" s="3103" t="s">
        <v>6791</v>
      </c>
      <c r="X248" s="3103" t="s">
        <v>213</v>
      </c>
      <c r="Y248" s="3104" t="s">
        <v>164</v>
      </c>
    </row>
    <row r="249" spans="1:25" ht="18" hidden="1">
      <c r="A249" s="1304"/>
      <c r="B249" s="643">
        <v>2241</v>
      </c>
      <c r="C249" s="643" t="s">
        <v>1589</v>
      </c>
      <c r="D249" s="3088">
        <v>2</v>
      </c>
      <c r="E249" s="3089" t="str">
        <f t="shared" si="26"/>
        <v>其他应付款</v>
      </c>
      <c r="F249" s="3090" t="s">
        <v>1590</v>
      </c>
      <c r="G249" s="3091">
        <f t="shared" si="27"/>
        <v>4224459.3600000003</v>
      </c>
      <c r="H249" s="3092">
        <f t="shared" ref="H249:H272" ca="1" si="35">INDIRECT("Notes!CheckA"&amp;$C249)</f>
        <v>0</v>
      </c>
      <c r="I249" s="3094" t="s">
        <v>6797</v>
      </c>
      <c r="J249" s="3073"/>
      <c r="K249" s="3091">
        <f t="shared" si="31"/>
        <v>113852180.2</v>
      </c>
      <c r="L249" s="3072" t="s">
        <v>6793</v>
      </c>
      <c r="M249" s="3094" t="s">
        <v>6797</v>
      </c>
      <c r="N249" s="3073"/>
      <c r="O249" s="3100"/>
      <c r="P249" s="3101"/>
      <c r="Q249" s="3101"/>
      <c r="R249" s="3101"/>
      <c r="S249" s="3102" t="s">
        <v>295</v>
      </c>
      <c r="T249" s="3102" t="s">
        <v>213</v>
      </c>
      <c r="U249" s="3103"/>
      <c r="V249" s="3103" t="s">
        <v>295</v>
      </c>
      <c r="W249" s="3103" t="s">
        <v>6791</v>
      </c>
      <c r="X249" s="3103" t="s">
        <v>213</v>
      </c>
      <c r="Y249" s="3104" t="s">
        <v>164</v>
      </c>
    </row>
    <row r="250" spans="1:25" ht="18">
      <c r="A250" s="1304"/>
      <c r="B250" s="643">
        <v>2315</v>
      </c>
      <c r="C250" s="643" t="s">
        <v>1599</v>
      </c>
      <c r="D250" s="3088">
        <v>1</v>
      </c>
      <c r="E250" s="3089" t="str">
        <f t="shared" si="26"/>
        <v>持有待售负债</v>
      </c>
      <c r="F250" s="3090" t="s">
        <v>6449</v>
      </c>
      <c r="G250" s="3091">
        <f t="shared" si="27"/>
        <v>0</v>
      </c>
      <c r="H250" s="3092">
        <f t="shared" ca="1" si="35"/>
        <v>0</v>
      </c>
      <c r="I250" s="3094">
        <f ca="1">IF(AND(LEN(G250)&gt;0,LEN(H250)&gt;0),ROUND(SUM(G250)-SUM(H250),2),"")</f>
        <v>0</v>
      </c>
      <c r="J250" s="3073" t="str">
        <f ca="1">IF(ISNA(I250),"N/A",IF(I250=0,"√","？"))</f>
        <v>√</v>
      </c>
      <c r="K250" s="3091">
        <f t="shared" si="31"/>
        <v>0</v>
      </c>
      <c r="L250" s="3072">
        <f t="shared" ref="L250:L257" ca="1" si="36">INDIRECT("Notes!CheckB"&amp;$C250)</f>
        <v>0</v>
      </c>
      <c r="M250" s="3094">
        <f ca="1">IF(AND(LEN(K250)&gt;0,LEN(L250)&gt;0),ROUND(SUM(K250)-SUM(L250),2),"")</f>
        <v>0</v>
      </c>
      <c r="N250" s="3073" t="str">
        <f ca="1">IF(ISNA(M250),"N/A",IF(M250=0,"√","？"))</f>
        <v>√</v>
      </c>
      <c r="O250" s="3100"/>
      <c r="P250" s="3101"/>
      <c r="Q250" s="3101"/>
      <c r="R250" s="3101"/>
      <c r="S250" s="3102" t="s">
        <v>295</v>
      </c>
      <c r="T250" s="3102" t="s">
        <v>213</v>
      </c>
      <c r="U250" s="3103"/>
      <c r="V250" s="3103" t="s">
        <v>295</v>
      </c>
      <c r="W250" s="3103" t="s">
        <v>6791</v>
      </c>
      <c r="X250" s="3103" t="s">
        <v>6792</v>
      </c>
      <c r="Y250" s="3104" t="s">
        <v>164</v>
      </c>
    </row>
    <row r="251" spans="1:25" ht="24">
      <c r="A251" s="1304"/>
      <c r="B251" s="643">
        <v>2395</v>
      </c>
      <c r="C251" s="643" t="s">
        <v>1603</v>
      </c>
      <c r="D251" s="3088">
        <v>1</v>
      </c>
      <c r="E251" s="3089" t="str">
        <f t="shared" si="26"/>
        <v>一年内到期的非流动负债</v>
      </c>
      <c r="F251" s="3090" t="s">
        <v>1604</v>
      </c>
      <c r="G251" s="3091">
        <f t="shared" si="27"/>
        <v>0</v>
      </c>
      <c r="H251" s="3092">
        <f t="shared" ca="1" si="35"/>
        <v>0</v>
      </c>
      <c r="I251" s="3094">
        <f ca="1">IF(AND(LEN(G251)&gt;0,LEN(H251)&gt;0),ROUND(SUM(G251)-SUM(H251),2),"")</f>
        <v>0</v>
      </c>
      <c r="J251" s="3073" t="str">
        <f ca="1">IF(ISNA(I251),"N/A",IF(I251=0,"√","？"))</f>
        <v>√</v>
      </c>
      <c r="K251" s="3091">
        <f t="shared" si="31"/>
        <v>0</v>
      </c>
      <c r="L251" s="3072">
        <f t="shared" ca="1" si="36"/>
        <v>0</v>
      </c>
      <c r="M251" s="3094">
        <f ca="1">IF(AND(LEN(K251)&gt;0,LEN(L251)&gt;0),ROUND(SUM(K251)-SUM(L251),2),"")</f>
        <v>0</v>
      </c>
      <c r="N251" s="3073" t="str">
        <f ca="1">IF(ISNA(M251),"N/A",IF(M251=0,"√","？"))</f>
        <v>√</v>
      </c>
      <c r="O251" s="3100"/>
      <c r="P251" s="3101"/>
      <c r="Q251" s="3101"/>
      <c r="R251" s="3101"/>
      <c r="S251" s="3102" t="s">
        <v>295</v>
      </c>
      <c r="T251" s="3102" t="s">
        <v>213</v>
      </c>
      <c r="U251" s="3103"/>
      <c r="V251" s="3103" t="s">
        <v>295</v>
      </c>
      <c r="W251" s="3103" t="s">
        <v>6791</v>
      </c>
      <c r="X251" s="3103" t="s">
        <v>6792</v>
      </c>
      <c r="Y251" s="3104" t="s">
        <v>164</v>
      </c>
    </row>
    <row r="252" spans="1:25" ht="24" hidden="1">
      <c r="A252" s="1304"/>
      <c r="B252" s="643">
        <v>2395</v>
      </c>
      <c r="C252" s="643" t="s">
        <v>1608</v>
      </c>
      <c r="D252" s="3088">
        <v>2</v>
      </c>
      <c r="E252" s="3089" t="str">
        <f t="shared" si="26"/>
        <v>一年内到期的非流动负债</v>
      </c>
      <c r="F252" s="3090" t="s">
        <v>6450</v>
      </c>
      <c r="G252" s="3091">
        <f t="shared" si="27"/>
        <v>0</v>
      </c>
      <c r="H252" s="3092">
        <f t="shared" ca="1" si="35"/>
        <v>0</v>
      </c>
      <c r="I252" s="3094" t="s">
        <v>6797</v>
      </c>
      <c r="J252" s="3073"/>
      <c r="K252" s="3091">
        <f t="shared" si="31"/>
        <v>0</v>
      </c>
      <c r="L252" s="3072">
        <f t="shared" ca="1" si="36"/>
        <v>0</v>
      </c>
      <c r="M252" s="3094" t="s">
        <v>6797</v>
      </c>
      <c r="N252" s="3073"/>
      <c r="O252" s="3100"/>
      <c r="P252" s="3101"/>
      <c r="Q252" s="3101"/>
      <c r="R252" s="3101"/>
      <c r="S252" s="3102" t="s">
        <v>295</v>
      </c>
      <c r="T252" s="3102" t="s">
        <v>213</v>
      </c>
      <c r="U252" s="3103"/>
      <c r="V252" s="3103" t="s">
        <v>295</v>
      </c>
      <c r="W252" s="3103" t="s">
        <v>145</v>
      </c>
      <c r="X252" s="3103" t="s">
        <v>213</v>
      </c>
      <c r="Y252" s="3104" t="s">
        <v>164</v>
      </c>
    </row>
    <row r="253" spans="1:25" ht="24" hidden="1">
      <c r="A253" s="1304"/>
      <c r="B253" s="643">
        <v>2395</v>
      </c>
      <c r="C253" s="643" t="s">
        <v>1612</v>
      </c>
      <c r="D253" s="3088">
        <v>2</v>
      </c>
      <c r="E253" s="3089" t="str">
        <f t="shared" si="26"/>
        <v>一年内到期的非流动负债</v>
      </c>
      <c r="F253" s="3090" t="s">
        <v>6451</v>
      </c>
      <c r="G253" s="3091">
        <f t="shared" si="27"/>
        <v>0</v>
      </c>
      <c r="H253" s="3092">
        <f t="shared" ca="1" si="35"/>
        <v>0</v>
      </c>
      <c r="I253" s="3094" t="s">
        <v>6797</v>
      </c>
      <c r="J253" s="3073"/>
      <c r="K253" s="3091">
        <f t="shared" si="31"/>
        <v>0</v>
      </c>
      <c r="L253" s="3072">
        <f t="shared" ca="1" si="36"/>
        <v>0</v>
      </c>
      <c r="M253" s="3094" t="s">
        <v>6797</v>
      </c>
      <c r="N253" s="3073"/>
      <c r="O253" s="3100"/>
      <c r="P253" s="3101"/>
      <c r="Q253" s="3101"/>
      <c r="R253" s="3101"/>
      <c r="S253" s="3102" t="s">
        <v>295</v>
      </c>
      <c r="T253" s="3102" t="s">
        <v>213</v>
      </c>
      <c r="U253" s="3103"/>
      <c r="V253" s="3103" t="s">
        <v>295</v>
      </c>
      <c r="W253" s="3103" t="s">
        <v>145</v>
      </c>
      <c r="X253" s="3103" t="s">
        <v>213</v>
      </c>
      <c r="Y253" s="3104" t="s">
        <v>164</v>
      </c>
    </row>
    <row r="254" spans="1:25" ht="24" hidden="1">
      <c r="A254" s="1304"/>
      <c r="B254" s="643">
        <v>2395</v>
      </c>
      <c r="C254" s="643" t="s">
        <v>1617</v>
      </c>
      <c r="D254" s="3088">
        <v>2</v>
      </c>
      <c r="E254" s="3089" t="str">
        <f t="shared" si="26"/>
        <v>一年内到期的非流动负债</v>
      </c>
      <c r="F254" s="3090" t="s">
        <v>6452</v>
      </c>
      <c r="G254" s="3091">
        <f t="shared" si="27"/>
        <v>0</v>
      </c>
      <c r="H254" s="3092">
        <f t="shared" ca="1" si="35"/>
        <v>0</v>
      </c>
      <c r="I254" s="3094" t="s">
        <v>6797</v>
      </c>
      <c r="J254" s="3073"/>
      <c r="K254" s="3091">
        <f t="shared" si="31"/>
        <v>0</v>
      </c>
      <c r="L254" s="3072">
        <f t="shared" ca="1" si="36"/>
        <v>0</v>
      </c>
      <c r="M254" s="3094" t="s">
        <v>6797</v>
      </c>
      <c r="N254" s="3073"/>
      <c r="O254" s="3100"/>
      <c r="P254" s="3101"/>
      <c r="Q254" s="3101"/>
      <c r="R254" s="3101"/>
      <c r="S254" s="3102" t="s">
        <v>295</v>
      </c>
      <c r="T254" s="3102" t="s">
        <v>213</v>
      </c>
      <c r="U254" s="3103"/>
      <c r="V254" s="3103" t="s">
        <v>295</v>
      </c>
      <c r="W254" s="3103" t="s">
        <v>145</v>
      </c>
      <c r="X254" s="3103" t="s">
        <v>213</v>
      </c>
      <c r="Y254" s="3104" t="s">
        <v>164</v>
      </c>
    </row>
    <row r="255" spans="1:25" ht="18">
      <c r="A255" s="1304"/>
      <c r="B255" s="643">
        <v>2396</v>
      </c>
      <c r="C255" s="643" t="s">
        <v>1621</v>
      </c>
      <c r="D255" s="3088">
        <v>1</v>
      </c>
      <c r="E255" s="3089" t="str">
        <f t="shared" si="26"/>
        <v>其他流动负债</v>
      </c>
      <c r="F255" s="3090" t="s">
        <v>1622</v>
      </c>
      <c r="G255" s="3091">
        <f t="shared" si="27"/>
        <v>0</v>
      </c>
      <c r="H255" s="3092">
        <f t="shared" ca="1" si="35"/>
        <v>0</v>
      </c>
      <c r="I255" s="3094">
        <f ca="1">IF(AND(LEN(G255)&gt;0,LEN(H255)&gt;0),ROUND(SUM(G255)-SUM(H255),2),"")</f>
        <v>0</v>
      </c>
      <c r="J255" s="3073" t="str">
        <f ca="1">IF(ISNA(I255),"N/A",IF(I255=0,"√","？"))</f>
        <v>√</v>
      </c>
      <c r="K255" s="3091">
        <f t="shared" si="31"/>
        <v>0</v>
      </c>
      <c r="L255" s="3072">
        <f t="shared" ca="1" si="36"/>
        <v>0</v>
      </c>
      <c r="M255" s="3094">
        <f ca="1">IF(AND(LEN(K255)&gt;0,LEN(L255)&gt;0),ROUND(SUM(K255)-SUM(L255),2),"")</f>
        <v>0</v>
      </c>
      <c r="N255" s="3073" t="str">
        <f ca="1">IF(ISNA(M255),"N/A",IF(M255=0,"√","？"))</f>
        <v>√</v>
      </c>
      <c r="O255" s="3100"/>
      <c r="P255" s="3101"/>
      <c r="Q255" s="3101"/>
      <c r="R255" s="3101"/>
      <c r="S255" s="3102" t="s">
        <v>295</v>
      </c>
      <c r="T255" s="3102" t="s">
        <v>213</v>
      </c>
      <c r="U255" s="3103"/>
      <c r="V255" s="3103" t="s">
        <v>295</v>
      </c>
      <c r="W255" s="3103" t="s">
        <v>6791</v>
      </c>
      <c r="X255" s="3103" t="s">
        <v>6792</v>
      </c>
      <c r="Y255" s="3104" t="s">
        <v>164</v>
      </c>
    </row>
    <row r="256" spans="1:25" ht="24" hidden="1">
      <c r="A256" s="1304"/>
      <c r="B256" s="643">
        <v>2396</v>
      </c>
      <c r="C256" s="643" t="s">
        <v>1626</v>
      </c>
      <c r="D256" s="3088">
        <v>2</v>
      </c>
      <c r="E256" s="3089" t="str">
        <f t="shared" si="26"/>
        <v>其他流动负债</v>
      </c>
      <c r="F256" s="3090" t="s">
        <v>6453</v>
      </c>
      <c r="G256" s="3091">
        <f t="shared" si="27"/>
        <v>0</v>
      </c>
      <c r="H256" s="3092">
        <f t="shared" ca="1" si="35"/>
        <v>0</v>
      </c>
      <c r="I256" s="3094" t="s">
        <v>6797</v>
      </c>
      <c r="J256" s="3073"/>
      <c r="K256" s="3091">
        <f t="shared" si="31"/>
        <v>0</v>
      </c>
      <c r="L256" s="3072">
        <f t="shared" ca="1" si="36"/>
        <v>0</v>
      </c>
      <c r="M256" s="3094" t="s">
        <v>6797</v>
      </c>
      <c r="N256" s="3073"/>
      <c r="O256" s="3100"/>
      <c r="P256" s="3101"/>
      <c r="Q256" s="3101"/>
      <c r="R256" s="3101"/>
      <c r="S256" s="3102" t="s">
        <v>295</v>
      </c>
      <c r="T256" s="3102" t="s">
        <v>213</v>
      </c>
      <c r="U256" s="3103"/>
      <c r="V256" s="3103" t="s">
        <v>295</v>
      </c>
      <c r="W256" s="3103" t="s">
        <v>6791</v>
      </c>
      <c r="X256" s="3103" t="s">
        <v>6792</v>
      </c>
      <c r="Y256" s="3104" t="s">
        <v>164</v>
      </c>
    </row>
    <row r="257" spans="1:25" ht="18">
      <c r="A257" s="1304"/>
      <c r="B257" s="643">
        <v>2501</v>
      </c>
      <c r="C257" s="643" t="s">
        <v>1637</v>
      </c>
      <c r="D257" s="3088">
        <v>1</v>
      </c>
      <c r="E257" s="3089" t="str">
        <f t="shared" si="26"/>
        <v>长期借款</v>
      </c>
      <c r="F257" s="3090" t="s">
        <v>1638</v>
      </c>
      <c r="G257" s="3091">
        <f t="shared" si="27"/>
        <v>0</v>
      </c>
      <c r="H257" s="3092">
        <f t="shared" ca="1" si="35"/>
        <v>0</v>
      </c>
      <c r="I257" s="3094">
        <f ca="1">IF(AND(LEN(G257)&gt;0,LEN(H257)&gt;0),ROUND(SUM(G257)-SUM(H257),2),"")</f>
        <v>0</v>
      </c>
      <c r="J257" s="3073" t="str">
        <f ca="1">IF(ISNA(I257),"N/A",IF(I257=0,"√","？"))</f>
        <v>√</v>
      </c>
      <c r="K257" s="3091">
        <f t="shared" si="31"/>
        <v>0</v>
      </c>
      <c r="L257" s="3072">
        <f t="shared" ca="1" si="36"/>
        <v>0</v>
      </c>
      <c r="M257" s="3094">
        <f ca="1">IF(AND(LEN(K257)&gt;0,LEN(L257)&gt;0),ROUND(SUM(K257)-SUM(L257),2),"")</f>
        <v>0</v>
      </c>
      <c r="N257" s="3073" t="str">
        <f ca="1">IF(ISNA(M257),"N/A",IF(M257=0,"√","？"))</f>
        <v>√</v>
      </c>
      <c r="O257" s="3100"/>
      <c r="P257" s="3101"/>
      <c r="Q257" s="3101"/>
      <c r="R257" s="3101"/>
      <c r="S257" s="3102" t="s">
        <v>295</v>
      </c>
      <c r="T257" s="3102" t="s">
        <v>213</v>
      </c>
      <c r="U257" s="3103"/>
      <c r="V257" s="3103" t="s">
        <v>295</v>
      </c>
      <c r="W257" s="3103" t="s">
        <v>6791</v>
      </c>
      <c r="X257" s="3103" t="s">
        <v>6792</v>
      </c>
      <c r="Y257" s="3104" t="s">
        <v>164</v>
      </c>
    </row>
    <row r="258" spans="1:25" ht="24" hidden="1">
      <c r="A258" s="1304"/>
      <c r="B258" s="643">
        <v>2501</v>
      </c>
      <c r="C258" s="643" t="s">
        <v>1642</v>
      </c>
      <c r="D258" s="3088">
        <v>2</v>
      </c>
      <c r="E258" s="3089" t="str">
        <f t="shared" si="26"/>
        <v>长期借款</v>
      </c>
      <c r="F258" s="3090" t="s">
        <v>1643</v>
      </c>
      <c r="G258" s="3091">
        <f t="shared" si="27"/>
        <v>0</v>
      </c>
      <c r="H258" s="3092">
        <f t="shared" ca="1" si="35"/>
        <v>0</v>
      </c>
      <c r="I258" s="3094" t="s">
        <v>6797</v>
      </c>
      <c r="J258" s="3073"/>
      <c r="K258" s="3091">
        <f t="shared" si="31"/>
        <v>0</v>
      </c>
      <c r="L258" s="3072" t="s">
        <v>6793</v>
      </c>
      <c r="M258" s="3094" t="s">
        <v>6797</v>
      </c>
      <c r="N258" s="3073"/>
      <c r="O258" s="3100"/>
      <c r="P258" s="3101"/>
      <c r="Q258" s="3101"/>
      <c r="R258" s="3101"/>
      <c r="S258" s="3102" t="s">
        <v>295</v>
      </c>
      <c r="T258" s="3102" t="s">
        <v>213</v>
      </c>
      <c r="U258" s="3103"/>
      <c r="V258" s="3103" t="s">
        <v>295</v>
      </c>
      <c r="W258" s="3103" t="s">
        <v>6791</v>
      </c>
      <c r="X258" s="3103" t="s">
        <v>213</v>
      </c>
      <c r="Y258" s="3104" t="s">
        <v>164</v>
      </c>
    </row>
    <row r="259" spans="1:25" ht="24" hidden="1">
      <c r="A259" s="1304"/>
      <c r="B259" s="643">
        <v>2501</v>
      </c>
      <c r="C259" s="643" t="s">
        <v>1647</v>
      </c>
      <c r="D259" s="3088">
        <v>2</v>
      </c>
      <c r="E259" s="3089" t="str">
        <f t="shared" si="26"/>
        <v>长期借款</v>
      </c>
      <c r="F259" s="3090" t="s">
        <v>1648</v>
      </c>
      <c r="G259" s="3091">
        <f t="shared" si="27"/>
        <v>0</v>
      </c>
      <c r="H259" s="3092">
        <f t="shared" ca="1" si="35"/>
        <v>0</v>
      </c>
      <c r="I259" s="3094" t="s">
        <v>6797</v>
      </c>
      <c r="J259" s="3073"/>
      <c r="K259" s="3091">
        <f t="shared" si="31"/>
        <v>0</v>
      </c>
      <c r="L259" s="3072" t="s">
        <v>6793</v>
      </c>
      <c r="M259" s="3094" t="s">
        <v>6797</v>
      </c>
      <c r="N259" s="3073"/>
      <c r="O259" s="3100"/>
      <c r="P259" s="3101"/>
      <c r="Q259" s="3101"/>
      <c r="R259" s="3101"/>
      <c r="S259" s="3102" t="s">
        <v>295</v>
      </c>
      <c r="T259" s="3102" t="s">
        <v>213</v>
      </c>
      <c r="U259" s="3103"/>
      <c r="V259" s="3103" t="s">
        <v>295</v>
      </c>
      <c r="W259" s="3103" t="s">
        <v>6791</v>
      </c>
      <c r="X259" s="3103" t="s">
        <v>213</v>
      </c>
      <c r="Y259" s="3104" t="s">
        <v>164</v>
      </c>
    </row>
    <row r="260" spans="1:25" ht="24" hidden="1">
      <c r="A260" s="1304"/>
      <c r="B260" s="643">
        <v>2501</v>
      </c>
      <c r="C260" s="643" t="s">
        <v>1652</v>
      </c>
      <c r="D260" s="3088">
        <v>2</v>
      </c>
      <c r="E260" s="3089" t="str">
        <f t="shared" si="26"/>
        <v>长期借款</v>
      </c>
      <c r="F260" s="3090" t="s">
        <v>1653</v>
      </c>
      <c r="G260" s="3091">
        <f t="shared" si="27"/>
        <v>0</v>
      </c>
      <c r="H260" s="3092">
        <f t="shared" ca="1" si="35"/>
        <v>0</v>
      </c>
      <c r="I260" s="3094" t="s">
        <v>6797</v>
      </c>
      <c r="J260" s="3073"/>
      <c r="K260" s="3091">
        <f t="shared" si="31"/>
        <v>0</v>
      </c>
      <c r="L260" s="3072" t="s">
        <v>6793</v>
      </c>
      <c r="M260" s="3094" t="s">
        <v>6797</v>
      </c>
      <c r="N260" s="3073"/>
      <c r="O260" s="3100"/>
      <c r="P260" s="3101"/>
      <c r="Q260" s="3101"/>
      <c r="R260" s="3101"/>
      <c r="S260" s="3102" t="s">
        <v>295</v>
      </c>
      <c r="T260" s="3102" t="s">
        <v>213</v>
      </c>
      <c r="U260" s="3103"/>
      <c r="V260" s="3103" t="s">
        <v>295</v>
      </c>
      <c r="W260" s="3103" t="s">
        <v>6791</v>
      </c>
      <c r="X260" s="3103" t="s">
        <v>213</v>
      </c>
      <c r="Y260" s="3104" t="s">
        <v>164</v>
      </c>
    </row>
    <row r="261" spans="1:25" ht="18" hidden="1">
      <c r="A261" s="1304"/>
      <c r="B261" s="643">
        <v>2501</v>
      </c>
      <c r="C261" s="643" t="s">
        <v>1657</v>
      </c>
      <c r="D261" s="3088">
        <v>2</v>
      </c>
      <c r="E261" s="3089" t="str">
        <f t="shared" si="26"/>
        <v>长期借款</v>
      </c>
      <c r="F261" s="3090" t="s">
        <v>1658</v>
      </c>
      <c r="G261" s="3091">
        <f t="shared" si="27"/>
        <v>0</v>
      </c>
      <c r="H261" s="3092">
        <f t="shared" ca="1" si="35"/>
        <v>0</v>
      </c>
      <c r="I261" s="3094" t="s">
        <v>6797</v>
      </c>
      <c r="J261" s="3073"/>
      <c r="K261" s="3091">
        <f t="shared" si="31"/>
        <v>0</v>
      </c>
      <c r="L261" s="3072">
        <f ca="1">INDIRECT("Notes!CheckB"&amp;$C261)</f>
        <v>0</v>
      </c>
      <c r="M261" s="3094" t="s">
        <v>6797</v>
      </c>
      <c r="N261" s="3073"/>
      <c r="O261" s="3100"/>
      <c r="P261" s="3101"/>
      <c r="Q261" s="3101"/>
      <c r="R261" s="3101"/>
      <c r="S261" s="3102" t="s">
        <v>295</v>
      </c>
      <c r="T261" s="3102" t="s">
        <v>213</v>
      </c>
      <c r="U261" s="3103"/>
      <c r="V261" s="3103" t="s">
        <v>295</v>
      </c>
      <c r="W261" s="3103" t="s">
        <v>6791</v>
      </c>
      <c r="X261" s="3103" t="s">
        <v>213</v>
      </c>
      <c r="Y261" s="3104" t="s">
        <v>164</v>
      </c>
    </row>
    <row r="262" spans="1:25" ht="18">
      <c r="A262" s="1304"/>
      <c r="B262" s="643">
        <v>2502</v>
      </c>
      <c r="C262" s="643" t="s">
        <v>1662</v>
      </c>
      <c r="D262" s="3088">
        <v>1</v>
      </c>
      <c r="E262" s="3089" t="str">
        <f t="shared" si="26"/>
        <v>应付债券</v>
      </c>
      <c r="F262" s="3090" t="s">
        <v>1663</v>
      </c>
      <c r="G262" s="3091">
        <f t="shared" si="27"/>
        <v>0</v>
      </c>
      <c r="H262" s="3092">
        <f t="shared" ca="1" si="35"/>
        <v>0</v>
      </c>
      <c r="I262" s="3094">
        <f ca="1">IF(AND(LEN(G262)&gt;0,LEN(H262)&gt;0),ROUND(SUM(G262)-SUM(H262),2),"")</f>
        <v>0</v>
      </c>
      <c r="J262" s="3073" t="str">
        <f ca="1">IF(ISNA(I262),"N/A",IF(I262=0,"√","？"))</f>
        <v>√</v>
      </c>
      <c r="K262" s="3091">
        <f t="shared" si="31"/>
        <v>0</v>
      </c>
      <c r="L262" s="3072">
        <f ca="1">INDIRECT("Notes!CheckB"&amp;$C262)</f>
        <v>0</v>
      </c>
      <c r="M262" s="3094">
        <f ca="1">IF(AND(LEN(K262)&gt;0,LEN(L262)&gt;0),ROUND(SUM(K262)-SUM(L262),2),"")</f>
        <v>0</v>
      </c>
      <c r="N262" s="3073" t="str">
        <f ca="1">IF(ISNA(M262),"N/A",IF(M262=0,"√","？"))</f>
        <v>√</v>
      </c>
      <c r="O262" s="3100"/>
      <c r="P262" s="3101"/>
      <c r="Q262" s="3101"/>
      <c r="R262" s="3101"/>
      <c r="S262" s="3102" t="s">
        <v>295</v>
      </c>
      <c r="T262" s="3102" t="s">
        <v>213</v>
      </c>
      <c r="U262" s="3103"/>
      <c r="V262" s="3103" t="s">
        <v>295</v>
      </c>
      <c r="W262" s="3103" t="s">
        <v>6791</v>
      </c>
      <c r="X262" s="3103" t="s">
        <v>6792</v>
      </c>
      <c r="Y262" s="3104" t="s">
        <v>164</v>
      </c>
    </row>
    <row r="263" spans="1:25" ht="48" hidden="1">
      <c r="A263" s="1304"/>
      <c r="B263" s="643">
        <v>2502</v>
      </c>
      <c r="C263" s="643" t="s">
        <v>1667</v>
      </c>
      <c r="D263" s="3088">
        <v>2</v>
      </c>
      <c r="E263" s="3089" t="str">
        <f t="shared" si="26"/>
        <v>应付债券</v>
      </c>
      <c r="F263" s="3090" t="s">
        <v>6454</v>
      </c>
      <c r="G263" s="3091">
        <f t="shared" si="27"/>
        <v>0</v>
      </c>
      <c r="H263" s="3092">
        <f t="shared" ca="1" si="35"/>
        <v>0</v>
      </c>
      <c r="I263" s="3094" t="s">
        <v>6797</v>
      </c>
      <c r="J263" s="3073"/>
      <c r="K263" s="3091">
        <f t="shared" si="31"/>
        <v>0</v>
      </c>
      <c r="L263" s="3072">
        <f ca="1">INDIRECT("Notes!CheckB"&amp;$C263)</f>
        <v>0</v>
      </c>
      <c r="M263" s="3094" t="s">
        <v>6797</v>
      </c>
      <c r="N263" s="3073"/>
      <c r="O263" s="3100"/>
      <c r="P263" s="3101"/>
      <c r="Q263" s="3101"/>
      <c r="R263" s="3101"/>
      <c r="S263" s="3102" t="s">
        <v>295</v>
      </c>
      <c r="T263" s="3102" t="s">
        <v>213</v>
      </c>
      <c r="U263" s="3103"/>
      <c r="V263" s="3103" t="s">
        <v>295</v>
      </c>
      <c r="W263" s="3103" t="s">
        <v>6791</v>
      </c>
      <c r="X263" s="3103" t="s">
        <v>6792</v>
      </c>
      <c r="Y263" s="3104" t="s">
        <v>164</v>
      </c>
    </row>
    <row r="264" spans="1:25" ht="60" hidden="1">
      <c r="A264" s="1304"/>
      <c r="B264" s="643">
        <v>2502</v>
      </c>
      <c r="C264" s="643" t="s">
        <v>1671</v>
      </c>
      <c r="D264" s="3088">
        <v>2</v>
      </c>
      <c r="E264" s="3089" t="str">
        <f t="shared" si="26"/>
        <v>应付债券</v>
      </c>
      <c r="F264" s="3090" t="s">
        <v>1672</v>
      </c>
      <c r="G264" s="3091">
        <f t="shared" si="27"/>
        <v>0</v>
      </c>
      <c r="H264" s="3092">
        <f t="shared" ca="1" si="35"/>
        <v>0</v>
      </c>
      <c r="I264" s="3094" t="s">
        <v>6797</v>
      </c>
      <c r="J264" s="3073"/>
      <c r="K264" s="3091">
        <f t="shared" si="31"/>
        <v>0</v>
      </c>
      <c r="L264" s="3072" t="s">
        <v>6793</v>
      </c>
      <c r="M264" s="3094" t="s">
        <v>6797</v>
      </c>
      <c r="N264" s="3073"/>
      <c r="O264" s="3100"/>
      <c r="P264" s="3101"/>
      <c r="Q264" s="3101"/>
      <c r="R264" s="3101"/>
      <c r="S264" s="3102" t="s">
        <v>295</v>
      </c>
      <c r="T264" s="3102" t="s">
        <v>213</v>
      </c>
      <c r="U264" s="3103"/>
      <c r="V264" s="3103" t="s">
        <v>295</v>
      </c>
      <c r="W264" s="3103" t="s">
        <v>6791</v>
      </c>
      <c r="X264" s="3103" t="s">
        <v>6794</v>
      </c>
      <c r="Y264" s="3104" t="s">
        <v>164</v>
      </c>
    </row>
    <row r="265" spans="1:25" ht="60" hidden="1">
      <c r="A265" s="1304"/>
      <c r="B265" s="643">
        <v>2502</v>
      </c>
      <c r="C265" s="643" t="s">
        <v>1677</v>
      </c>
      <c r="D265" s="3088">
        <v>2</v>
      </c>
      <c r="E265" s="3089" t="str">
        <f t="shared" ref="E265:E328" si="37">IF(ISERROR(VLOOKUP($B265,Sheet_Items,2,0)),"        ----",VLOOKUP($B265,Sheet_Items,2,0))</f>
        <v>应付债券</v>
      </c>
      <c r="F265" s="3090" t="s">
        <v>1678</v>
      </c>
      <c r="G265" s="3091">
        <f t="shared" ref="G265:G328" si="38">IF(ISERROR(VLOOKUP($B265,Sheet_Trialbal,6,0)),"        ----",VLOOKUP($B265,Sheet_Trialbal,6,0))</f>
        <v>0</v>
      </c>
      <c r="H265" s="3092">
        <f t="shared" ca="1" si="35"/>
        <v>0</v>
      </c>
      <c r="I265" s="3094" t="s">
        <v>6797</v>
      </c>
      <c r="J265" s="3073"/>
      <c r="K265" s="3091">
        <f t="shared" si="31"/>
        <v>0</v>
      </c>
      <c r="L265" s="3072">
        <f ca="1">INDIRECT("Notes!CheckB"&amp;$C265)</f>
        <v>0</v>
      </c>
      <c r="M265" s="3094" t="s">
        <v>6797</v>
      </c>
      <c r="N265" s="3073"/>
      <c r="O265" s="3100"/>
      <c r="P265" s="3101"/>
      <c r="Q265" s="3101"/>
      <c r="R265" s="3101"/>
      <c r="S265" s="3102" t="s">
        <v>295</v>
      </c>
      <c r="T265" s="3102" t="s">
        <v>213</v>
      </c>
      <c r="U265" s="3103"/>
      <c r="V265" s="3103" t="s">
        <v>295</v>
      </c>
      <c r="W265" s="3103" t="s">
        <v>6791</v>
      </c>
      <c r="X265" s="3103" t="s">
        <v>6792</v>
      </c>
      <c r="Y265" s="3104" t="s">
        <v>164</v>
      </c>
    </row>
    <row r="266" spans="1:25" ht="18" hidden="1">
      <c r="A266" s="1304"/>
      <c r="B266" s="643">
        <v>2502</v>
      </c>
      <c r="C266" s="643" t="s">
        <v>5589</v>
      </c>
      <c r="D266" s="3088">
        <v>2</v>
      </c>
      <c r="E266" s="3089" t="str">
        <f t="shared" si="37"/>
        <v>应付债券</v>
      </c>
      <c r="F266" s="3090" t="s">
        <v>5590</v>
      </c>
      <c r="G266" s="3091">
        <f t="shared" si="38"/>
        <v>0</v>
      </c>
      <c r="H266" s="3092">
        <f t="shared" ca="1" si="35"/>
        <v>0</v>
      </c>
      <c r="I266" s="3094" t="s">
        <v>6797</v>
      </c>
      <c r="J266" s="3073"/>
      <c r="K266" s="3091">
        <f t="shared" si="31"/>
        <v>0</v>
      </c>
      <c r="L266" s="3072">
        <f ca="1">INDIRECT("Notes!CheckB"&amp;$C266)</f>
        <v>0</v>
      </c>
      <c r="M266" s="3094" t="s">
        <v>6797</v>
      </c>
      <c r="N266" s="3073"/>
      <c r="O266" s="3100"/>
      <c r="P266" s="3101"/>
      <c r="Q266" s="3101"/>
      <c r="R266" s="3101"/>
      <c r="S266" s="3102" t="s">
        <v>295</v>
      </c>
      <c r="T266" s="3102" t="s">
        <v>213</v>
      </c>
      <c r="U266" s="3103"/>
      <c r="V266" s="3103" t="s">
        <v>295</v>
      </c>
      <c r="W266" s="3103" t="s">
        <v>6791</v>
      </c>
      <c r="X266" s="3103" t="s">
        <v>213</v>
      </c>
      <c r="Y266" s="3104" t="s">
        <v>164</v>
      </c>
    </row>
    <row r="267" spans="1:25" ht="24">
      <c r="A267" s="1304"/>
      <c r="B267" s="643">
        <v>2706</v>
      </c>
      <c r="C267" s="643" t="s">
        <v>1682</v>
      </c>
      <c r="D267" s="3088">
        <v>1</v>
      </c>
      <c r="E267" s="3089" t="str">
        <f t="shared" si="37"/>
        <v>长期应付款（报表项目）</v>
      </c>
      <c r="F267" s="3090" t="s">
        <v>1683</v>
      </c>
      <c r="G267" s="3091">
        <f t="shared" si="38"/>
        <v>0</v>
      </c>
      <c r="H267" s="3092">
        <f t="shared" ca="1" si="35"/>
        <v>0</v>
      </c>
      <c r="I267" s="3094">
        <f ca="1">IF(AND(LEN(G267)&gt;0,LEN(H267)&gt;0),ROUND(SUM(G267)-SUM(H267),2),"")</f>
        <v>0</v>
      </c>
      <c r="J267" s="3073" t="str">
        <f ca="1">IF(ISNA(I267),"N/A",IF(I267=0,"√","？"))</f>
        <v>√</v>
      </c>
      <c r="K267" s="3091">
        <f t="shared" si="31"/>
        <v>0</v>
      </c>
      <c r="L267" s="3072">
        <f ca="1">INDIRECT("Notes!CheckB"&amp;$C267)</f>
        <v>0</v>
      </c>
      <c r="M267" s="3094">
        <f ca="1">IF(AND(LEN(K267)&gt;0,LEN(L267)&gt;0),ROUND(SUM(K267)-SUM(L267),2),"")</f>
        <v>0</v>
      </c>
      <c r="N267" s="3073" t="str">
        <f ca="1">IF(ISNA(M267),"N/A",IF(M267=0,"√","？"))</f>
        <v>√</v>
      </c>
      <c r="O267" s="3100"/>
      <c r="P267" s="3101"/>
      <c r="Q267" s="3101"/>
      <c r="R267" s="3101"/>
      <c r="S267" s="3102" t="s">
        <v>295</v>
      </c>
      <c r="T267" s="3102" t="s">
        <v>213</v>
      </c>
      <c r="U267" s="3103"/>
      <c r="V267" s="3103" t="s">
        <v>295</v>
      </c>
      <c r="W267" s="3103" t="s">
        <v>6791</v>
      </c>
      <c r="X267" s="3103" t="s">
        <v>6792</v>
      </c>
      <c r="Y267" s="3104" t="s">
        <v>164</v>
      </c>
    </row>
    <row r="268" spans="1:25" ht="24">
      <c r="A268" s="1304"/>
      <c r="B268" s="643">
        <v>2701</v>
      </c>
      <c r="C268" s="643" t="s">
        <v>1687</v>
      </c>
      <c r="D268" s="3088">
        <v>1</v>
      </c>
      <c r="E268" s="3089" t="str">
        <f t="shared" si="37"/>
        <v>长期应付款</v>
      </c>
      <c r="F268" s="3090" t="s">
        <v>1688</v>
      </c>
      <c r="G268" s="3091">
        <f t="shared" si="38"/>
        <v>0</v>
      </c>
      <c r="H268" s="3092">
        <f t="shared" ca="1" si="35"/>
        <v>0</v>
      </c>
      <c r="I268" s="3094">
        <f ca="1">IF(AND(LEN(G268)&gt;0,LEN(H268)&gt;0),ROUND(SUM(G268)-SUM(H268),2),"")</f>
        <v>0</v>
      </c>
      <c r="J268" s="3073" t="str">
        <f ca="1">IF(ISNA(I268),"N/A",IF(I268=0,"√","？"))</f>
        <v>√</v>
      </c>
      <c r="K268" s="3091">
        <f t="shared" si="31"/>
        <v>0</v>
      </c>
      <c r="L268" s="3072">
        <f ca="1">INDIRECT("Notes!CheckB"&amp;$C268)</f>
        <v>0</v>
      </c>
      <c r="M268" s="3094">
        <f ca="1">IF(AND(LEN(K268)&gt;0,LEN(L268)&gt;0),ROUND(SUM(K268)-SUM(L268),2),"")</f>
        <v>0</v>
      </c>
      <c r="N268" s="3073" t="str">
        <f ca="1">IF(ISNA(M268),"N/A",IF(M268=0,"√","？"))</f>
        <v>√</v>
      </c>
      <c r="O268" s="3100"/>
      <c r="P268" s="3101"/>
      <c r="Q268" s="3101"/>
      <c r="R268" s="3101"/>
      <c r="S268" s="3102" t="s">
        <v>295</v>
      </c>
      <c r="T268" s="3102" t="s">
        <v>213</v>
      </c>
      <c r="U268" s="3103"/>
      <c r="V268" s="3103" t="s">
        <v>295</v>
      </c>
      <c r="W268" s="3103" t="s">
        <v>6791</v>
      </c>
      <c r="X268" s="3103" t="s">
        <v>6792</v>
      </c>
      <c r="Y268" s="3104" t="s">
        <v>164</v>
      </c>
    </row>
    <row r="269" spans="1:25" ht="18" hidden="1">
      <c r="A269" s="1304"/>
      <c r="B269" s="643">
        <v>2701</v>
      </c>
      <c r="C269" s="643" t="s">
        <v>1692</v>
      </c>
      <c r="D269" s="3088">
        <v>2</v>
      </c>
      <c r="E269" s="3089" t="str">
        <f t="shared" si="37"/>
        <v>长期应付款</v>
      </c>
      <c r="F269" s="3090" t="s">
        <v>1693</v>
      </c>
      <c r="G269" s="3091">
        <f t="shared" si="38"/>
        <v>0</v>
      </c>
      <c r="H269" s="3092">
        <f t="shared" ca="1" si="35"/>
        <v>0</v>
      </c>
      <c r="I269" s="3094" t="s">
        <v>6797</v>
      </c>
      <c r="J269" s="3073"/>
      <c r="K269" s="3091">
        <f t="shared" si="31"/>
        <v>0</v>
      </c>
      <c r="L269" s="3072" t="s">
        <v>6793</v>
      </c>
      <c r="M269" s="3094" t="s">
        <v>6797</v>
      </c>
      <c r="N269" s="3073"/>
      <c r="O269" s="3100"/>
      <c r="P269" s="3101"/>
      <c r="Q269" s="3101"/>
      <c r="R269" s="3101"/>
      <c r="S269" s="3102" t="s">
        <v>295</v>
      </c>
      <c r="T269" s="3102" t="s">
        <v>213</v>
      </c>
      <c r="U269" s="3103"/>
      <c r="V269" s="3103" t="s">
        <v>295</v>
      </c>
      <c r="W269" s="3103" t="s">
        <v>6791</v>
      </c>
      <c r="X269" s="3103" t="s">
        <v>213</v>
      </c>
      <c r="Y269" s="3104" t="s">
        <v>164</v>
      </c>
    </row>
    <row r="270" spans="1:25" ht="18">
      <c r="A270" s="1304"/>
      <c r="B270" s="643">
        <v>2711</v>
      </c>
      <c r="C270" s="643" t="s">
        <v>1697</v>
      </c>
      <c r="D270" s="3088">
        <v>1</v>
      </c>
      <c r="E270" s="3089" t="str">
        <f t="shared" si="37"/>
        <v>专项应付款</v>
      </c>
      <c r="F270" s="3090" t="s">
        <v>1698</v>
      </c>
      <c r="G270" s="3091">
        <f t="shared" si="38"/>
        <v>0</v>
      </c>
      <c r="H270" s="3092">
        <f t="shared" ca="1" si="35"/>
        <v>0</v>
      </c>
      <c r="I270" s="3094">
        <f ca="1">IF(AND(LEN(G270)&gt;0,LEN(H270)&gt;0),ROUND(SUM(G270)-SUM(H270),2),"")</f>
        <v>0</v>
      </c>
      <c r="J270" s="3073" t="str">
        <f ca="1">IF(ISNA(I270),"N/A",IF(I270=0,"√","？"))</f>
        <v>√</v>
      </c>
      <c r="K270" s="3091">
        <f t="shared" si="31"/>
        <v>0</v>
      </c>
      <c r="L270" s="3072">
        <f ca="1">INDIRECT("Notes!CheckB"&amp;$C270)</f>
        <v>0</v>
      </c>
      <c r="M270" s="3094">
        <f ca="1">IF(AND(LEN(K270)&gt;0,LEN(L270)&gt;0),ROUND(SUM(K270)-SUM(L270),2),"")</f>
        <v>0</v>
      </c>
      <c r="N270" s="3073" t="str">
        <f ca="1">IF(ISNA(M270),"N/A",IF(M270=0,"√","？"))</f>
        <v>√</v>
      </c>
      <c r="O270" s="3100"/>
      <c r="P270" s="3101"/>
      <c r="Q270" s="3101"/>
      <c r="R270" s="3101"/>
      <c r="S270" s="3102" t="s">
        <v>295</v>
      </c>
      <c r="T270" s="3102" t="s">
        <v>213</v>
      </c>
      <c r="U270" s="3103"/>
      <c r="V270" s="3103" t="s">
        <v>295</v>
      </c>
      <c r="W270" s="3103" t="s">
        <v>6791</v>
      </c>
      <c r="X270" s="3103" t="s">
        <v>6792</v>
      </c>
      <c r="Y270" s="3104" t="s">
        <v>164</v>
      </c>
    </row>
    <row r="271" spans="1:25" ht="18" hidden="1">
      <c r="A271" s="1304"/>
      <c r="B271" s="643">
        <v>2711</v>
      </c>
      <c r="C271" s="643" t="s">
        <v>1702</v>
      </c>
      <c r="D271" s="3088">
        <v>2</v>
      </c>
      <c r="E271" s="3089" t="str">
        <f t="shared" si="37"/>
        <v>专项应付款</v>
      </c>
      <c r="F271" s="3090" t="s">
        <v>1703</v>
      </c>
      <c r="G271" s="3091">
        <f t="shared" si="38"/>
        <v>0</v>
      </c>
      <c r="H271" s="3092">
        <f t="shared" ca="1" si="35"/>
        <v>0</v>
      </c>
      <c r="I271" s="3094" t="s">
        <v>6797</v>
      </c>
      <c r="J271" s="3073"/>
      <c r="K271" s="3091">
        <f t="shared" si="31"/>
        <v>0</v>
      </c>
      <c r="L271" s="3072" t="s">
        <v>6793</v>
      </c>
      <c r="M271" s="3094" t="s">
        <v>6797</v>
      </c>
      <c r="N271" s="3073"/>
      <c r="O271" s="3100"/>
      <c r="P271" s="3101"/>
      <c r="Q271" s="3101"/>
      <c r="R271" s="3101"/>
      <c r="S271" s="3102" t="s">
        <v>295</v>
      </c>
      <c r="T271" s="3102" t="s">
        <v>213</v>
      </c>
      <c r="U271" s="3103"/>
      <c r="V271" s="3103" t="s">
        <v>295</v>
      </c>
      <c r="W271" s="3103" t="s">
        <v>6791</v>
      </c>
      <c r="X271" s="3103" t="s">
        <v>213</v>
      </c>
      <c r="Y271" s="3104" t="s">
        <v>164</v>
      </c>
    </row>
    <row r="272" spans="1:25" ht="18">
      <c r="A272" s="1304"/>
      <c r="B272" s="643">
        <v>2715</v>
      </c>
      <c r="C272" s="643" t="s">
        <v>1707</v>
      </c>
      <c r="D272" s="3088">
        <v>1</v>
      </c>
      <c r="E272" s="3089" t="str">
        <f t="shared" si="37"/>
        <v>长期应付职工薪酬</v>
      </c>
      <c r="F272" s="3090" t="s">
        <v>1708</v>
      </c>
      <c r="G272" s="3091">
        <f t="shared" si="38"/>
        <v>0</v>
      </c>
      <c r="H272" s="3092">
        <f t="shared" ca="1" si="35"/>
        <v>0</v>
      </c>
      <c r="I272" s="3094">
        <f ca="1">IF(AND(LEN(G272)&gt;0,LEN(H272)&gt;0),ROUND(SUM(G272)-SUM(H272),2),"")</f>
        <v>0</v>
      </c>
      <c r="J272" s="3073" t="str">
        <f ca="1">IF(ISNA(I272),"N/A",IF(I272=0,"√","？"))</f>
        <v>√</v>
      </c>
      <c r="K272" s="3091">
        <f t="shared" si="31"/>
        <v>0</v>
      </c>
      <c r="L272" s="3072">
        <f ca="1">INDIRECT("Notes!CheckB"&amp;$C272)</f>
        <v>0</v>
      </c>
      <c r="M272" s="3094">
        <f ca="1">IF(AND(LEN(K272)&gt;0,LEN(L272)&gt;0),ROUND(SUM(K272)-SUM(L272),2),"")</f>
        <v>0</v>
      </c>
      <c r="N272" s="3073" t="str">
        <f ca="1">IF(ISNA(M272),"N/A",IF(M272=0,"√","？"))</f>
        <v>√</v>
      </c>
      <c r="O272" s="3100"/>
      <c r="P272" s="3101"/>
      <c r="Q272" s="3101"/>
      <c r="R272" s="3101"/>
      <c r="S272" s="3102" t="s">
        <v>295</v>
      </c>
      <c r="T272" s="3102" t="s">
        <v>213</v>
      </c>
      <c r="U272" s="3103"/>
      <c r="V272" s="3103" t="s">
        <v>295</v>
      </c>
      <c r="W272" s="3103" t="s">
        <v>6791</v>
      </c>
      <c r="X272" s="3103" t="s">
        <v>6792</v>
      </c>
      <c r="Y272" s="3104" t="s">
        <v>164</v>
      </c>
    </row>
    <row r="273" spans="1:25" ht="36" hidden="1">
      <c r="A273" s="1304"/>
      <c r="B273" s="643">
        <v>2715</v>
      </c>
      <c r="C273" s="643" t="s">
        <v>1712</v>
      </c>
      <c r="D273" s="3088">
        <v>2</v>
      </c>
      <c r="E273" s="3089" t="str">
        <f t="shared" si="37"/>
        <v>长期应付职工薪酬</v>
      </c>
      <c r="F273" s="3090" t="s">
        <v>1713</v>
      </c>
      <c r="G273" s="3091">
        <f t="shared" si="38"/>
        <v>0</v>
      </c>
      <c r="H273" s="3092" t="s">
        <v>6793</v>
      </c>
      <c r="I273" s="3094" t="s">
        <v>6797</v>
      </c>
      <c r="J273" s="3073"/>
      <c r="K273" s="3091">
        <f t="shared" si="31"/>
        <v>0</v>
      </c>
      <c r="L273" s="3072" t="s">
        <v>6793</v>
      </c>
      <c r="M273" s="3094" t="s">
        <v>6797</v>
      </c>
      <c r="N273" s="3073"/>
      <c r="O273" s="3100"/>
      <c r="P273" s="3101"/>
      <c r="Q273" s="3101"/>
      <c r="R273" s="3101"/>
      <c r="S273" s="3102" t="s">
        <v>295</v>
      </c>
      <c r="T273" s="3102" t="s">
        <v>213</v>
      </c>
      <c r="U273" s="3103"/>
      <c r="V273" s="3103" t="s">
        <v>295</v>
      </c>
      <c r="W273" s="3103" t="s">
        <v>6791</v>
      </c>
      <c r="X273" s="3103" t="s">
        <v>6794</v>
      </c>
      <c r="Y273" s="3104" t="s">
        <v>164</v>
      </c>
    </row>
    <row r="274" spans="1:25" ht="24" hidden="1">
      <c r="A274" s="1304"/>
      <c r="B274" s="643">
        <v>2715</v>
      </c>
      <c r="C274" s="643" t="s">
        <v>1717</v>
      </c>
      <c r="D274" s="3088">
        <v>2</v>
      </c>
      <c r="E274" s="3089" t="str">
        <f t="shared" si="37"/>
        <v>长期应付职工薪酬</v>
      </c>
      <c r="F274" s="3090" t="s">
        <v>1718</v>
      </c>
      <c r="G274" s="3091">
        <f t="shared" si="38"/>
        <v>0</v>
      </c>
      <c r="H274" s="3092" t="s">
        <v>6793</v>
      </c>
      <c r="I274" s="3094" t="s">
        <v>6797</v>
      </c>
      <c r="J274" s="3073"/>
      <c r="K274" s="3091">
        <f t="shared" si="31"/>
        <v>0</v>
      </c>
      <c r="L274" s="3072" t="s">
        <v>6793</v>
      </c>
      <c r="M274" s="3094" t="s">
        <v>6797</v>
      </c>
      <c r="N274" s="3073"/>
      <c r="O274" s="3100"/>
      <c r="P274" s="3101"/>
      <c r="Q274" s="3101"/>
      <c r="R274" s="3101"/>
      <c r="S274" s="3102" t="s">
        <v>295</v>
      </c>
      <c r="T274" s="3102" t="s">
        <v>213</v>
      </c>
      <c r="U274" s="3103"/>
      <c r="V274" s="3103" t="s">
        <v>295</v>
      </c>
      <c r="W274" s="3103" t="s">
        <v>6791</v>
      </c>
      <c r="X274" s="3103" t="s">
        <v>6794</v>
      </c>
      <c r="Y274" s="3104" t="s">
        <v>164</v>
      </c>
    </row>
    <row r="275" spans="1:25" ht="24" hidden="1">
      <c r="A275" s="1304"/>
      <c r="B275" s="643">
        <v>2715</v>
      </c>
      <c r="C275" s="643" t="s">
        <v>1722</v>
      </c>
      <c r="D275" s="3088">
        <v>2</v>
      </c>
      <c r="E275" s="3089" t="str">
        <f t="shared" si="37"/>
        <v>长期应付职工薪酬</v>
      </c>
      <c r="F275" s="3090" t="s">
        <v>6455</v>
      </c>
      <c r="G275" s="3091">
        <f t="shared" si="38"/>
        <v>0</v>
      </c>
      <c r="H275" s="3092" t="s">
        <v>6793</v>
      </c>
      <c r="I275" s="3094" t="s">
        <v>6797</v>
      </c>
      <c r="J275" s="3073"/>
      <c r="K275" s="3091">
        <f t="shared" si="31"/>
        <v>0</v>
      </c>
      <c r="L275" s="3072" t="s">
        <v>6793</v>
      </c>
      <c r="M275" s="3094" t="s">
        <v>6797</v>
      </c>
      <c r="N275" s="3073"/>
      <c r="O275" s="3100"/>
      <c r="P275" s="3101"/>
      <c r="Q275" s="3101"/>
      <c r="R275" s="3101"/>
      <c r="S275" s="3102" t="s">
        <v>295</v>
      </c>
      <c r="T275" s="3102" t="s">
        <v>213</v>
      </c>
      <c r="U275" s="3103"/>
      <c r="V275" s="3103" t="s">
        <v>295</v>
      </c>
      <c r="W275" s="3103" t="s">
        <v>6791</v>
      </c>
      <c r="X275" s="3103" t="s">
        <v>6794</v>
      </c>
      <c r="Y275" s="3104" t="s">
        <v>164</v>
      </c>
    </row>
    <row r="276" spans="1:25" ht="24" hidden="1">
      <c r="A276" s="1304"/>
      <c r="B276" s="643">
        <v>2715</v>
      </c>
      <c r="C276" s="643" t="s">
        <v>1736</v>
      </c>
      <c r="D276" s="3088">
        <v>2</v>
      </c>
      <c r="E276" s="3089" t="str">
        <f t="shared" si="37"/>
        <v>长期应付职工薪酬</v>
      </c>
      <c r="F276" s="3090" t="s">
        <v>1737</v>
      </c>
      <c r="G276" s="3091">
        <f t="shared" si="38"/>
        <v>0</v>
      </c>
      <c r="H276" s="3092" t="s">
        <v>6793</v>
      </c>
      <c r="I276" s="3094" t="s">
        <v>6797</v>
      </c>
      <c r="J276" s="3073"/>
      <c r="K276" s="3091">
        <f t="shared" si="31"/>
        <v>0</v>
      </c>
      <c r="L276" s="3072" t="s">
        <v>6793</v>
      </c>
      <c r="M276" s="3094" t="s">
        <v>6797</v>
      </c>
      <c r="N276" s="3073"/>
      <c r="O276" s="3100"/>
      <c r="P276" s="3101"/>
      <c r="Q276" s="3101"/>
      <c r="R276" s="3101"/>
      <c r="S276" s="3102" t="s">
        <v>295</v>
      </c>
      <c r="T276" s="3102" t="s">
        <v>213</v>
      </c>
      <c r="U276" s="3103"/>
      <c r="V276" s="3103" t="s">
        <v>295</v>
      </c>
      <c r="W276" s="3103" t="s">
        <v>6791</v>
      </c>
      <c r="X276" s="3103" t="s">
        <v>6794</v>
      </c>
      <c r="Y276" s="3104" t="s">
        <v>164</v>
      </c>
    </row>
    <row r="277" spans="1:25" ht="24" hidden="1">
      <c r="A277" s="1304"/>
      <c r="B277" s="643">
        <v>2715</v>
      </c>
      <c r="C277" s="643" t="s">
        <v>1741</v>
      </c>
      <c r="D277" s="3088">
        <v>2</v>
      </c>
      <c r="E277" s="3089" t="str">
        <f t="shared" si="37"/>
        <v>长期应付职工薪酬</v>
      </c>
      <c r="F277" s="3090" t="s">
        <v>1742</v>
      </c>
      <c r="G277" s="3091">
        <f t="shared" si="38"/>
        <v>0</v>
      </c>
      <c r="H277" s="3092" t="s">
        <v>6793</v>
      </c>
      <c r="I277" s="3094" t="s">
        <v>6797</v>
      </c>
      <c r="J277" s="3073"/>
      <c r="K277" s="3091">
        <f t="shared" si="31"/>
        <v>0</v>
      </c>
      <c r="L277" s="3072" t="s">
        <v>6793</v>
      </c>
      <c r="M277" s="3094" t="s">
        <v>6797</v>
      </c>
      <c r="N277" s="3073"/>
      <c r="O277" s="3100"/>
      <c r="P277" s="3101"/>
      <c r="Q277" s="3101"/>
      <c r="R277" s="3101"/>
      <c r="S277" s="3102" t="s">
        <v>295</v>
      </c>
      <c r="T277" s="3102" t="s">
        <v>213</v>
      </c>
      <c r="U277" s="3103"/>
      <c r="V277" s="3103" t="s">
        <v>295</v>
      </c>
      <c r="W277" s="3103" t="s">
        <v>6791</v>
      </c>
      <c r="X277" s="3103" t="s">
        <v>6794</v>
      </c>
      <c r="Y277" s="3104" t="s">
        <v>164</v>
      </c>
    </row>
    <row r="278" spans="1:25" ht="18">
      <c r="A278" s="1304"/>
      <c r="B278" s="643">
        <v>2801</v>
      </c>
      <c r="C278" s="643" t="s">
        <v>1746</v>
      </c>
      <c r="D278" s="3088">
        <v>1</v>
      </c>
      <c r="E278" s="3089" t="str">
        <f t="shared" si="37"/>
        <v>预计负债</v>
      </c>
      <c r="F278" s="3090" t="s">
        <v>1747</v>
      </c>
      <c r="G278" s="3091">
        <f t="shared" si="38"/>
        <v>0</v>
      </c>
      <c r="H278" s="3092">
        <f ca="1">INDIRECT("Notes!CheckA"&amp;$C278)</f>
        <v>0</v>
      </c>
      <c r="I278" s="3094">
        <f ca="1">IF(AND(LEN(G278)&gt;0,LEN(H278)&gt;0),ROUND(SUM(G278)-SUM(H278),2),"")</f>
        <v>0</v>
      </c>
      <c r="J278" s="3073" t="str">
        <f ca="1">IF(ISNA(I278),"N/A",IF(I278=0,"√","？"))</f>
        <v>√</v>
      </c>
      <c r="K278" s="3091">
        <f t="shared" si="31"/>
        <v>0</v>
      </c>
      <c r="L278" s="3072">
        <f ca="1">INDIRECT("Notes!CheckB"&amp;$C278)</f>
        <v>0</v>
      </c>
      <c r="M278" s="3094">
        <f ca="1">IF(AND(LEN(K278)&gt;0,LEN(L278)&gt;0),ROUND(SUM(K278)-SUM(L278),2),"")</f>
        <v>0</v>
      </c>
      <c r="N278" s="3073" t="str">
        <f ca="1">IF(ISNA(M278),"N/A",IF(M278=0,"√","？"))</f>
        <v>√</v>
      </c>
      <c r="O278" s="3100"/>
      <c r="P278" s="3101"/>
      <c r="Q278" s="3101"/>
      <c r="R278" s="3101"/>
      <c r="S278" s="3102" t="s">
        <v>295</v>
      </c>
      <c r="T278" s="3102" t="s">
        <v>213</v>
      </c>
      <c r="U278" s="3103"/>
      <c r="V278" s="3103" t="s">
        <v>295</v>
      </c>
      <c r="W278" s="3103" t="s">
        <v>6791</v>
      </c>
      <c r="X278" s="3103" t="s">
        <v>6792</v>
      </c>
      <c r="Y278" s="3104" t="s">
        <v>164</v>
      </c>
    </row>
    <row r="279" spans="1:25" ht="18">
      <c r="A279" s="1304"/>
      <c r="B279" s="643">
        <v>2401</v>
      </c>
      <c r="C279" s="643" t="s">
        <v>1751</v>
      </c>
      <c r="D279" s="3088">
        <v>1</v>
      </c>
      <c r="E279" s="3089" t="str">
        <f t="shared" si="37"/>
        <v>递延收益</v>
      </c>
      <c r="F279" s="3090" t="s">
        <v>1752</v>
      </c>
      <c r="G279" s="3091">
        <f t="shared" si="38"/>
        <v>0</v>
      </c>
      <c r="H279" s="3092">
        <f ca="1">INDIRECT("Notes!CheckA"&amp;$C279)</f>
        <v>0</v>
      </c>
      <c r="I279" s="3094">
        <f ca="1">IF(AND(LEN(G279)&gt;0,LEN(H279)&gt;0),ROUND(SUM(G279)-SUM(H279),2),"")</f>
        <v>0</v>
      </c>
      <c r="J279" s="3073" t="str">
        <f ca="1">IF(ISNA(I279),"N/A",IF(I279=0,"√","？"))</f>
        <v>√</v>
      </c>
      <c r="K279" s="3091">
        <f t="shared" si="31"/>
        <v>0</v>
      </c>
      <c r="L279" s="3072">
        <f ca="1">INDIRECT("Notes!CheckB"&amp;$C279)</f>
        <v>0</v>
      </c>
      <c r="M279" s="3094">
        <f ca="1">IF(AND(LEN(K279)&gt;0,LEN(L279)&gt;0),ROUND(SUM(K279)-SUM(L279),2),"")</f>
        <v>0</v>
      </c>
      <c r="N279" s="3073" t="str">
        <f ca="1">IF(ISNA(M279),"N/A",IF(M279=0,"√","？"))</f>
        <v>√</v>
      </c>
      <c r="O279" s="3100"/>
      <c r="P279" s="3101"/>
      <c r="Q279" s="3101"/>
      <c r="R279" s="3101"/>
      <c r="S279" s="3102" t="s">
        <v>295</v>
      </c>
      <c r="T279" s="3102" t="s">
        <v>213</v>
      </c>
      <c r="U279" s="3103"/>
      <c r="V279" s="3103" t="s">
        <v>295</v>
      </c>
      <c r="W279" s="3103" t="s">
        <v>6791</v>
      </c>
      <c r="X279" s="3103" t="s">
        <v>6792</v>
      </c>
      <c r="Y279" s="3104" t="s">
        <v>164</v>
      </c>
    </row>
    <row r="280" spans="1:25" ht="24" hidden="1">
      <c r="A280" s="1304"/>
      <c r="B280" s="643">
        <v>2401</v>
      </c>
      <c r="C280" s="643" t="s">
        <v>1756</v>
      </c>
      <c r="D280" s="3088">
        <v>2</v>
      </c>
      <c r="E280" s="3089" t="str">
        <f t="shared" si="37"/>
        <v>递延收益</v>
      </c>
      <c r="F280" s="3090" t="s">
        <v>1757</v>
      </c>
      <c r="G280" s="3091">
        <f t="shared" si="38"/>
        <v>0</v>
      </c>
      <c r="H280" s="3092" t="s">
        <v>6793</v>
      </c>
      <c r="I280" s="3094" t="s">
        <v>6797</v>
      </c>
      <c r="J280" s="3073"/>
      <c r="K280" s="3091">
        <f t="shared" si="31"/>
        <v>0</v>
      </c>
      <c r="L280" s="3072" t="s">
        <v>6793</v>
      </c>
      <c r="M280" s="3094" t="s">
        <v>6797</v>
      </c>
      <c r="N280" s="3073"/>
      <c r="O280" s="3100"/>
      <c r="P280" s="3101"/>
      <c r="Q280" s="3101"/>
      <c r="R280" s="3101"/>
      <c r="S280" s="3102" t="s">
        <v>295</v>
      </c>
      <c r="T280" s="3102" t="s">
        <v>213</v>
      </c>
      <c r="U280" s="3103"/>
      <c r="V280" s="3103" t="s">
        <v>295</v>
      </c>
      <c r="W280" s="3103" t="s">
        <v>6791</v>
      </c>
      <c r="X280" s="3103" t="s">
        <v>6792</v>
      </c>
      <c r="Y280" s="3104" t="s">
        <v>164</v>
      </c>
    </row>
    <row r="281" spans="1:25" ht="24">
      <c r="A281" s="1304"/>
      <c r="B281" s="643">
        <v>2996</v>
      </c>
      <c r="C281" s="643" t="s">
        <v>1761</v>
      </c>
      <c r="D281" s="3088">
        <v>1</v>
      </c>
      <c r="E281" s="3089" t="str">
        <f t="shared" si="37"/>
        <v>其他非流动负债</v>
      </c>
      <c r="F281" s="3090" t="s">
        <v>1762</v>
      </c>
      <c r="G281" s="3091">
        <f t="shared" si="38"/>
        <v>0</v>
      </c>
      <c r="H281" s="3092">
        <f ca="1">INDIRECT("Notes!CheckA"&amp;$C281)</f>
        <v>0</v>
      </c>
      <c r="I281" s="3094">
        <f ca="1">IF(AND(LEN(G281)&gt;0,LEN(H281)&gt;0),ROUND(SUM(G281)-SUM(H281),2),"")</f>
        <v>0</v>
      </c>
      <c r="J281" s="3073" t="str">
        <f ca="1">IF(ISNA(I281),"N/A",IF(I281=0,"√","？"))</f>
        <v>√</v>
      </c>
      <c r="K281" s="3091">
        <f t="shared" si="31"/>
        <v>0</v>
      </c>
      <c r="L281" s="3072">
        <f ca="1">INDIRECT("Notes!CheckB"&amp;$C281)</f>
        <v>0</v>
      </c>
      <c r="M281" s="3094">
        <f ca="1">IF(AND(LEN(K281)&gt;0,LEN(L281)&gt;0),ROUND(SUM(K281)-SUM(L281),2),"")</f>
        <v>0</v>
      </c>
      <c r="N281" s="3073" t="str">
        <f ca="1">IF(ISNA(M281),"N/A",IF(M281=0,"√","？"))</f>
        <v>√</v>
      </c>
      <c r="O281" s="3100"/>
      <c r="P281" s="3101"/>
      <c r="Q281" s="3101"/>
      <c r="R281" s="3101"/>
      <c r="S281" s="3102" t="s">
        <v>295</v>
      </c>
      <c r="T281" s="3102" t="s">
        <v>213</v>
      </c>
      <c r="U281" s="3103"/>
      <c r="V281" s="3103" t="s">
        <v>295</v>
      </c>
      <c r="W281" s="3103" t="s">
        <v>6791</v>
      </c>
      <c r="X281" s="3103" t="s">
        <v>6792</v>
      </c>
      <c r="Y281" s="3104" t="s">
        <v>164</v>
      </c>
    </row>
    <row r="282" spans="1:25" ht="24" hidden="1">
      <c r="A282" s="1304"/>
      <c r="B282" s="643">
        <v>2996</v>
      </c>
      <c r="C282" s="643" t="s">
        <v>1766</v>
      </c>
      <c r="D282" s="3088">
        <v>2</v>
      </c>
      <c r="E282" s="3089" t="str">
        <f t="shared" si="37"/>
        <v>其他非流动负债</v>
      </c>
      <c r="F282" s="3090" t="s">
        <v>1767</v>
      </c>
      <c r="G282" s="3091">
        <f t="shared" si="38"/>
        <v>0</v>
      </c>
      <c r="H282" s="3092">
        <f ca="1">INDIRECT("Notes!CheckA"&amp;$C282)</f>
        <v>0</v>
      </c>
      <c r="I282" s="3094" t="s">
        <v>6797</v>
      </c>
      <c r="J282" s="3073"/>
      <c r="K282" s="3091">
        <f t="shared" si="31"/>
        <v>0</v>
      </c>
      <c r="L282" s="3072">
        <f ca="1">INDIRECT("Notes!CheckB"&amp;$C282)</f>
        <v>0</v>
      </c>
      <c r="M282" s="3094" t="s">
        <v>6797</v>
      </c>
      <c r="N282" s="3073"/>
      <c r="O282" s="3100"/>
      <c r="P282" s="3101"/>
      <c r="Q282" s="3101"/>
      <c r="R282" s="3101"/>
      <c r="S282" s="3102" t="s">
        <v>295</v>
      </c>
      <c r="T282" s="3102" t="s">
        <v>213</v>
      </c>
      <c r="U282" s="3103"/>
      <c r="V282" s="3103" t="s">
        <v>295</v>
      </c>
      <c r="W282" s="3103" t="s">
        <v>6791</v>
      </c>
      <c r="X282" s="3103" t="s">
        <v>213</v>
      </c>
      <c r="Y282" s="3104" t="s">
        <v>164</v>
      </c>
    </row>
    <row r="283" spans="1:25" ht="18" hidden="1">
      <c r="A283" s="1304"/>
      <c r="B283" s="643">
        <v>4001</v>
      </c>
      <c r="C283" s="643" t="s">
        <v>1774</v>
      </c>
      <c r="D283" s="3088">
        <v>2</v>
      </c>
      <c r="E283" s="3089" t="str">
        <f t="shared" si="37"/>
        <v>实收资本</v>
      </c>
      <c r="F283" s="3090" t="s">
        <v>1775</v>
      </c>
      <c r="G283" s="3091">
        <f t="shared" si="38"/>
        <v>100000000</v>
      </c>
      <c r="H283" s="3092" t="s">
        <v>6793</v>
      </c>
      <c r="I283" s="3094" t="s">
        <v>6797</v>
      </c>
      <c r="J283" s="3073"/>
      <c r="K283" s="3091">
        <f t="shared" si="31"/>
        <v>100000000</v>
      </c>
      <c r="L283" s="3072" t="s">
        <v>6793</v>
      </c>
      <c r="M283" s="3094" t="s">
        <v>6797</v>
      </c>
      <c r="N283" s="3073"/>
      <c r="O283" s="3100"/>
      <c r="P283" s="3101"/>
      <c r="Q283" s="3101"/>
      <c r="R283" s="3101"/>
      <c r="S283" s="3102" t="s">
        <v>295</v>
      </c>
      <c r="T283" s="3102" t="s">
        <v>213</v>
      </c>
      <c r="U283" s="3103"/>
      <c r="V283" s="3103" t="s">
        <v>295</v>
      </c>
      <c r="W283" s="3103" t="s">
        <v>6791</v>
      </c>
      <c r="X283" s="3103" t="s">
        <v>6794</v>
      </c>
      <c r="Y283" s="3104" t="s">
        <v>164</v>
      </c>
    </row>
    <row r="284" spans="1:25" ht="18">
      <c r="A284" s="1304"/>
      <c r="B284" s="643">
        <v>4001</v>
      </c>
      <c r="C284" s="643" t="s">
        <v>1780</v>
      </c>
      <c r="D284" s="3088">
        <v>1</v>
      </c>
      <c r="E284" s="3089" t="str">
        <f t="shared" si="37"/>
        <v>实收资本</v>
      </c>
      <c r="F284" s="3090" t="s">
        <v>1781</v>
      </c>
      <c r="G284" s="3091">
        <f t="shared" si="38"/>
        <v>100000000</v>
      </c>
      <c r="H284" s="3092">
        <f t="shared" ref="H284:H300" ca="1" si="39">INDIRECT("Notes!CheckA"&amp;$C284)</f>
        <v>0</v>
      </c>
      <c r="I284" s="3094">
        <f ca="1">IF(AND(LEN(G284)&gt;0,LEN(H284)&gt;0),ROUND(SUM(G284)-SUM(H284),2),"")</f>
        <v>100000000</v>
      </c>
      <c r="J284" s="3073" t="str">
        <f ca="1">IF(ISNA(I284),"N/A",IF(I284=0,"√","？"))</f>
        <v>？</v>
      </c>
      <c r="K284" s="3091">
        <f t="shared" si="31"/>
        <v>100000000</v>
      </c>
      <c r="L284" s="3072">
        <f ca="1">INDIRECT("Notes!CheckB"&amp;$C284)</f>
        <v>0</v>
      </c>
      <c r="M284" s="3094">
        <f ca="1">IF(AND(LEN(K284)&gt;0,LEN(L284)&gt;0),ROUND(SUM(K284)-SUM(L284),2),"")</f>
        <v>100000000</v>
      </c>
      <c r="N284" s="3073" t="str">
        <f ca="1">IF(ISNA(M284),"N/A",IF(M284=0,"√","？"))</f>
        <v>？</v>
      </c>
      <c r="O284" s="3100"/>
      <c r="P284" s="3101"/>
      <c r="Q284" s="3101"/>
      <c r="R284" s="3101"/>
      <c r="S284" s="3102" t="s">
        <v>295</v>
      </c>
      <c r="T284" s="3102" t="s">
        <v>213</v>
      </c>
      <c r="U284" s="3103"/>
      <c r="V284" s="3103" t="s">
        <v>295</v>
      </c>
      <c r="W284" s="3103" t="s">
        <v>6791</v>
      </c>
      <c r="X284" s="3103" t="s">
        <v>6795</v>
      </c>
      <c r="Y284" s="3104" t="s">
        <v>164</v>
      </c>
    </row>
    <row r="285" spans="1:25" ht="36" hidden="1">
      <c r="A285" s="1304"/>
      <c r="B285" s="643">
        <v>4015</v>
      </c>
      <c r="C285" s="643" t="s">
        <v>1790</v>
      </c>
      <c r="D285" s="3088">
        <v>2</v>
      </c>
      <c r="E285" s="3089" t="str">
        <f t="shared" si="37"/>
        <v>其他权益工具</v>
      </c>
      <c r="F285" s="3090" t="s">
        <v>1791</v>
      </c>
      <c r="G285" s="3091">
        <f t="shared" si="38"/>
        <v>0</v>
      </c>
      <c r="H285" s="3092">
        <f t="shared" ca="1" si="39"/>
        <v>0</v>
      </c>
      <c r="I285" s="3094" t="s">
        <v>6797</v>
      </c>
      <c r="J285" s="3073"/>
      <c r="K285" s="3091">
        <f t="shared" si="31"/>
        <v>0</v>
      </c>
      <c r="L285" s="3072" t="s">
        <v>6793</v>
      </c>
      <c r="M285" s="3094" t="s">
        <v>6797</v>
      </c>
      <c r="N285" s="3073"/>
      <c r="O285" s="3100"/>
      <c r="P285" s="3101"/>
      <c r="Q285" s="3101"/>
      <c r="R285" s="3101"/>
      <c r="S285" s="3102" t="s">
        <v>295</v>
      </c>
      <c r="T285" s="3102" t="s">
        <v>213</v>
      </c>
      <c r="U285" s="3103"/>
      <c r="V285" s="3103" t="s">
        <v>295</v>
      </c>
      <c r="W285" s="3103" t="s">
        <v>6791</v>
      </c>
      <c r="X285" s="3103" t="s">
        <v>6794</v>
      </c>
      <c r="Y285" s="3104" t="s">
        <v>164</v>
      </c>
    </row>
    <row r="286" spans="1:25" ht="36">
      <c r="A286" s="1304"/>
      <c r="B286" s="643">
        <v>4015</v>
      </c>
      <c r="C286" s="643" t="s">
        <v>1795</v>
      </c>
      <c r="D286" s="3088">
        <v>1</v>
      </c>
      <c r="E286" s="3089" t="str">
        <f t="shared" si="37"/>
        <v>其他权益工具</v>
      </c>
      <c r="F286" s="3090" t="s">
        <v>1796</v>
      </c>
      <c r="G286" s="3091">
        <f t="shared" si="38"/>
        <v>0</v>
      </c>
      <c r="H286" s="3092">
        <f t="shared" ca="1" si="39"/>
        <v>0</v>
      </c>
      <c r="I286" s="3094">
        <f t="shared" ref="I286:I293" ca="1" si="40">IF(AND(LEN(G286)&gt;0,LEN(H286)&gt;0),ROUND(SUM(G286)-SUM(H286),2),"")</f>
        <v>0</v>
      </c>
      <c r="J286" s="3073" t="str">
        <f t="shared" ref="J286:J293" ca="1" si="41">IF(ISNA(I286),"N/A",IF(I286=0,"√","？"))</f>
        <v>√</v>
      </c>
      <c r="K286" s="3091">
        <f t="shared" si="31"/>
        <v>0</v>
      </c>
      <c r="L286" s="3072">
        <f t="shared" ref="L286:L293" ca="1" si="42">INDIRECT("Notes!CheckB"&amp;$C286)</f>
        <v>0</v>
      </c>
      <c r="M286" s="3094">
        <f t="shared" ref="M286:M293" ca="1" si="43">IF(AND(LEN(K286)&gt;0,LEN(L286)&gt;0),ROUND(SUM(K286)-SUM(L286),2),"")</f>
        <v>0</v>
      </c>
      <c r="N286" s="3073" t="str">
        <f t="shared" ref="N286:N293" ca="1" si="44">IF(ISNA(M286),"N/A",IF(M286=0,"√","？"))</f>
        <v>√</v>
      </c>
      <c r="O286" s="3100"/>
      <c r="P286" s="3101"/>
      <c r="Q286" s="3101"/>
      <c r="R286" s="3101"/>
      <c r="S286" s="3102" t="s">
        <v>295</v>
      </c>
      <c r="T286" s="3102" t="s">
        <v>213</v>
      </c>
      <c r="U286" s="3103"/>
      <c r="V286" s="3103" t="s">
        <v>295</v>
      </c>
      <c r="W286" s="3103" t="s">
        <v>6791</v>
      </c>
      <c r="X286" s="3103" t="s">
        <v>6792</v>
      </c>
      <c r="Y286" s="3104" t="s">
        <v>164</v>
      </c>
    </row>
    <row r="287" spans="1:25" ht="18">
      <c r="A287" s="1304"/>
      <c r="B287" s="643">
        <v>4002</v>
      </c>
      <c r="C287" s="643" t="s">
        <v>1785</v>
      </c>
      <c r="D287" s="3088">
        <v>1</v>
      </c>
      <c r="E287" s="3089" t="str">
        <f t="shared" si="37"/>
        <v>资本公积</v>
      </c>
      <c r="F287" s="3090" t="s">
        <v>1786</v>
      </c>
      <c r="G287" s="3091">
        <f t="shared" si="38"/>
        <v>0</v>
      </c>
      <c r="H287" s="3092">
        <f t="shared" ca="1" si="39"/>
        <v>0</v>
      </c>
      <c r="I287" s="3094">
        <f t="shared" ca="1" si="40"/>
        <v>0</v>
      </c>
      <c r="J287" s="3073" t="str">
        <f t="shared" ca="1" si="41"/>
        <v>√</v>
      </c>
      <c r="K287" s="3091">
        <f t="shared" ref="K287:K350" si="45">IF(ISERROR(VLOOKUP($B287,Sheet_Trialbal,10,0)),"        ----",VLOOKUP($B287,Sheet_Trialbal,10,0))</f>
        <v>0</v>
      </c>
      <c r="L287" s="3072">
        <f t="shared" ca="1" si="42"/>
        <v>0</v>
      </c>
      <c r="M287" s="3094">
        <f t="shared" ca="1" si="43"/>
        <v>0</v>
      </c>
      <c r="N287" s="3073" t="str">
        <f t="shared" ca="1" si="44"/>
        <v>√</v>
      </c>
      <c r="O287" s="3100"/>
      <c r="P287" s="3101"/>
      <c r="Q287" s="3101"/>
      <c r="R287" s="3101"/>
      <c r="S287" s="3102" t="s">
        <v>295</v>
      </c>
      <c r="T287" s="3102" t="s">
        <v>213</v>
      </c>
      <c r="U287" s="3103"/>
      <c r="V287" s="3103" t="s">
        <v>295</v>
      </c>
      <c r="W287" s="3103" t="s">
        <v>6791</v>
      </c>
      <c r="X287" s="3103" t="s">
        <v>6792</v>
      </c>
      <c r="Y287" s="3104" t="s">
        <v>164</v>
      </c>
    </row>
    <row r="288" spans="1:25" ht="18">
      <c r="A288" s="1304"/>
      <c r="B288" s="643">
        <v>4201</v>
      </c>
      <c r="C288" s="643" t="s">
        <v>1828</v>
      </c>
      <c r="D288" s="3088">
        <v>1</v>
      </c>
      <c r="E288" s="3089" t="str">
        <f t="shared" si="37"/>
        <v>库存股</v>
      </c>
      <c r="F288" s="3090" t="s">
        <v>1829</v>
      </c>
      <c r="G288" s="3091">
        <f t="shared" si="38"/>
        <v>0</v>
      </c>
      <c r="H288" s="3092">
        <f t="shared" ca="1" si="39"/>
        <v>0</v>
      </c>
      <c r="I288" s="3094">
        <f t="shared" ca="1" si="40"/>
        <v>0</v>
      </c>
      <c r="J288" s="3073" t="str">
        <f t="shared" ca="1" si="41"/>
        <v>√</v>
      </c>
      <c r="K288" s="3091">
        <f t="shared" si="45"/>
        <v>0</v>
      </c>
      <c r="L288" s="3072">
        <f t="shared" ca="1" si="42"/>
        <v>0</v>
      </c>
      <c r="M288" s="3094">
        <f t="shared" ca="1" si="43"/>
        <v>0</v>
      </c>
      <c r="N288" s="3073" t="str">
        <f t="shared" ca="1" si="44"/>
        <v>√</v>
      </c>
      <c r="O288" s="3100"/>
      <c r="P288" s="3101"/>
      <c r="Q288" s="3101"/>
      <c r="R288" s="3101"/>
      <c r="S288" s="3102" t="s">
        <v>295</v>
      </c>
      <c r="T288" s="3102" t="s">
        <v>213</v>
      </c>
      <c r="U288" s="3103"/>
      <c r="V288" s="3103" t="s">
        <v>295</v>
      </c>
      <c r="W288" s="3103" t="s">
        <v>6791</v>
      </c>
      <c r="X288" s="3103" t="s">
        <v>6792</v>
      </c>
      <c r="Y288" s="3104" t="s">
        <v>164</v>
      </c>
    </row>
    <row r="289" spans="1:25" ht="18">
      <c r="A289" s="1304"/>
      <c r="B289" s="643">
        <v>4215</v>
      </c>
      <c r="C289" s="643" t="s">
        <v>1831</v>
      </c>
      <c r="D289" s="3088">
        <v>1</v>
      </c>
      <c r="E289" s="3089" t="str">
        <f t="shared" si="37"/>
        <v>其他综合收益</v>
      </c>
      <c r="F289" s="3090" t="s">
        <v>1832</v>
      </c>
      <c r="G289" s="3091">
        <f t="shared" si="38"/>
        <v>0</v>
      </c>
      <c r="H289" s="3092">
        <f t="shared" ca="1" si="39"/>
        <v>0</v>
      </c>
      <c r="I289" s="3094">
        <f t="shared" ca="1" si="40"/>
        <v>0</v>
      </c>
      <c r="J289" s="3073" t="str">
        <f t="shared" ca="1" si="41"/>
        <v>√</v>
      </c>
      <c r="K289" s="3091">
        <f t="shared" si="45"/>
        <v>0</v>
      </c>
      <c r="L289" s="3072">
        <f t="shared" ca="1" si="42"/>
        <v>0</v>
      </c>
      <c r="M289" s="3094">
        <f t="shared" ca="1" si="43"/>
        <v>0</v>
      </c>
      <c r="N289" s="3073" t="str">
        <f t="shared" ca="1" si="44"/>
        <v>√</v>
      </c>
      <c r="O289" s="3100"/>
      <c r="P289" s="3101"/>
      <c r="Q289" s="3101"/>
      <c r="R289" s="3101"/>
      <c r="S289" s="3102" t="s">
        <v>295</v>
      </c>
      <c r="T289" s="3102" t="s">
        <v>213</v>
      </c>
      <c r="U289" s="3103"/>
      <c r="V289" s="3103" t="s">
        <v>295</v>
      </c>
      <c r="W289" s="3103" t="s">
        <v>145</v>
      </c>
      <c r="X289" s="3103" t="s">
        <v>6794</v>
      </c>
      <c r="Y289" s="3104" t="s">
        <v>119</v>
      </c>
    </row>
    <row r="290" spans="1:25" ht="18">
      <c r="A290" s="1304"/>
      <c r="B290" s="643">
        <v>4301</v>
      </c>
      <c r="C290" s="643" t="s">
        <v>1837</v>
      </c>
      <c r="D290" s="3088">
        <v>1</v>
      </c>
      <c r="E290" s="3089" t="str">
        <f t="shared" si="37"/>
        <v>专项储备</v>
      </c>
      <c r="F290" s="3090" t="s">
        <v>1838</v>
      </c>
      <c r="G290" s="3091">
        <f t="shared" si="38"/>
        <v>0</v>
      </c>
      <c r="H290" s="3092">
        <f t="shared" ca="1" si="39"/>
        <v>0</v>
      </c>
      <c r="I290" s="3094">
        <f t="shared" ca="1" si="40"/>
        <v>0</v>
      </c>
      <c r="J290" s="3073" t="str">
        <f t="shared" ca="1" si="41"/>
        <v>√</v>
      </c>
      <c r="K290" s="3091">
        <f t="shared" si="45"/>
        <v>0</v>
      </c>
      <c r="L290" s="3072">
        <f t="shared" ca="1" si="42"/>
        <v>0</v>
      </c>
      <c r="M290" s="3094">
        <f t="shared" ca="1" si="43"/>
        <v>0</v>
      </c>
      <c r="N290" s="3073" t="str">
        <f t="shared" ca="1" si="44"/>
        <v>√</v>
      </c>
      <c r="O290" s="3100"/>
      <c r="P290" s="3101"/>
      <c r="Q290" s="3101"/>
      <c r="R290" s="3101"/>
      <c r="S290" s="3102" t="s">
        <v>295</v>
      </c>
      <c r="T290" s="3102" t="s">
        <v>213</v>
      </c>
      <c r="U290" s="3103"/>
      <c r="V290" s="3103" t="s">
        <v>295</v>
      </c>
      <c r="W290" s="3103" t="s">
        <v>6791</v>
      </c>
      <c r="X290" s="3103" t="s">
        <v>6792</v>
      </c>
      <c r="Y290" s="3104" t="s">
        <v>164</v>
      </c>
    </row>
    <row r="291" spans="1:25" ht="18">
      <c r="A291" s="1304"/>
      <c r="B291" s="643">
        <v>4101</v>
      </c>
      <c r="C291" s="643" t="s">
        <v>1805</v>
      </c>
      <c r="D291" s="3088">
        <v>1</v>
      </c>
      <c r="E291" s="3089" t="str">
        <f t="shared" si="37"/>
        <v>盈余公积</v>
      </c>
      <c r="F291" s="3090" t="s">
        <v>1806</v>
      </c>
      <c r="G291" s="3091">
        <f t="shared" si="38"/>
        <v>418369.59</v>
      </c>
      <c r="H291" s="3092">
        <f t="shared" ca="1" si="39"/>
        <v>418369.59</v>
      </c>
      <c r="I291" s="3094">
        <f t="shared" ca="1" si="40"/>
        <v>0</v>
      </c>
      <c r="J291" s="3073" t="str">
        <f t="shared" ca="1" si="41"/>
        <v>√</v>
      </c>
      <c r="K291" s="3091">
        <f t="shared" si="45"/>
        <v>418369.59</v>
      </c>
      <c r="L291" s="3072">
        <f t="shared" ca="1" si="42"/>
        <v>418369.59</v>
      </c>
      <c r="M291" s="3094">
        <f t="shared" ca="1" si="43"/>
        <v>0</v>
      </c>
      <c r="N291" s="3073" t="str">
        <f t="shared" ca="1" si="44"/>
        <v>√</v>
      </c>
      <c r="O291" s="3100"/>
      <c r="P291" s="3101"/>
      <c r="Q291" s="3101"/>
      <c r="R291" s="3101"/>
      <c r="S291" s="3102" t="s">
        <v>295</v>
      </c>
      <c r="T291" s="3102" t="s">
        <v>213</v>
      </c>
      <c r="U291" s="3103"/>
      <c r="V291" s="3103" t="s">
        <v>295</v>
      </c>
      <c r="W291" s="3103" t="s">
        <v>145</v>
      </c>
      <c r="X291" s="3103" t="s">
        <v>6794</v>
      </c>
      <c r="Y291" s="3104" t="s">
        <v>119</v>
      </c>
    </row>
    <row r="292" spans="1:25" ht="18">
      <c r="A292" s="1304"/>
      <c r="B292" s="643">
        <v>4102</v>
      </c>
      <c r="C292" s="643" t="s">
        <v>1815</v>
      </c>
      <c r="D292" s="3088">
        <v>1</v>
      </c>
      <c r="E292" s="3089" t="str">
        <f t="shared" si="37"/>
        <v>一般风险准备</v>
      </c>
      <c r="F292" s="3090" t="s">
        <v>1816</v>
      </c>
      <c r="G292" s="3091">
        <f t="shared" si="38"/>
        <v>0</v>
      </c>
      <c r="H292" s="3092">
        <f t="shared" ca="1" si="39"/>
        <v>0</v>
      </c>
      <c r="I292" s="3094">
        <f t="shared" ca="1" si="40"/>
        <v>0</v>
      </c>
      <c r="J292" s="3073" t="str">
        <f t="shared" ca="1" si="41"/>
        <v>√</v>
      </c>
      <c r="K292" s="3091">
        <f t="shared" si="45"/>
        <v>0</v>
      </c>
      <c r="L292" s="3072">
        <f t="shared" ca="1" si="42"/>
        <v>0</v>
      </c>
      <c r="M292" s="3094">
        <f t="shared" ca="1" si="43"/>
        <v>0</v>
      </c>
      <c r="N292" s="3073" t="str">
        <f t="shared" ca="1" si="44"/>
        <v>√</v>
      </c>
      <c r="O292" s="3100"/>
      <c r="P292" s="3101"/>
      <c r="Q292" s="3101"/>
      <c r="R292" s="3101"/>
      <c r="S292" s="3102" t="s">
        <v>295</v>
      </c>
      <c r="T292" s="3102" t="s">
        <v>213</v>
      </c>
      <c r="U292" s="3103"/>
      <c r="V292" s="3103" t="s">
        <v>295</v>
      </c>
      <c r="W292" s="3103" t="s">
        <v>6791</v>
      </c>
      <c r="X292" s="3103" t="s">
        <v>213</v>
      </c>
      <c r="Y292" s="3104" t="s">
        <v>164</v>
      </c>
    </row>
    <row r="293" spans="1:25" ht="24">
      <c r="A293" s="1304"/>
      <c r="B293" s="643">
        <v>4200</v>
      </c>
      <c r="C293" s="643" t="s">
        <v>1820</v>
      </c>
      <c r="D293" s="3088">
        <v>1</v>
      </c>
      <c r="E293" s="3089" t="str">
        <f t="shared" si="37"/>
        <v>未分配利润</v>
      </c>
      <c r="F293" s="3090" t="s">
        <v>1821</v>
      </c>
      <c r="G293" s="3091">
        <f t="shared" si="38"/>
        <v>1382585.97</v>
      </c>
      <c r="H293" s="3092">
        <f t="shared" ca="1" si="39"/>
        <v>1382585.97</v>
      </c>
      <c r="I293" s="3094">
        <f t="shared" ca="1" si="40"/>
        <v>0</v>
      </c>
      <c r="J293" s="3073" t="str">
        <f t="shared" ca="1" si="41"/>
        <v>√</v>
      </c>
      <c r="K293" s="3091">
        <f t="shared" si="45"/>
        <v>3765326.31</v>
      </c>
      <c r="L293" s="3072">
        <f t="shared" ca="1" si="42"/>
        <v>3765326.31</v>
      </c>
      <c r="M293" s="3094">
        <f t="shared" ca="1" si="43"/>
        <v>0</v>
      </c>
      <c r="N293" s="3073" t="str">
        <f t="shared" ca="1" si="44"/>
        <v>√</v>
      </c>
      <c r="O293" s="3100"/>
      <c r="P293" s="3101"/>
      <c r="Q293" s="3101"/>
      <c r="R293" s="3101"/>
      <c r="S293" s="3102" t="s">
        <v>295</v>
      </c>
      <c r="T293" s="3102" t="s">
        <v>213</v>
      </c>
      <c r="U293" s="3103"/>
      <c r="V293" s="3103" t="s">
        <v>295</v>
      </c>
      <c r="W293" s="3103" t="s">
        <v>6791</v>
      </c>
      <c r="X293" s="3103" t="s">
        <v>6792</v>
      </c>
      <c r="Y293" s="3104" t="s">
        <v>164</v>
      </c>
    </row>
    <row r="294" spans="1:25" ht="24" hidden="1">
      <c r="A294" s="1304"/>
      <c r="B294" s="643">
        <v>4200</v>
      </c>
      <c r="C294" s="643" t="s">
        <v>1824</v>
      </c>
      <c r="D294" s="3088">
        <v>2</v>
      </c>
      <c r="E294" s="3089" t="str">
        <f t="shared" si="37"/>
        <v>未分配利润</v>
      </c>
      <c r="F294" s="3090" t="s">
        <v>1825</v>
      </c>
      <c r="G294" s="3091">
        <f t="shared" si="38"/>
        <v>1382585.97</v>
      </c>
      <c r="H294" s="3092">
        <f t="shared" ca="1" si="39"/>
        <v>0</v>
      </c>
      <c r="I294" s="3094" t="s">
        <v>6797</v>
      </c>
      <c r="J294" s="3073"/>
      <c r="K294" s="3091">
        <f t="shared" si="45"/>
        <v>3765326.31</v>
      </c>
      <c r="L294" s="3072" t="s">
        <v>6793</v>
      </c>
      <c r="M294" s="3094" t="s">
        <v>6797</v>
      </c>
      <c r="N294" s="3073"/>
      <c r="O294" s="3100"/>
      <c r="P294" s="3101"/>
      <c r="Q294" s="3101"/>
      <c r="R294" s="3101"/>
      <c r="S294" s="3102" t="s">
        <v>295</v>
      </c>
      <c r="T294" s="3102" t="s">
        <v>213</v>
      </c>
      <c r="U294" s="3103"/>
      <c r="V294" s="3103" t="s">
        <v>295</v>
      </c>
      <c r="W294" s="3103" t="s">
        <v>6791</v>
      </c>
      <c r="X294" s="3103" t="s">
        <v>213</v>
      </c>
      <c r="Y294" s="3104" t="s">
        <v>164</v>
      </c>
    </row>
    <row r="295" spans="1:25" ht="24" hidden="1">
      <c r="A295" s="1304"/>
      <c r="B295" s="643"/>
      <c r="C295" s="643" t="s">
        <v>1844</v>
      </c>
      <c r="D295" s="3088">
        <v>3</v>
      </c>
      <c r="E295" s="3089" t="str">
        <f t="shared" si="37"/>
        <v xml:space="preserve">        ----</v>
      </c>
      <c r="F295" s="3090" t="s">
        <v>1845</v>
      </c>
      <c r="G295" s="3091" t="str">
        <f t="shared" si="38"/>
        <v xml:space="preserve">        ----</v>
      </c>
      <c r="H295" s="3092">
        <f t="shared" ca="1" si="39"/>
        <v>20266366.969999999</v>
      </c>
      <c r="I295" s="3094" t="s">
        <v>6797</v>
      </c>
      <c r="J295" s="3073"/>
      <c r="K295" s="3091" t="str">
        <f t="shared" si="45"/>
        <v xml:space="preserve">        ----</v>
      </c>
      <c r="L295" s="3072">
        <f t="shared" ref="L295:L300" ca="1" si="46">INDIRECT("Notes!CheckB"&amp;$C295)</f>
        <v>17540765.449999999</v>
      </c>
      <c r="M295" s="3094" t="s">
        <v>6797</v>
      </c>
      <c r="N295" s="3073"/>
      <c r="O295" s="3100"/>
      <c r="P295" s="3101"/>
      <c r="Q295" s="3101"/>
      <c r="R295" s="3101"/>
      <c r="S295" s="3102" t="s">
        <v>295</v>
      </c>
      <c r="T295" s="3102" t="s">
        <v>213</v>
      </c>
      <c r="U295" s="3103"/>
      <c r="V295" s="3103" t="s">
        <v>295</v>
      </c>
      <c r="W295" s="3103" t="s">
        <v>6791</v>
      </c>
      <c r="X295" s="3103" t="s">
        <v>6792</v>
      </c>
      <c r="Y295" s="3104" t="s">
        <v>164</v>
      </c>
    </row>
    <row r="296" spans="1:25" ht="18">
      <c r="A296" s="1304"/>
      <c r="B296" s="643">
        <v>6001</v>
      </c>
      <c r="C296" s="643" t="s">
        <v>1848</v>
      </c>
      <c r="D296" s="3088">
        <v>1</v>
      </c>
      <c r="E296" s="3089" t="str">
        <f t="shared" si="37"/>
        <v>营业收入</v>
      </c>
      <c r="F296" s="3090" t="s">
        <v>1849</v>
      </c>
      <c r="G296" s="3091">
        <f t="shared" si="38"/>
        <v>20266366.969999999</v>
      </c>
      <c r="H296" s="3092">
        <f t="shared" ca="1" si="39"/>
        <v>20266366.969999999</v>
      </c>
      <c r="I296" s="3094">
        <f ca="1">IF(AND(LEN(G296)&gt;0,LEN(H296)&gt;0),ROUND(SUM(G296)-SUM(H296),2),"")</f>
        <v>0</v>
      </c>
      <c r="J296" s="3073" t="str">
        <f ca="1">IF(ISNA(I296),"N/A",IF(I296=0,"√","？"))</f>
        <v>√</v>
      </c>
      <c r="K296" s="3091">
        <f t="shared" si="45"/>
        <v>9961204.6999999993</v>
      </c>
      <c r="L296" s="3072">
        <f t="shared" ca="1" si="46"/>
        <v>9961204.6999999993</v>
      </c>
      <c r="M296" s="3094">
        <f ca="1">IF(AND(LEN(K296)&gt;0,LEN(L296)&gt;0),ROUND(SUM(K296)-SUM(L296),2),"")</f>
        <v>0</v>
      </c>
      <c r="N296" s="3073" t="str">
        <f ca="1">IF(ISNA(M296),"N/A",IF(M296=0,"√","？"))</f>
        <v>√</v>
      </c>
      <c r="O296" s="3100"/>
      <c r="P296" s="3101"/>
      <c r="Q296" s="3101"/>
      <c r="R296" s="3101"/>
      <c r="S296" s="3102" t="s">
        <v>295</v>
      </c>
      <c r="T296" s="3102" t="s">
        <v>213</v>
      </c>
      <c r="U296" s="3103"/>
      <c r="V296" s="3103" t="s">
        <v>295</v>
      </c>
      <c r="W296" s="3103" t="s">
        <v>6791</v>
      </c>
      <c r="X296" s="3103" t="s">
        <v>6792</v>
      </c>
      <c r="Y296" s="3104" t="s">
        <v>164</v>
      </c>
    </row>
    <row r="297" spans="1:25" ht="18">
      <c r="A297" s="1304"/>
      <c r="B297" s="643">
        <v>6401</v>
      </c>
      <c r="C297" s="643" t="s">
        <v>1851</v>
      </c>
      <c r="D297" s="3088">
        <v>1</v>
      </c>
      <c r="E297" s="3089" t="str">
        <f t="shared" si="37"/>
        <v>营业成本</v>
      </c>
      <c r="F297" s="3090" t="s">
        <v>1852</v>
      </c>
      <c r="G297" s="3091">
        <f t="shared" si="38"/>
        <v>17540765.449999999</v>
      </c>
      <c r="H297" s="3092">
        <f t="shared" ca="1" si="39"/>
        <v>17540765.449999999</v>
      </c>
      <c r="I297" s="3094">
        <f ca="1">IF(AND(LEN(G297)&gt;0,LEN(H297)&gt;0),ROUND(SUM(G297)-SUM(H297),2),"")</f>
        <v>0</v>
      </c>
      <c r="J297" s="3073" t="str">
        <f ca="1">IF(ISNA(I297),"N/A",IF(I297=0,"√","？"))</f>
        <v>√</v>
      </c>
      <c r="K297" s="3091">
        <f t="shared" si="45"/>
        <v>8620689.6300000008</v>
      </c>
      <c r="L297" s="3072">
        <f t="shared" ca="1" si="46"/>
        <v>8620689.6300000008</v>
      </c>
      <c r="M297" s="3094">
        <f ca="1">IF(AND(LEN(K297)&gt;0,LEN(L297)&gt;0),ROUND(SUM(K297)-SUM(L297),2),"")</f>
        <v>0</v>
      </c>
      <c r="N297" s="3073" t="str">
        <f ca="1">IF(ISNA(M297),"N/A",IF(M297=0,"√","？"))</f>
        <v>√</v>
      </c>
      <c r="O297" s="3100"/>
      <c r="P297" s="3101"/>
      <c r="Q297" s="3101"/>
      <c r="R297" s="3101"/>
      <c r="S297" s="3102" t="s">
        <v>295</v>
      </c>
      <c r="T297" s="3102" t="s">
        <v>213</v>
      </c>
      <c r="U297" s="3103"/>
      <c r="V297" s="3103" t="s">
        <v>295</v>
      </c>
      <c r="W297" s="3103" t="s">
        <v>6791</v>
      </c>
      <c r="X297" s="3103" t="s">
        <v>6792</v>
      </c>
      <c r="Y297" s="3104" t="s">
        <v>164</v>
      </c>
    </row>
    <row r="298" spans="1:25" ht="24" hidden="1">
      <c r="A298" s="1304"/>
      <c r="B298" s="643"/>
      <c r="C298" s="643" t="s">
        <v>1854</v>
      </c>
      <c r="D298" s="3088">
        <v>3</v>
      </c>
      <c r="E298" s="3089" t="str">
        <f t="shared" si="37"/>
        <v xml:space="preserve">        ----</v>
      </c>
      <c r="F298" s="3090" t="s">
        <v>1855</v>
      </c>
      <c r="G298" s="3091" t="str">
        <f t="shared" si="38"/>
        <v xml:space="preserve">        ----</v>
      </c>
      <c r="H298" s="3092">
        <f t="shared" ca="1" si="39"/>
        <v>2725601.52</v>
      </c>
      <c r="I298" s="3094" t="s">
        <v>6797</v>
      </c>
      <c r="J298" s="3073"/>
      <c r="K298" s="3091" t="str">
        <f t="shared" si="45"/>
        <v xml:space="preserve">        ----</v>
      </c>
      <c r="L298" s="3072">
        <f t="shared" ca="1" si="46"/>
        <v>1340515.07</v>
      </c>
      <c r="M298" s="3094" t="s">
        <v>6797</v>
      </c>
      <c r="N298" s="3073"/>
      <c r="O298" s="3100"/>
      <c r="P298" s="3101"/>
      <c r="Q298" s="3101"/>
      <c r="R298" s="3101"/>
      <c r="S298" s="3102" t="s">
        <v>295</v>
      </c>
      <c r="T298" s="3102" t="s">
        <v>213</v>
      </c>
      <c r="U298" s="3103"/>
      <c r="V298" s="3103" t="s">
        <v>295</v>
      </c>
      <c r="W298" s="3103" t="s">
        <v>6791</v>
      </c>
      <c r="X298" s="3103" t="s">
        <v>6794</v>
      </c>
      <c r="Y298" s="3104" t="s">
        <v>164</v>
      </c>
    </row>
    <row r="299" spans="1:25" ht="18" hidden="1">
      <c r="A299" s="1304"/>
      <c r="B299" s="643"/>
      <c r="C299" s="643" t="s">
        <v>1859</v>
      </c>
      <c r="D299" s="3088">
        <v>3</v>
      </c>
      <c r="E299" s="3089" t="str">
        <f t="shared" si="37"/>
        <v xml:space="preserve">        ----</v>
      </c>
      <c r="F299" s="3090" t="s">
        <v>1860</v>
      </c>
      <c r="G299" s="3091" t="str">
        <f t="shared" si="38"/>
        <v xml:space="preserve">        ----</v>
      </c>
      <c r="H299" s="3092">
        <f t="shared" ca="1" si="39"/>
        <v>0</v>
      </c>
      <c r="I299" s="3094" t="s">
        <v>6797</v>
      </c>
      <c r="J299" s="3073"/>
      <c r="K299" s="3091" t="str">
        <f t="shared" si="45"/>
        <v xml:space="preserve">        ----</v>
      </c>
      <c r="L299" s="3072">
        <f t="shared" ca="1" si="46"/>
        <v>0</v>
      </c>
      <c r="M299" s="3094" t="s">
        <v>6797</v>
      </c>
      <c r="N299" s="3073"/>
      <c r="O299" s="3100"/>
      <c r="P299" s="3101"/>
      <c r="Q299" s="3101"/>
      <c r="R299" s="3101"/>
      <c r="S299" s="3102" t="s">
        <v>295</v>
      </c>
      <c r="T299" s="3102" t="s">
        <v>213</v>
      </c>
      <c r="U299" s="3103"/>
      <c r="V299" s="3103" t="s">
        <v>295</v>
      </c>
      <c r="W299" s="3103" t="s">
        <v>6791</v>
      </c>
      <c r="X299" s="3103" t="s">
        <v>6794</v>
      </c>
      <c r="Y299" s="3104" t="s">
        <v>164</v>
      </c>
    </row>
    <row r="300" spans="1:25" ht="18" hidden="1">
      <c r="A300" s="1304"/>
      <c r="B300" s="643"/>
      <c r="C300" s="643" t="s">
        <v>1863</v>
      </c>
      <c r="D300" s="3088">
        <v>3</v>
      </c>
      <c r="E300" s="3089" t="str">
        <f t="shared" si="37"/>
        <v xml:space="preserve">        ----</v>
      </c>
      <c r="F300" s="3090" t="s">
        <v>1864</v>
      </c>
      <c r="G300" s="3091" t="str">
        <f t="shared" si="38"/>
        <v xml:space="preserve">        ----</v>
      </c>
      <c r="H300" s="3092">
        <f t="shared" ca="1" si="39"/>
        <v>0</v>
      </c>
      <c r="I300" s="3094" t="s">
        <v>6797</v>
      </c>
      <c r="J300" s="3073"/>
      <c r="K300" s="3091" t="str">
        <f t="shared" si="45"/>
        <v xml:space="preserve">        ----</v>
      </c>
      <c r="L300" s="3072">
        <f t="shared" ca="1" si="46"/>
        <v>0</v>
      </c>
      <c r="M300" s="3094" t="s">
        <v>6797</v>
      </c>
      <c r="N300" s="3073"/>
      <c r="O300" s="3100"/>
      <c r="P300" s="3101"/>
      <c r="Q300" s="3101"/>
      <c r="R300" s="3101"/>
      <c r="S300" s="3102" t="s">
        <v>295</v>
      </c>
      <c r="T300" s="3102" t="s">
        <v>213</v>
      </c>
      <c r="U300" s="3103"/>
      <c r="V300" s="3103" t="s">
        <v>295</v>
      </c>
      <c r="W300" s="3103" t="s">
        <v>6791</v>
      </c>
      <c r="X300" s="3103" t="s">
        <v>6794</v>
      </c>
      <c r="Y300" s="3104" t="s">
        <v>164</v>
      </c>
    </row>
    <row r="301" spans="1:25" ht="18" hidden="1">
      <c r="A301" s="1304"/>
      <c r="B301" s="643">
        <v>6001</v>
      </c>
      <c r="C301" s="643" t="s">
        <v>1868</v>
      </c>
      <c r="D301" s="3088">
        <v>2</v>
      </c>
      <c r="E301" s="3089" t="str">
        <f t="shared" si="37"/>
        <v>营业收入</v>
      </c>
      <c r="F301" s="3090" t="s">
        <v>1869</v>
      </c>
      <c r="G301" s="3091">
        <f t="shared" si="38"/>
        <v>20266366.969999999</v>
      </c>
      <c r="H301" s="3092" t="s">
        <v>6793</v>
      </c>
      <c r="I301" s="3094" t="s">
        <v>6797</v>
      </c>
      <c r="J301" s="3073"/>
      <c r="K301" s="3091">
        <f t="shared" si="45"/>
        <v>9961204.6999999993</v>
      </c>
      <c r="L301" s="3072" t="s">
        <v>6793</v>
      </c>
      <c r="M301" s="3094" t="s">
        <v>6797</v>
      </c>
      <c r="N301" s="3073"/>
      <c r="O301" s="3100"/>
      <c r="P301" s="3101"/>
      <c r="Q301" s="3101"/>
      <c r="R301" s="3101"/>
      <c r="S301" s="3102" t="s">
        <v>295</v>
      </c>
      <c r="T301" s="3102" t="s">
        <v>213</v>
      </c>
      <c r="U301" s="3103"/>
      <c r="V301" s="3103" t="s">
        <v>295</v>
      </c>
      <c r="W301" s="3103" t="s">
        <v>6791</v>
      </c>
      <c r="X301" s="3103" t="s">
        <v>213</v>
      </c>
      <c r="Y301" s="3104" t="s">
        <v>164</v>
      </c>
    </row>
    <row r="302" spans="1:25" ht="18" hidden="1">
      <c r="A302" s="1304"/>
      <c r="B302" s="643">
        <v>6401</v>
      </c>
      <c r="C302" s="643" t="s">
        <v>1872</v>
      </c>
      <c r="D302" s="3088">
        <v>2</v>
      </c>
      <c r="E302" s="3089" t="str">
        <f t="shared" si="37"/>
        <v>营业成本</v>
      </c>
      <c r="F302" s="3090" t="s">
        <v>1873</v>
      </c>
      <c r="G302" s="3091">
        <f t="shared" si="38"/>
        <v>17540765.449999999</v>
      </c>
      <c r="H302" s="3092" t="s">
        <v>6793</v>
      </c>
      <c r="I302" s="3094" t="s">
        <v>6797</v>
      </c>
      <c r="J302" s="3073"/>
      <c r="K302" s="3091">
        <f t="shared" si="45"/>
        <v>8620689.6300000008</v>
      </c>
      <c r="L302" s="3072" t="s">
        <v>6793</v>
      </c>
      <c r="M302" s="3094" t="s">
        <v>6797</v>
      </c>
      <c r="N302" s="3073"/>
      <c r="O302" s="3100"/>
      <c r="P302" s="3101"/>
      <c r="Q302" s="3101"/>
      <c r="R302" s="3101"/>
      <c r="S302" s="3102" t="s">
        <v>295</v>
      </c>
      <c r="T302" s="3102" t="s">
        <v>213</v>
      </c>
      <c r="U302" s="3103"/>
      <c r="V302" s="3103" t="s">
        <v>295</v>
      </c>
      <c r="W302" s="3103" t="s">
        <v>6791</v>
      </c>
      <c r="X302" s="3103" t="s">
        <v>213</v>
      </c>
      <c r="Y302" s="3104" t="s">
        <v>164</v>
      </c>
    </row>
    <row r="303" spans="1:25" ht="18" hidden="1">
      <c r="A303" s="1304"/>
      <c r="B303" s="643">
        <v>6001</v>
      </c>
      <c r="C303" s="643" t="s">
        <v>1840</v>
      </c>
      <c r="D303" s="3088">
        <v>2</v>
      </c>
      <c r="E303" s="3089" t="str">
        <f t="shared" si="37"/>
        <v>营业收入</v>
      </c>
      <c r="F303" s="3090" t="s">
        <v>1841</v>
      </c>
      <c r="G303" s="3091">
        <f t="shared" si="38"/>
        <v>20266366.969999999</v>
      </c>
      <c r="H303" s="3092">
        <f t="shared" ref="H303:H346" ca="1" si="47">INDIRECT("Notes!CheckA"&amp;$C303)</f>
        <v>0</v>
      </c>
      <c r="I303" s="3094" t="s">
        <v>6797</v>
      </c>
      <c r="J303" s="3073"/>
      <c r="K303" s="3091">
        <f t="shared" si="45"/>
        <v>9961204.6999999993</v>
      </c>
      <c r="L303" s="3072">
        <f t="shared" ref="L303:L327" ca="1" si="48">INDIRECT("Notes!CheckB"&amp;$C303)</f>
        <v>0</v>
      </c>
      <c r="M303" s="3094" t="s">
        <v>6797</v>
      </c>
      <c r="N303" s="3073"/>
      <c r="O303" s="3100"/>
      <c r="P303" s="3101"/>
      <c r="Q303" s="3101"/>
      <c r="R303" s="3101"/>
      <c r="S303" s="3102" t="s">
        <v>295</v>
      </c>
      <c r="T303" s="3102" t="s">
        <v>213</v>
      </c>
      <c r="U303" s="3103"/>
      <c r="V303" s="3103" t="s">
        <v>295</v>
      </c>
      <c r="W303" s="3103" t="s">
        <v>6791</v>
      </c>
      <c r="X303" s="3103" t="s">
        <v>213</v>
      </c>
      <c r="Y303" s="3104" t="s">
        <v>164</v>
      </c>
    </row>
    <row r="304" spans="1:25" ht="18" hidden="1">
      <c r="A304" s="1304"/>
      <c r="B304" s="643">
        <v>6401</v>
      </c>
      <c r="C304" s="643" t="s">
        <v>1894</v>
      </c>
      <c r="D304" s="3088">
        <v>2</v>
      </c>
      <c r="E304" s="3089" t="str">
        <f t="shared" si="37"/>
        <v>营业成本</v>
      </c>
      <c r="F304" s="3090" t="s">
        <v>1895</v>
      </c>
      <c r="G304" s="3091">
        <f t="shared" si="38"/>
        <v>17540765.449999999</v>
      </c>
      <c r="H304" s="3092">
        <f t="shared" ca="1" si="47"/>
        <v>0</v>
      </c>
      <c r="I304" s="3094" t="s">
        <v>6797</v>
      </c>
      <c r="J304" s="3073"/>
      <c r="K304" s="3091">
        <f t="shared" si="45"/>
        <v>8620689.6300000008</v>
      </c>
      <c r="L304" s="3072">
        <f t="shared" ca="1" si="48"/>
        <v>0</v>
      </c>
      <c r="M304" s="3094" t="s">
        <v>6797</v>
      </c>
      <c r="N304" s="3073"/>
      <c r="O304" s="3100"/>
      <c r="P304" s="3101"/>
      <c r="Q304" s="3101"/>
      <c r="R304" s="3101"/>
      <c r="S304" s="3102" t="s">
        <v>295</v>
      </c>
      <c r="T304" s="3102" t="s">
        <v>213</v>
      </c>
      <c r="U304" s="3103"/>
      <c r="V304" s="3103" t="s">
        <v>295</v>
      </c>
      <c r="W304" s="3103" t="s">
        <v>6791</v>
      </c>
      <c r="X304" s="3103" t="s">
        <v>213</v>
      </c>
      <c r="Y304" s="3104" t="s">
        <v>164</v>
      </c>
    </row>
    <row r="305" spans="1:25" ht="18">
      <c r="A305" s="1304"/>
      <c r="B305" s="643">
        <v>6600</v>
      </c>
      <c r="C305" s="643" t="s">
        <v>1897</v>
      </c>
      <c r="D305" s="3088">
        <v>1</v>
      </c>
      <c r="E305" s="3089" t="str">
        <f t="shared" si="37"/>
        <v>税金及附加</v>
      </c>
      <c r="F305" s="3090" t="s">
        <v>1898</v>
      </c>
      <c r="G305" s="3091">
        <f t="shared" si="38"/>
        <v>78151.759999999995</v>
      </c>
      <c r="H305" s="3092">
        <f t="shared" ca="1" si="47"/>
        <v>78151.759999999995</v>
      </c>
      <c r="I305" s="3094">
        <f ca="1">IF(AND(LEN(G305)&gt;0,LEN(H305)&gt;0),ROUND(SUM(G305)-SUM(H305),2),"")</f>
        <v>0</v>
      </c>
      <c r="J305" s="3073" t="str">
        <f ca="1">IF(ISNA(I305),"N/A",IF(I305=0,"√","？"))</f>
        <v>√</v>
      </c>
      <c r="K305" s="3091">
        <f t="shared" si="45"/>
        <v>68861.460000000006</v>
      </c>
      <c r="L305" s="3072">
        <f t="shared" ca="1" si="48"/>
        <v>68861.460000000006</v>
      </c>
      <c r="M305" s="3094">
        <f ca="1">IF(AND(LEN(K305)&gt;0,LEN(L305)&gt;0),ROUND(SUM(K305)-SUM(L305),2),"")</f>
        <v>0</v>
      </c>
      <c r="N305" s="3073" t="str">
        <f ca="1">IF(ISNA(M305),"N/A",IF(M305=0,"√","？"))</f>
        <v>√</v>
      </c>
      <c r="O305" s="3100"/>
      <c r="P305" s="3101"/>
      <c r="Q305" s="3101"/>
      <c r="R305" s="3101"/>
      <c r="S305" s="3102" t="s">
        <v>295</v>
      </c>
      <c r="T305" s="3102" t="s">
        <v>213</v>
      </c>
      <c r="U305" s="3103"/>
      <c r="V305" s="3103" t="s">
        <v>295</v>
      </c>
      <c r="W305" s="3103" t="s">
        <v>6791</v>
      </c>
      <c r="X305" s="3103" t="s">
        <v>6792</v>
      </c>
      <c r="Y305" s="3104" t="s">
        <v>164</v>
      </c>
    </row>
    <row r="306" spans="1:25" ht="18" hidden="1">
      <c r="A306" s="1304"/>
      <c r="B306" s="643">
        <v>6600</v>
      </c>
      <c r="C306" s="643" t="s">
        <v>1901</v>
      </c>
      <c r="D306" s="3088">
        <v>2</v>
      </c>
      <c r="E306" s="3089" t="str">
        <f t="shared" si="37"/>
        <v>税金及附加</v>
      </c>
      <c r="F306" s="3090" t="s">
        <v>1902</v>
      </c>
      <c r="G306" s="3091">
        <f t="shared" si="38"/>
        <v>78151.759999999995</v>
      </c>
      <c r="H306" s="3092">
        <f t="shared" ca="1" si="47"/>
        <v>0</v>
      </c>
      <c r="I306" s="3094" t="s">
        <v>6797</v>
      </c>
      <c r="J306" s="3073"/>
      <c r="K306" s="3091">
        <f t="shared" si="45"/>
        <v>68861.460000000006</v>
      </c>
      <c r="L306" s="3072">
        <f t="shared" ca="1" si="48"/>
        <v>0</v>
      </c>
      <c r="M306" s="3094" t="s">
        <v>6797</v>
      </c>
      <c r="N306" s="3073"/>
      <c r="O306" s="3100"/>
      <c r="P306" s="3101"/>
      <c r="Q306" s="3101"/>
      <c r="R306" s="3101"/>
      <c r="S306" s="3102" t="s">
        <v>295</v>
      </c>
      <c r="T306" s="3102" t="s">
        <v>213</v>
      </c>
      <c r="U306" s="3103"/>
      <c r="V306" s="3103" t="s">
        <v>295</v>
      </c>
      <c r="W306" s="3103" t="s">
        <v>6791</v>
      </c>
      <c r="X306" s="3103" t="s">
        <v>213</v>
      </c>
      <c r="Y306" s="3104" t="s">
        <v>164</v>
      </c>
    </row>
    <row r="307" spans="1:25" ht="18">
      <c r="A307" s="1304"/>
      <c r="B307" s="643">
        <v>6601</v>
      </c>
      <c r="C307" s="643" t="s">
        <v>1905</v>
      </c>
      <c r="D307" s="3088">
        <v>1</v>
      </c>
      <c r="E307" s="3089" t="str">
        <f t="shared" si="37"/>
        <v>销售费用</v>
      </c>
      <c r="F307" s="3090" t="s">
        <v>1906</v>
      </c>
      <c r="G307" s="3091">
        <f t="shared" si="38"/>
        <v>0</v>
      </c>
      <c r="H307" s="3092">
        <f t="shared" ca="1" si="47"/>
        <v>0</v>
      </c>
      <c r="I307" s="3094">
        <f ca="1">IF(AND(LEN(G307)&gt;0,LEN(H307)&gt;0),ROUND(SUM(G307)-SUM(H307),2),"")</f>
        <v>0</v>
      </c>
      <c r="J307" s="3073" t="str">
        <f ca="1">IF(ISNA(I307),"N/A",IF(I307=0,"√","？"))</f>
        <v>√</v>
      </c>
      <c r="K307" s="3091">
        <f t="shared" si="45"/>
        <v>0</v>
      </c>
      <c r="L307" s="3072">
        <f t="shared" ca="1" si="48"/>
        <v>0</v>
      </c>
      <c r="M307" s="3094">
        <f ca="1">IF(AND(LEN(K307)&gt;0,LEN(L307)&gt;0),ROUND(SUM(K307)-SUM(L307),2),"")</f>
        <v>0</v>
      </c>
      <c r="N307" s="3073" t="str">
        <f ca="1">IF(ISNA(M307),"N/A",IF(M307=0,"√","？"))</f>
        <v>√</v>
      </c>
      <c r="O307" s="3100"/>
      <c r="P307" s="3101"/>
      <c r="Q307" s="3101"/>
      <c r="R307" s="3101"/>
      <c r="S307" s="3102" t="s">
        <v>295</v>
      </c>
      <c r="T307" s="3102" t="s">
        <v>213</v>
      </c>
      <c r="U307" s="3103"/>
      <c r="V307" s="3103" t="s">
        <v>295</v>
      </c>
      <c r="W307" s="3103" t="s">
        <v>6791</v>
      </c>
      <c r="X307" s="3103" t="s">
        <v>6792</v>
      </c>
      <c r="Y307" s="3104" t="s">
        <v>164</v>
      </c>
    </row>
    <row r="308" spans="1:25" ht="18" hidden="1">
      <c r="A308" s="1304"/>
      <c r="B308" s="643">
        <v>6601</v>
      </c>
      <c r="C308" s="643" t="s">
        <v>1910</v>
      </c>
      <c r="D308" s="3088">
        <v>2</v>
      </c>
      <c r="E308" s="3089" t="str">
        <f t="shared" si="37"/>
        <v>销售费用</v>
      </c>
      <c r="F308" s="3090" t="s">
        <v>1911</v>
      </c>
      <c r="G308" s="3091">
        <f t="shared" si="38"/>
        <v>0</v>
      </c>
      <c r="H308" s="3092">
        <f t="shared" ca="1" si="47"/>
        <v>5521.44</v>
      </c>
      <c r="I308" s="3094" t="s">
        <v>6797</v>
      </c>
      <c r="J308" s="3073"/>
      <c r="K308" s="3091">
        <f t="shared" si="45"/>
        <v>0</v>
      </c>
      <c r="L308" s="3072">
        <f t="shared" ca="1" si="48"/>
        <v>5521.44</v>
      </c>
      <c r="M308" s="3094" t="s">
        <v>6797</v>
      </c>
      <c r="N308" s="3073"/>
      <c r="O308" s="3100"/>
      <c r="P308" s="3101"/>
      <c r="Q308" s="3101"/>
      <c r="R308" s="3101"/>
      <c r="S308" s="3102" t="s">
        <v>295</v>
      </c>
      <c r="T308" s="3102" t="s">
        <v>213</v>
      </c>
      <c r="U308" s="3103"/>
      <c r="V308" s="3103" t="s">
        <v>295</v>
      </c>
      <c r="W308" s="3103" t="s">
        <v>6791</v>
      </c>
      <c r="X308" s="3103" t="s">
        <v>213</v>
      </c>
      <c r="Y308" s="3104" t="s">
        <v>164</v>
      </c>
    </row>
    <row r="309" spans="1:25" ht="18">
      <c r="A309" s="1304"/>
      <c r="B309" s="643">
        <v>6602</v>
      </c>
      <c r="C309" s="643" t="s">
        <v>1913</v>
      </c>
      <c r="D309" s="3088">
        <v>1</v>
      </c>
      <c r="E309" s="3089" t="str">
        <f t="shared" si="37"/>
        <v>管理费用</v>
      </c>
      <c r="F309" s="3090" t="s">
        <v>1914</v>
      </c>
      <c r="G309" s="3091">
        <f t="shared" si="38"/>
        <v>5051217.3499999996</v>
      </c>
      <c r="H309" s="3092">
        <f t="shared" ca="1" si="47"/>
        <v>5051217.3499999996</v>
      </c>
      <c r="I309" s="3094">
        <f ca="1">IF(AND(LEN(G309)&gt;0,LEN(H309)&gt;0),ROUND(SUM(G309)-SUM(H309),2),"")</f>
        <v>0</v>
      </c>
      <c r="J309" s="3073" t="str">
        <f ca="1">IF(ISNA(I309),"N/A",IF(I309=0,"√","？"))</f>
        <v>√</v>
      </c>
      <c r="K309" s="3091">
        <f t="shared" si="45"/>
        <v>5160685.92</v>
      </c>
      <c r="L309" s="3072">
        <f t="shared" ca="1" si="48"/>
        <v>5160685.92</v>
      </c>
      <c r="M309" s="3094">
        <f ca="1">IF(AND(LEN(K309)&gt;0,LEN(L309)&gt;0),ROUND(SUM(K309)-SUM(L309),2),"")</f>
        <v>0</v>
      </c>
      <c r="N309" s="3073" t="str">
        <f ca="1">IF(ISNA(M309),"N/A",IF(M309=0,"√","？"))</f>
        <v>√</v>
      </c>
      <c r="O309" s="3100"/>
      <c r="P309" s="3101"/>
      <c r="Q309" s="3101"/>
      <c r="R309" s="3101"/>
      <c r="S309" s="3102" t="s">
        <v>295</v>
      </c>
      <c r="T309" s="3102" t="s">
        <v>213</v>
      </c>
      <c r="U309" s="3103"/>
      <c r="V309" s="3103" t="s">
        <v>295</v>
      </c>
      <c r="W309" s="3103" t="s">
        <v>6791</v>
      </c>
      <c r="X309" s="3103" t="s">
        <v>6792</v>
      </c>
      <c r="Y309" s="3104" t="s">
        <v>164</v>
      </c>
    </row>
    <row r="310" spans="1:25" ht="18" hidden="1">
      <c r="A310" s="1304"/>
      <c r="B310" s="643">
        <v>6602</v>
      </c>
      <c r="C310" s="643" t="s">
        <v>1916</v>
      </c>
      <c r="D310" s="3088">
        <v>2</v>
      </c>
      <c r="E310" s="3089" t="str">
        <f t="shared" si="37"/>
        <v>管理费用</v>
      </c>
      <c r="F310" s="3090" t="s">
        <v>1917</v>
      </c>
      <c r="G310" s="3091">
        <f t="shared" si="38"/>
        <v>5051217.3499999996</v>
      </c>
      <c r="H310" s="3092">
        <f t="shared" ca="1" si="47"/>
        <v>0</v>
      </c>
      <c r="I310" s="3094" t="s">
        <v>6797</v>
      </c>
      <c r="J310" s="3073"/>
      <c r="K310" s="3091">
        <f t="shared" si="45"/>
        <v>5160685.92</v>
      </c>
      <c r="L310" s="3072">
        <f t="shared" ca="1" si="48"/>
        <v>0</v>
      </c>
      <c r="M310" s="3094" t="s">
        <v>6797</v>
      </c>
      <c r="N310" s="3073"/>
      <c r="O310" s="3100"/>
      <c r="P310" s="3101"/>
      <c r="Q310" s="3101"/>
      <c r="R310" s="3101"/>
      <c r="S310" s="3102" t="s">
        <v>295</v>
      </c>
      <c r="T310" s="3102" t="s">
        <v>213</v>
      </c>
      <c r="U310" s="3103"/>
      <c r="V310" s="3103" t="s">
        <v>295</v>
      </c>
      <c r="W310" s="3103" t="s">
        <v>6791</v>
      </c>
      <c r="X310" s="3103" t="s">
        <v>213</v>
      </c>
      <c r="Y310" s="3104" t="s">
        <v>164</v>
      </c>
    </row>
    <row r="311" spans="1:25" ht="18" hidden="1">
      <c r="A311" s="1304"/>
      <c r="B311" s="643">
        <v>6606</v>
      </c>
      <c r="C311" s="643" t="s">
        <v>6169</v>
      </c>
      <c r="D311" s="3088">
        <v>2</v>
      </c>
      <c r="E311" s="3089" t="str">
        <f t="shared" si="37"/>
        <v>研发费用</v>
      </c>
      <c r="F311" s="3090" t="s">
        <v>6170</v>
      </c>
      <c r="G311" s="3091">
        <f t="shared" si="38"/>
        <v>0</v>
      </c>
      <c r="H311" s="3092">
        <f t="shared" ca="1" si="47"/>
        <v>0</v>
      </c>
      <c r="I311" s="3094" t="s">
        <v>6797</v>
      </c>
      <c r="J311" s="3073"/>
      <c r="K311" s="3091">
        <f t="shared" si="45"/>
        <v>0</v>
      </c>
      <c r="L311" s="3072">
        <f t="shared" ca="1" si="48"/>
        <v>0</v>
      </c>
      <c r="M311" s="3094" t="s">
        <v>6797</v>
      </c>
      <c r="N311" s="3073"/>
      <c r="O311" s="3100"/>
      <c r="P311" s="3101"/>
      <c r="Q311" s="3101"/>
      <c r="R311" s="3101"/>
      <c r="S311" s="3102" t="s">
        <v>295</v>
      </c>
      <c r="T311" s="3102" t="s">
        <v>213</v>
      </c>
      <c r="U311" s="3103"/>
      <c r="V311" s="3103" t="s">
        <v>295</v>
      </c>
      <c r="W311" s="3103" t="s">
        <v>6791</v>
      </c>
      <c r="X311" s="3103" t="s">
        <v>213</v>
      </c>
      <c r="Y311" s="3104" t="s">
        <v>164</v>
      </c>
    </row>
    <row r="312" spans="1:25" ht="18">
      <c r="A312" s="1304"/>
      <c r="B312" s="643">
        <v>6606</v>
      </c>
      <c r="C312" s="643" t="s">
        <v>1924</v>
      </c>
      <c r="D312" s="3088">
        <v>1</v>
      </c>
      <c r="E312" s="3089" t="str">
        <f t="shared" si="37"/>
        <v>研发费用</v>
      </c>
      <c r="F312" s="3090" t="s">
        <v>1925</v>
      </c>
      <c r="G312" s="3091">
        <f t="shared" si="38"/>
        <v>0</v>
      </c>
      <c r="H312" s="3092">
        <f t="shared" ca="1" si="47"/>
        <v>0</v>
      </c>
      <c r="I312" s="3094">
        <f ca="1">IF(AND(LEN(G312)&gt;0,LEN(H312)&gt;0),ROUND(SUM(G312)-SUM(H312),2),"")</f>
        <v>0</v>
      </c>
      <c r="J312" s="3073" t="str">
        <f ca="1">IF(ISNA(I312),"N/A",IF(I312=0,"√","？"))</f>
        <v>√</v>
      </c>
      <c r="K312" s="3091">
        <f t="shared" si="45"/>
        <v>0</v>
      </c>
      <c r="L312" s="3072">
        <f t="shared" ca="1" si="48"/>
        <v>0</v>
      </c>
      <c r="M312" s="3094">
        <f ca="1">IF(AND(LEN(K312)&gt;0,LEN(L312)&gt;0),ROUND(SUM(K312)-SUM(L312),2),"")</f>
        <v>0</v>
      </c>
      <c r="N312" s="3073" t="str">
        <f ca="1">IF(ISNA(M312),"N/A",IF(M312=0,"√","？"))</f>
        <v>√</v>
      </c>
      <c r="O312" s="3100"/>
      <c r="P312" s="3101"/>
      <c r="Q312" s="3101"/>
      <c r="R312" s="3101"/>
      <c r="S312" s="3102" t="s">
        <v>295</v>
      </c>
      <c r="T312" s="3102" t="s">
        <v>213</v>
      </c>
      <c r="U312" s="3103"/>
      <c r="V312" s="3103" t="s">
        <v>295</v>
      </c>
      <c r="W312" s="3103" t="s">
        <v>6791</v>
      </c>
      <c r="X312" s="3103" t="s">
        <v>6792</v>
      </c>
      <c r="Y312" s="3104" t="s">
        <v>164</v>
      </c>
    </row>
    <row r="313" spans="1:25" ht="18">
      <c r="A313" s="1304"/>
      <c r="B313" s="643">
        <v>6603</v>
      </c>
      <c r="C313" s="643" t="s">
        <v>1919</v>
      </c>
      <c r="D313" s="3088">
        <v>1</v>
      </c>
      <c r="E313" s="3089" t="str">
        <f t="shared" si="37"/>
        <v>财务费用</v>
      </c>
      <c r="F313" s="3090" t="s">
        <v>1920</v>
      </c>
      <c r="G313" s="3091">
        <f t="shared" si="38"/>
        <v>-10537.07</v>
      </c>
      <c r="H313" s="3092">
        <f t="shared" ca="1" si="47"/>
        <v>-10537.07</v>
      </c>
      <c r="I313" s="3094">
        <f ca="1">IF(AND(LEN(G313)&gt;0,LEN(H313)&gt;0),ROUND(SUM(G313)-SUM(H313),2),"")</f>
        <v>0</v>
      </c>
      <c r="J313" s="3073" t="str">
        <f ca="1">IF(ISNA(I313),"N/A",IF(I313=0,"√","？"))</f>
        <v>√</v>
      </c>
      <c r="K313" s="3091">
        <f t="shared" si="45"/>
        <v>-4939.1400000000003</v>
      </c>
      <c r="L313" s="3072">
        <f t="shared" ca="1" si="48"/>
        <v>-4939.1400000000003</v>
      </c>
      <c r="M313" s="3094">
        <f ca="1">IF(AND(LEN(K313)&gt;0,LEN(L313)&gt;0),ROUND(SUM(K313)-SUM(L313),2),"")</f>
        <v>0</v>
      </c>
      <c r="N313" s="3073" t="str">
        <f ca="1">IF(ISNA(M313),"N/A",IF(M313=0,"√","？"))</f>
        <v>√</v>
      </c>
      <c r="O313" s="3100"/>
      <c r="P313" s="3101"/>
      <c r="Q313" s="3101"/>
      <c r="R313" s="3101"/>
      <c r="S313" s="3102" t="s">
        <v>295</v>
      </c>
      <c r="T313" s="3102" t="s">
        <v>213</v>
      </c>
      <c r="U313" s="3103"/>
      <c r="V313" s="3103" t="s">
        <v>295</v>
      </c>
      <c r="W313" s="3103" t="s">
        <v>6791</v>
      </c>
      <c r="X313" s="3103" t="s">
        <v>6792</v>
      </c>
      <c r="Y313" s="3104" t="s">
        <v>164</v>
      </c>
    </row>
    <row r="314" spans="1:25" ht="18" hidden="1">
      <c r="A314" s="1304"/>
      <c r="B314" s="643">
        <v>6603</v>
      </c>
      <c r="C314" s="643" t="s">
        <v>1922</v>
      </c>
      <c r="D314" s="3088">
        <v>2</v>
      </c>
      <c r="E314" s="3089" t="str">
        <f t="shared" si="37"/>
        <v>财务费用</v>
      </c>
      <c r="F314" s="3090" t="s">
        <v>1923</v>
      </c>
      <c r="G314" s="3091">
        <f t="shared" si="38"/>
        <v>-10537.07</v>
      </c>
      <c r="H314" s="3092">
        <f t="shared" ca="1" si="47"/>
        <v>0</v>
      </c>
      <c r="I314" s="3094" t="s">
        <v>6797</v>
      </c>
      <c r="J314" s="3073"/>
      <c r="K314" s="3091">
        <f t="shared" si="45"/>
        <v>-4939.1400000000003</v>
      </c>
      <c r="L314" s="3072">
        <f t="shared" ca="1" si="48"/>
        <v>0</v>
      </c>
      <c r="M314" s="3094" t="s">
        <v>6797</v>
      </c>
      <c r="N314" s="3073"/>
      <c r="O314" s="3100"/>
      <c r="P314" s="3101"/>
      <c r="Q314" s="3101"/>
      <c r="R314" s="3101"/>
      <c r="S314" s="3102" t="s">
        <v>295</v>
      </c>
      <c r="T314" s="3102" t="s">
        <v>213</v>
      </c>
      <c r="U314" s="3103"/>
      <c r="V314" s="3103" t="s">
        <v>295</v>
      </c>
      <c r="W314" s="3103" t="s">
        <v>6791</v>
      </c>
      <c r="X314" s="3103" t="s">
        <v>213</v>
      </c>
      <c r="Y314" s="3104" t="s">
        <v>164</v>
      </c>
    </row>
    <row r="315" spans="1:25" ht="18">
      <c r="A315" s="1304"/>
      <c r="B315" s="643">
        <v>6181</v>
      </c>
      <c r="C315" s="643" t="s">
        <v>1891</v>
      </c>
      <c r="D315" s="3088">
        <v>1</v>
      </c>
      <c r="E315" s="3089" t="str">
        <f t="shared" si="37"/>
        <v>其他收益</v>
      </c>
      <c r="F315" s="3090" t="s">
        <v>1892</v>
      </c>
      <c r="G315" s="3091">
        <f t="shared" si="38"/>
        <v>10490.18</v>
      </c>
      <c r="H315" s="3092">
        <f t="shared" ca="1" si="47"/>
        <v>10490.18</v>
      </c>
      <c r="I315" s="3094">
        <f t="shared" ref="I315:I322" ca="1" si="49">IF(AND(LEN(G315)&gt;0,LEN(H315)&gt;0),ROUND(SUM(G315)-SUM(H315),2),"")</f>
        <v>0</v>
      </c>
      <c r="J315" s="3073" t="str">
        <f t="shared" ref="J315:J322" ca="1" si="50">IF(ISNA(I315),"N/A",IF(I315=0,"√","？"))</f>
        <v>√</v>
      </c>
      <c r="K315" s="3091">
        <f t="shared" si="45"/>
        <v>0</v>
      </c>
      <c r="L315" s="3072">
        <f t="shared" ca="1" si="48"/>
        <v>0</v>
      </c>
      <c r="M315" s="3094">
        <f t="shared" ref="M315:M322" ca="1" si="51">IF(AND(LEN(K315)&gt;0,LEN(L315)&gt;0),ROUND(SUM(K315)-SUM(L315),2),"")</f>
        <v>0</v>
      </c>
      <c r="N315" s="3073" t="str">
        <f t="shared" ref="N315:N322" ca="1" si="52">IF(ISNA(M315),"N/A",IF(M315=0,"√","？"))</f>
        <v>√</v>
      </c>
      <c r="O315" s="3100"/>
      <c r="P315" s="3101"/>
      <c r="Q315" s="3101"/>
      <c r="R315" s="3101"/>
      <c r="S315" s="3102" t="s">
        <v>295</v>
      </c>
      <c r="T315" s="3102" t="s">
        <v>213</v>
      </c>
      <c r="U315" s="3103"/>
      <c r="V315" s="3103" t="s">
        <v>295</v>
      </c>
      <c r="W315" s="3103" t="s">
        <v>6791</v>
      </c>
      <c r="X315" s="3103" t="s">
        <v>6792</v>
      </c>
      <c r="Y315" s="3104" t="s">
        <v>164</v>
      </c>
    </row>
    <row r="316" spans="1:25" ht="18">
      <c r="A316" s="1304"/>
      <c r="B316" s="643">
        <v>6111</v>
      </c>
      <c r="C316" s="643" t="s">
        <v>1885</v>
      </c>
      <c r="D316" s="3088">
        <v>1</v>
      </c>
      <c r="E316" s="3089" t="str">
        <f t="shared" si="37"/>
        <v>投资收益</v>
      </c>
      <c r="F316" s="3090" t="s">
        <v>6457</v>
      </c>
      <c r="G316" s="3091">
        <f t="shared" si="38"/>
        <v>0</v>
      </c>
      <c r="H316" s="3092">
        <f t="shared" ca="1" si="47"/>
        <v>0</v>
      </c>
      <c r="I316" s="3094">
        <f t="shared" ca="1" si="49"/>
        <v>0</v>
      </c>
      <c r="J316" s="3073" t="str">
        <f t="shared" ca="1" si="50"/>
        <v>√</v>
      </c>
      <c r="K316" s="3091">
        <f t="shared" si="45"/>
        <v>5521086.3499999996</v>
      </c>
      <c r="L316" s="3072">
        <f t="shared" ca="1" si="48"/>
        <v>5521086.3499999996</v>
      </c>
      <c r="M316" s="3094">
        <f t="shared" ca="1" si="51"/>
        <v>0</v>
      </c>
      <c r="N316" s="3073" t="str">
        <f t="shared" ca="1" si="52"/>
        <v>√</v>
      </c>
      <c r="O316" s="3100"/>
      <c r="P316" s="3101"/>
      <c r="Q316" s="3101"/>
      <c r="R316" s="3101"/>
      <c r="S316" s="3102" t="s">
        <v>295</v>
      </c>
      <c r="T316" s="3102" t="s">
        <v>213</v>
      </c>
      <c r="U316" s="3103"/>
      <c r="V316" s="3103" t="s">
        <v>295</v>
      </c>
      <c r="W316" s="3103" t="s">
        <v>6791</v>
      </c>
      <c r="X316" s="3103" t="s">
        <v>6792</v>
      </c>
      <c r="Y316" s="3104" t="s">
        <v>164</v>
      </c>
    </row>
    <row r="317" spans="1:25" ht="24">
      <c r="A317" s="1304"/>
      <c r="B317" s="643">
        <v>6102</v>
      </c>
      <c r="C317" s="643" t="s">
        <v>1882</v>
      </c>
      <c r="D317" s="3088">
        <v>1</v>
      </c>
      <c r="E317" s="3089" t="str">
        <f t="shared" si="37"/>
        <v>净敞口套期收益</v>
      </c>
      <c r="F317" s="3090" t="s">
        <v>1883</v>
      </c>
      <c r="G317" s="3091">
        <f t="shared" si="38"/>
        <v>0</v>
      </c>
      <c r="H317" s="3092">
        <f t="shared" ca="1" si="47"/>
        <v>0</v>
      </c>
      <c r="I317" s="3094">
        <f t="shared" ca="1" si="49"/>
        <v>0</v>
      </c>
      <c r="J317" s="3073" t="str">
        <f t="shared" ca="1" si="50"/>
        <v>√</v>
      </c>
      <c r="K317" s="3091">
        <f t="shared" si="45"/>
        <v>0</v>
      </c>
      <c r="L317" s="3072">
        <f t="shared" ca="1" si="48"/>
        <v>0</v>
      </c>
      <c r="M317" s="3094">
        <f t="shared" ca="1" si="51"/>
        <v>0</v>
      </c>
      <c r="N317" s="3073" t="str">
        <f t="shared" ca="1" si="52"/>
        <v>√</v>
      </c>
      <c r="O317" s="3100"/>
      <c r="P317" s="3101"/>
      <c r="Q317" s="3101"/>
      <c r="R317" s="3101"/>
      <c r="S317" s="3102" t="s">
        <v>295</v>
      </c>
      <c r="T317" s="3102" t="s">
        <v>213</v>
      </c>
      <c r="U317" s="3103"/>
      <c r="V317" s="3103" t="s">
        <v>295</v>
      </c>
      <c r="W317" s="3103" t="s">
        <v>145</v>
      </c>
      <c r="X317" s="3103" t="s">
        <v>6794</v>
      </c>
      <c r="Y317" s="3104" t="s">
        <v>119</v>
      </c>
    </row>
    <row r="318" spans="1:25" ht="24">
      <c r="A318" s="1304"/>
      <c r="B318" s="643">
        <v>6101</v>
      </c>
      <c r="C318" s="643" t="s">
        <v>6091</v>
      </c>
      <c r="D318" s="3088">
        <v>1</v>
      </c>
      <c r="E318" s="3089" t="str">
        <f t="shared" si="37"/>
        <v>公允价值变动收益</v>
      </c>
      <c r="F318" s="3090" t="s">
        <v>6092</v>
      </c>
      <c r="G318" s="3091">
        <f t="shared" si="38"/>
        <v>0</v>
      </c>
      <c r="H318" s="3092">
        <f t="shared" ca="1" si="47"/>
        <v>0</v>
      </c>
      <c r="I318" s="3094">
        <f t="shared" ca="1" si="49"/>
        <v>0</v>
      </c>
      <c r="J318" s="3073" t="str">
        <f t="shared" ca="1" si="50"/>
        <v>√</v>
      </c>
      <c r="K318" s="3091">
        <f t="shared" si="45"/>
        <v>0</v>
      </c>
      <c r="L318" s="3072">
        <f t="shared" ca="1" si="48"/>
        <v>0</v>
      </c>
      <c r="M318" s="3094">
        <f t="shared" ca="1" si="51"/>
        <v>0</v>
      </c>
      <c r="N318" s="3073" t="str">
        <f t="shared" ca="1" si="52"/>
        <v>√</v>
      </c>
      <c r="O318" s="3100"/>
      <c r="P318" s="3101"/>
      <c r="Q318" s="3101"/>
      <c r="R318" s="3101"/>
      <c r="S318" s="3102" t="s">
        <v>295</v>
      </c>
      <c r="T318" s="3102" t="s">
        <v>213</v>
      </c>
      <c r="U318" s="3103"/>
      <c r="V318" s="3103" t="s">
        <v>295</v>
      </c>
      <c r="W318" s="3103" t="s">
        <v>145</v>
      </c>
      <c r="X318" s="3103" t="s">
        <v>6794</v>
      </c>
      <c r="Y318" s="3104" t="s">
        <v>119</v>
      </c>
    </row>
    <row r="319" spans="1:25" ht="18">
      <c r="A319" s="1304"/>
      <c r="B319" s="643">
        <v>6672</v>
      </c>
      <c r="C319" s="643" t="s">
        <v>1930</v>
      </c>
      <c r="D319" s="3088">
        <v>1</v>
      </c>
      <c r="E319" s="3089" t="str">
        <f t="shared" si="37"/>
        <v>信用减值损失</v>
      </c>
      <c r="F319" s="3090" t="s">
        <v>1931</v>
      </c>
      <c r="G319" s="3091">
        <f t="shared" si="38"/>
        <v>0</v>
      </c>
      <c r="H319" s="3092">
        <f t="shared" ca="1" si="47"/>
        <v>0</v>
      </c>
      <c r="I319" s="3094">
        <f t="shared" ca="1" si="49"/>
        <v>0</v>
      </c>
      <c r="J319" s="3073" t="str">
        <f t="shared" ca="1" si="50"/>
        <v>√</v>
      </c>
      <c r="K319" s="3091">
        <f t="shared" si="45"/>
        <v>0</v>
      </c>
      <c r="L319" s="3072">
        <f t="shared" ca="1" si="48"/>
        <v>0</v>
      </c>
      <c r="M319" s="3094">
        <f t="shared" ca="1" si="51"/>
        <v>0</v>
      </c>
      <c r="N319" s="3073" t="str">
        <f t="shared" ca="1" si="52"/>
        <v>√</v>
      </c>
      <c r="O319" s="3100"/>
      <c r="P319" s="3101"/>
      <c r="Q319" s="3101"/>
      <c r="R319" s="3101"/>
      <c r="S319" s="3102" t="s">
        <v>295</v>
      </c>
      <c r="T319" s="3102" t="s">
        <v>213</v>
      </c>
      <c r="U319" s="3103"/>
      <c r="V319" s="3103" t="s">
        <v>295</v>
      </c>
      <c r="W319" s="3103" t="s">
        <v>145</v>
      </c>
      <c r="X319" s="3103" t="s">
        <v>6794</v>
      </c>
      <c r="Y319" s="3104" t="s">
        <v>119</v>
      </c>
    </row>
    <row r="320" spans="1:25" ht="18">
      <c r="A320" s="1304"/>
      <c r="B320" s="643">
        <v>6671</v>
      </c>
      <c r="C320" s="643" t="s">
        <v>1927</v>
      </c>
      <c r="D320" s="3088">
        <v>1</v>
      </c>
      <c r="E320" s="3089" t="str">
        <f t="shared" si="37"/>
        <v>资产减值损失</v>
      </c>
      <c r="F320" s="3090" t="s">
        <v>1928</v>
      </c>
      <c r="G320" s="3091">
        <f t="shared" si="38"/>
        <v>0</v>
      </c>
      <c r="H320" s="3092">
        <f t="shared" ca="1" si="47"/>
        <v>0</v>
      </c>
      <c r="I320" s="3094">
        <f t="shared" ca="1" si="49"/>
        <v>0</v>
      </c>
      <c r="J320" s="3073" t="str">
        <f t="shared" ca="1" si="50"/>
        <v>√</v>
      </c>
      <c r="K320" s="3091">
        <f t="shared" si="45"/>
        <v>0</v>
      </c>
      <c r="L320" s="3072">
        <f t="shared" ca="1" si="48"/>
        <v>0</v>
      </c>
      <c r="M320" s="3094">
        <f t="shared" ca="1" si="51"/>
        <v>0</v>
      </c>
      <c r="N320" s="3073" t="str">
        <f t="shared" ca="1" si="52"/>
        <v>√</v>
      </c>
      <c r="O320" s="3100"/>
      <c r="P320" s="3101"/>
      <c r="Q320" s="3101"/>
      <c r="R320" s="3101"/>
      <c r="S320" s="3102" t="s">
        <v>295</v>
      </c>
      <c r="T320" s="3102" t="s">
        <v>213</v>
      </c>
      <c r="U320" s="3103"/>
      <c r="V320" s="3103" t="s">
        <v>295</v>
      </c>
      <c r="W320" s="3103" t="s">
        <v>6791</v>
      </c>
      <c r="X320" s="3103" t="s">
        <v>6792</v>
      </c>
      <c r="Y320" s="3104" t="s">
        <v>164</v>
      </c>
    </row>
    <row r="321" spans="1:25" ht="18">
      <c r="A321" s="1304"/>
      <c r="B321" s="643">
        <v>6171</v>
      </c>
      <c r="C321" s="643" t="s">
        <v>1888</v>
      </c>
      <c r="D321" s="3088">
        <v>1</v>
      </c>
      <c r="E321" s="3089" t="str">
        <f t="shared" si="37"/>
        <v>资产处置收益</v>
      </c>
      <c r="F321" s="3090" t="s">
        <v>1889</v>
      </c>
      <c r="G321" s="3091">
        <f t="shared" si="38"/>
        <v>0</v>
      </c>
      <c r="H321" s="3092">
        <f t="shared" ca="1" si="47"/>
        <v>0</v>
      </c>
      <c r="I321" s="3094">
        <f t="shared" ca="1" si="49"/>
        <v>0</v>
      </c>
      <c r="J321" s="3073" t="str">
        <f t="shared" ca="1" si="50"/>
        <v>√</v>
      </c>
      <c r="K321" s="3091">
        <f t="shared" si="45"/>
        <v>0</v>
      </c>
      <c r="L321" s="3072">
        <f t="shared" ca="1" si="48"/>
        <v>0</v>
      </c>
      <c r="M321" s="3094">
        <f t="shared" ca="1" si="51"/>
        <v>0</v>
      </c>
      <c r="N321" s="3073" t="str">
        <f t="shared" ca="1" si="52"/>
        <v>√</v>
      </c>
      <c r="O321" s="3100"/>
      <c r="P321" s="3101"/>
      <c r="Q321" s="3101"/>
      <c r="R321" s="3101"/>
      <c r="S321" s="3102" t="s">
        <v>295</v>
      </c>
      <c r="T321" s="3102" t="s">
        <v>213</v>
      </c>
      <c r="U321" s="3103"/>
      <c r="V321" s="3103" t="s">
        <v>295</v>
      </c>
      <c r="W321" s="3103" t="s">
        <v>6791</v>
      </c>
      <c r="X321" s="3103" t="s">
        <v>6792</v>
      </c>
      <c r="Y321" s="3104" t="s">
        <v>164</v>
      </c>
    </row>
    <row r="322" spans="1:25" ht="18">
      <c r="A322" s="1304"/>
      <c r="B322" s="643">
        <v>6710</v>
      </c>
      <c r="C322" s="643" t="s">
        <v>1933</v>
      </c>
      <c r="D322" s="3088">
        <v>1</v>
      </c>
      <c r="E322" s="3089" t="str">
        <f t="shared" si="37"/>
        <v>营业外收入</v>
      </c>
      <c r="F322" s="3090" t="s">
        <v>1934</v>
      </c>
      <c r="G322" s="3091">
        <f t="shared" si="38"/>
        <v>0</v>
      </c>
      <c r="H322" s="3092">
        <f t="shared" ca="1" si="47"/>
        <v>0</v>
      </c>
      <c r="I322" s="3094">
        <f t="shared" ca="1" si="49"/>
        <v>0</v>
      </c>
      <c r="J322" s="3073" t="str">
        <f t="shared" ca="1" si="50"/>
        <v>√</v>
      </c>
      <c r="K322" s="3091">
        <f t="shared" si="45"/>
        <v>0</v>
      </c>
      <c r="L322" s="3072">
        <f t="shared" ca="1" si="48"/>
        <v>0</v>
      </c>
      <c r="M322" s="3094">
        <f t="shared" ca="1" si="51"/>
        <v>0</v>
      </c>
      <c r="N322" s="3073" t="str">
        <f t="shared" ca="1" si="52"/>
        <v>√</v>
      </c>
      <c r="O322" s="3100"/>
      <c r="P322" s="3101"/>
      <c r="Q322" s="3101"/>
      <c r="R322" s="3101"/>
      <c r="S322" s="3102" t="s">
        <v>295</v>
      </c>
      <c r="T322" s="3102" t="s">
        <v>213</v>
      </c>
      <c r="U322" s="3103"/>
      <c r="V322" s="3103" t="s">
        <v>295</v>
      </c>
      <c r="W322" s="3103" t="s">
        <v>6791</v>
      </c>
      <c r="X322" s="3103" t="s">
        <v>6792</v>
      </c>
      <c r="Y322" s="3104" t="s">
        <v>164</v>
      </c>
    </row>
    <row r="323" spans="1:25" ht="24" hidden="1">
      <c r="A323" s="1304"/>
      <c r="B323" s="643">
        <v>6710</v>
      </c>
      <c r="C323" s="643" t="s">
        <v>1935</v>
      </c>
      <c r="D323" s="3088">
        <v>2</v>
      </c>
      <c r="E323" s="3089" t="str">
        <f t="shared" si="37"/>
        <v>营业外收入</v>
      </c>
      <c r="F323" s="3090" t="s">
        <v>1936</v>
      </c>
      <c r="G323" s="3091">
        <f t="shared" si="38"/>
        <v>0</v>
      </c>
      <c r="H323" s="3092">
        <f t="shared" ca="1" si="47"/>
        <v>0</v>
      </c>
      <c r="I323" s="3094" t="s">
        <v>6797</v>
      </c>
      <c r="J323" s="3073"/>
      <c r="K323" s="3091">
        <f t="shared" si="45"/>
        <v>0</v>
      </c>
      <c r="L323" s="3072">
        <f t="shared" ca="1" si="48"/>
        <v>0</v>
      </c>
      <c r="M323" s="3094" t="s">
        <v>6797</v>
      </c>
      <c r="N323" s="3073"/>
      <c r="O323" s="3100"/>
      <c r="P323" s="3101"/>
      <c r="Q323" s="3101"/>
      <c r="R323" s="3101"/>
      <c r="S323" s="3102" t="s">
        <v>295</v>
      </c>
      <c r="T323" s="3102" t="s">
        <v>213</v>
      </c>
      <c r="U323" s="3103"/>
      <c r="V323" s="3103" t="s">
        <v>295</v>
      </c>
      <c r="W323" s="3103" t="s">
        <v>6791</v>
      </c>
      <c r="X323" s="3103" t="s">
        <v>6792</v>
      </c>
      <c r="Y323" s="3104" t="s">
        <v>164</v>
      </c>
    </row>
    <row r="324" spans="1:25" ht="18">
      <c r="A324" s="1304"/>
      <c r="B324" s="643">
        <v>6711</v>
      </c>
      <c r="C324" s="643" t="s">
        <v>1937</v>
      </c>
      <c r="D324" s="3088">
        <v>1</v>
      </c>
      <c r="E324" s="3089" t="str">
        <f t="shared" si="37"/>
        <v>营业外支出</v>
      </c>
      <c r="F324" s="3090" t="s">
        <v>1938</v>
      </c>
      <c r="G324" s="3091">
        <f t="shared" si="38"/>
        <v>0</v>
      </c>
      <c r="H324" s="3092">
        <f t="shared" ca="1" si="47"/>
        <v>0</v>
      </c>
      <c r="I324" s="3094">
        <f ca="1">IF(AND(LEN(G324)&gt;0,LEN(H324)&gt;0),ROUND(SUM(G324)-SUM(H324),2),"")</f>
        <v>0</v>
      </c>
      <c r="J324" s="3073" t="str">
        <f ca="1">IF(ISNA(I324),"N/A",IF(I324=0,"√","？"))</f>
        <v>√</v>
      </c>
      <c r="K324" s="3091">
        <f t="shared" si="45"/>
        <v>0</v>
      </c>
      <c r="L324" s="3072">
        <f t="shared" ca="1" si="48"/>
        <v>0</v>
      </c>
      <c r="M324" s="3094">
        <f ca="1">IF(AND(LEN(K324)&gt;0,LEN(L324)&gt;0),ROUND(SUM(K324)-SUM(L324),2),"")</f>
        <v>0</v>
      </c>
      <c r="N324" s="3073" t="str">
        <f ca="1">IF(ISNA(M324),"N/A",IF(M324=0,"√","？"))</f>
        <v>√</v>
      </c>
      <c r="O324" s="3100"/>
      <c r="P324" s="3101"/>
      <c r="Q324" s="3101"/>
      <c r="R324" s="3101"/>
      <c r="S324" s="3102" t="s">
        <v>295</v>
      </c>
      <c r="T324" s="3102" t="s">
        <v>213</v>
      </c>
      <c r="U324" s="3103"/>
      <c r="V324" s="3103" t="s">
        <v>295</v>
      </c>
      <c r="W324" s="3103" t="s">
        <v>6791</v>
      </c>
      <c r="X324" s="3103" t="s">
        <v>6792</v>
      </c>
      <c r="Y324" s="3104" t="s">
        <v>164</v>
      </c>
    </row>
    <row r="325" spans="1:25" ht="18">
      <c r="A325" s="1304"/>
      <c r="B325" s="643">
        <v>6791</v>
      </c>
      <c r="C325" s="643" t="s">
        <v>1939</v>
      </c>
      <c r="D325" s="3088">
        <v>1</v>
      </c>
      <c r="E325" s="3089" t="str">
        <f t="shared" si="37"/>
        <v>所得税费用</v>
      </c>
      <c r="F325" s="3090" t="s">
        <v>1940</v>
      </c>
      <c r="G325" s="3091">
        <f t="shared" si="38"/>
        <v>0</v>
      </c>
      <c r="H325" s="3092">
        <f t="shared" ca="1" si="47"/>
        <v>0</v>
      </c>
      <c r="I325" s="3094">
        <f ca="1">IF(AND(LEN(G325)&gt;0,LEN(H325)&gt;0),ROUND(SUM(G325)-SUM(H325),2),"")</f>
        <v>0</v>
      </c>
      <c r="J325" s="3073" t="str">
        <f ca="1">IF(ISNA(I325),"N/A",IF(I325=0,"√","？"))</f>
        <v>√</v>
      </c>
      <c r="K325" s="3091">
        <f t="shared" si="45"/>
        <v>-926583.97</v>
      </c>
      <c r="L325" s="3072">
        <f t="shared" ca="1" si="48"/>
        <v>-926583.97</v>
      </c>
      <c r="M325" s="3094">
        <f ca="1">IF(AND(LEN(K325)&gt;0,LEN(L325)&gt;0),ROUND(SUM(K325)-SUM(L325),2),"")</f>
        <v>0</v>
      </c>
      <c r="N325" s="3073" t="str">
        <f ca="1">IF(ISNA(M325),"N/A",IF(M325=0,"√","？"))</f>
        <v>√</v>
      </c>
      <c r="O325" s="3100"/>
      <c r="P325" s="3101"/>
      <c r="Q325" s="3101"/>
      <c r="R325" s="3101"/>
      <c r="S325" s="3102" t="s">
        <v>295</v>
      </c>
      <c r="T325" s="3102" t="s">
        <v>213</v>
      </c>
      <c r="U325" s="3103"/>
      <c r="V325" s="3103" t="s">
        <v>295</v>
      </c>
      <c r="W325" s="3103" t="s">
        <v>6791</v>
      </c>
      <c r="X325" s="3103" t="s">
        <v>6792</v>
      </c>
      <c r="Y325" s="3104" t="s">
        <v>164</v>
      </c>
    </row>
    <row r="326" spans="1:25" ht="24" hidden="1">
      <c r="A326" s="1304"/>
      <c r="B326" s="643">
        <v>6791</v>
      </c>
      <c r="C326" s="643" t="s">
        <v>1941</v>
      </c>
      <c r="D326" s="3088">
        <v>2</v>
      </c>
      <c r="E326" s="3089" t="str">
        <f t="shared" si="37"/>
        <v>所得税费用</v>
      </c>
      <c r="F326" s="3090" t="s">
        <v>1942</v>
      </c>
      <c r="G326" s="3091">
        <f t="shared" si="38"/>
        <v>0</v>
      </c>
      <c r="H326" s="3092">
        <f t="shared" ca="1" si="47"/>
        <v>0</v>
      </c>
      <c r="I326" s="3094" t="s">
        <v>6797</v>
      </c>
      <c r="J326" s="3073"/>
      <c r="K326" s="3091">
        <f t="shared" si="45"/>
        <v>-926583.97</v>
      </c>
      <c r="L326" s="3072">
        <f t="shared" ca="1" si="48"/>
        <v>-926583.97</v>
      </c>
      <c r="M326" s="3094" t="s">
        <v>6797</v>
      </c>
      <c r="N326" s="3073"/>
      <c r="O326" s="3100"/>
      <c r="P326" s="3101"/>
      <c r="Q326" s="3101"/>
      <c r="R326" s="3101"/>
      <c r="S326" s="3102" t="s">
        <v>295</v>
      </c>
      <c r="T326" s="3102" t="s">
        <v>213</v>
      </c>
      <c r="U326" s="3103"/>
      <c r="V326" s="3103" t="s">
        <v>295</v>
      </c>
      <c r="W326" s="3103" t="s">
        <v>6791</v>
      </c>
      <c r="X326" s="3103" t="s">
        <v>6794</v>
      </c>
      <c r="Y326" s="3104" t="s">
        <v>164</v>
      </c>
    </row>
    <row r="327" spans="1:25" ht="24">
      <c r="A327" s="1304"/>
      <c r="B327" s="643">
        <v>7046</v>
      </c>
      <c r="C327" s="643" t="s">
        <v>1946</v>
      </c>
      <c r="D327" s="3088">
        <v>1</v>
      </c>
      <c r="E327" s="3089" t="str">
        <f t="shared" si="37"/>
        <v>收到其他与经营活动有关的现金</v>
      </c>
      <c r="F327" s="3090" t="s">
        <v>1947</v>
      </c>
      <c r="G327" s="3091">
        <f t="shared" si="38"/>
        <v>36993105.18</v>
      </c>
      <c r="H327" s="3092">
        <f t="shared" ca="1" si="47"/>
        <v>36993105.18</v>
      </c>
      <c r="I327" s="3094">
        <f ca="1">IF(AND(LEN(G327)&gt;0,LEN(H327)&gt;0),ROUND(SUM(G327)-SUM(H327),2),"")</f>
        <v>0</v>
      </c>
      <c r="J327" s="3073" t="str">
        <f ca="1">IF(ISNA(I327),"N/A",IF(I327=0,"√","？"))</f>
        <v>√</v>
      </c>
      <c r="K327" s="3091">
        <f t="shared" si="45"/>
        <v>202044775.52000001</v>
      </c>
      <c r="L327" s="3072">
        <f t="shared" ca="1" si="48"/>
        <v>202044775.52000001</v>
      </c>
      <c r="M327" s="3094">
        <f ca="1">IF(AND(LEN(K327)&gt;0,LEN(L327)&gt;0),ROUND(SUM(K327)-SUM(L327),2),"")</f>
        <v>0</v>
      </c>
      <c r="N327" s="3073" t="str">
        <f ca="1">IF(ISNA(M327),"N/A",IF(M327=0,"√","？"))</f>
        <v>√</v>
      </c>
      <c r="O327" s="3100"/>
      <c r="P327" s="3101"/>
      <c r="Q327" s="3101"/>
      <c r="R327" s="3101"/>
      <c r="S327" s="3102" t="s">
        <v>295</v>
      </c>
      <c r="T327" s="3102" t="s">
        <v>213</v>
      </c>
      <c r="U327" s="3103"/>
      <c r="V327" s="3103" t="s">
        <v>295</v>
      </c>
      <c r="W327" s="3103" t="s">
        <v>6791</v>
      </c>
      <c r="X327" s="3103" t="s">
        <v>6794</v>
      </c>
      <c r="Y327" s="3104" t="s">
        <v>164</v>
      </c>
    </row>
    <row r="328" spans="1:25" ht="24" hidden="1">
      <c r="A328" s="1304"/>
      <c r="B328" s="643">
        <v>7046</v>
      </c>
      <c r="C328" s="643" t="s">
        <v>1948</v>
      </c>
      <c r="D328" s="3088">
        <v>2</v>
      </c>
      <c r="E328" s="3089" t="str">
        <f t="shared" si="37"/>
        <v>收到其他与经营活动有关的现金</v>
      </c>
      <c r="F328" s="3090" t="s">
        <v>1949</v>
      </c>
      <c r="G328" s="3091">
        <f t="shared" si="38"/>
        <v>36993105.18</v>
      </c>
      <c r="H328" s="3092">
        <f t="shared" ca="1" si="47"/>
        <v>0</v>
      </c>
      <c r="I328" s="3094" t="s">
        <v>6797</v>
      </c>
      <c r="J328" s="3073"/>
      <c r="K328" s="3091">
        <f t="shared" si="45"/>
        <v>202044775.52000001</v>
      </c>
      <c r="L328" s="3072" t="s">
        <v>6793</v>
      </c>
      <c r="M328" s="3094" t="s">
        <v>6797</v>
      </c>
      <c r="N328" s="3073"/>
      <c r="O328" s="3100"/>
      <c r="P328" s="3101"/>
      <c r="Q328" s="3101"/>
      <c r="R328" s="3101"/>
      <c r="S328" s="3102" t="s">
        <v>295</v>
      </c>
      <c r="T328" s="3102" t="s">
        <v>213</v>
      </c>
      <c r="U328" s="3103">
        <v>7046</v>
      </c>
      <c r="V328" s="3103" t="s">
        <v>295</v>
      </c>
      <c r="W328" s="3103" t="s">
        <v>6791</v>
      </c>
      <c r="X328" s="3103" t="s">
        <v>213</v>
      </c>
      <c r="Y328" s="3104" t="s">
        <v>164</v>
      </c>
    </row>
    <row r="329" spans="1:25" ht="24">
      <c r="A329" s="1304"/>
      <c r="B329" s="643">
        <v>7096</v>
      </c>
      <c r="C329" s="643" t="s">
        <v>1957</v>
      </c>
      <c r="D329" s="3088">
        <v>1</v>
      </c>
      <c r="E329" s="3089" t="str">
        <f t="shared" ref="E329:E392" si="53">IF(ISERROR(VLOOKUP($B329,Sheet_Items,2,0)),"        ----",VLOOKUP($B329,Sheet_Items,2,0))</f>
        <v>支付其他与经营活动有关的现金</v>
      </c>
      <c r="F329" s="3090" t="s">
        <v>1958</v>
      </c>
      <c r="G329" s="3091">
        <f t="shared" ref="G329:G392" si="54">IF(ISERROR(VLOOKUP($B329,Sheet_Trialbal,6,0)),"        ----",VLOOKUP($B329,Sheet_Trialbal,6,0))</f>
        <v>176928385.74000001</v>
      </c>
      <c r="H329" s="3092">
        <f t="shared" ca="1" si="47"/>
        <v>176928385.74000001</v>
      </c>
      <c r="I329" s="3094">
        <f ca="1">IF(AND(LEN(G329)&gt;0,LEN(H329)&gt;0),ROUND(SUM(G329)-SUM(H329),2),"")</f>
        <v>0</v>
      </c>
      <c r="J329" s="3073" t="str">
        <f ca="1">IF(ISNA(I329),"N/A",IF(I329=0,"√","？"))</f>
        <v>√</v>
      </c>
      <c r="K329" s="3091">
        <f t="shared" si="45"/>
        <v>64284370.009999998</v>
      </c>
      <c r="L329" s="3072">
        <f ca="1">INDIRECT("Notes!CheckB"&amp;$C329)</f>
        <v>64284370.009999998</v>
      </c>
      <c r="M329" s="3094">
        <f ca="1">IF(AND(LEN(K329)&gt;0,LEN(L329)&gt;0),ROUND(SUM(K329)-SUM(L329),2),"")</f>
        <v>0</v>
      </c>
      <c r="N329" s="3073" t="str">
        <f ca="1">IF(ISNA(M329),"N/A",IF(M329=0,"√","？"))</f>
        <v>√</v>
      </c>
      <c r="O329" s="3100"/>
      <c r="P329" s="3101"/>
      <c r="Q329" s="3101"/>
      <c r="R329" s="3101"/>
      <c r="S329" s="3102" t="s">
        <v>295</v>
      </c>
      <c r="T329" s="3102" t="s">
        <v>213</v>
      </c>
      <c r="U329" s="3103"/>
      <c r="V329" s="3103" t="s">
        <v>295</v>
      </c>
      <c r="W329" s="3103" t="s">
        <v>6791</v>
      </c>
      <c r="X329" s="3103" t="s">
        <v>6794</v>
      </c>
      <c r="Y329" s="3104" t="s">
        <v>164</v>
      </c>
    </row>
    <row r="330" spans="1:25" ht="24" hidden="1">
      <c r="A330" s="1304"/>
      <c r="B330" s="643">
        <v>7096</v>
      </c>
      <c r="C330" s="643" t="s">
        <v>1960</v>
      </c>
      <c r="D330" s="3088">
        <v>2</v>
      </c>
      <c r="E330" s="3089" t="str">
        <f t="shared" si="53"/>
        <v>支付其他与经营活动有关的现金</v>
      </c>
      <c r="F330" s="3090" t="s">
        <v>1961</v>
      </c>
      <c r="G330" s="3091">
        <f t="shared" si="54"/>
        <v>176928385.74000001</v>
      </c>
      <c r="H330" s="3092">
        <f t="shared" ca="1" si="47"/>
        <v>0</v>
      </c>
      <c r="I330" s="3094" t="s">
        <v>6797</v>
      </c>
      <c r="J330" s="3073"/>
      <c r="K330" s="3091">
        <f t="shared" si="45"/>
        <v>64284370.009999998</v>
      </c>
      <c r="L330" s="3072" t="s">
        <v>6793</v>
      </c>
      <c r="M330" s="3094" t="s">
        <v>6797</v>
      </c>
      <c r="N330" s="3073"/>
      <c r="O330" s="3100"/>
      <c r="P330" s="3101"/>
      <c r="Q330" s="3101"/>
      <c r="R330" s="3101"/>
      <c r="S330" s="3102" t="s">
        <v>295</v>
      </c>
      <c r="T330" s="3102" t="s">
        <v>213</v>
      </c>
      <c r="U330" s="3103">
        <v>7096</v>
      </c>
      <c r="V330" s="3103" t="s">
        <v>295</v>
      </c>
      <c r="W330" s="3103" t="s">
        <v>6791</v>
      </c>
      <c r="X330" s="3103" t="s">
        <v>213</v>
      </c>
      <c r="Y330" s="3104" t="s">
        <v>164</v>
      </c>
    </row>
    <row r="331" spans="1:25" ht="24">
      <c r="A331" s="1304"/>
      <c r="B331" s="643">
        <v>7146</v>
      </c>
      <c r="C331" s="643" t="s">
        <v>1971</v>
      </c>
      <c r="D331" s="3088">
        <v>1</v>
      </c>
      <c r="E331" s="3089" t="str">
        <f t="shared" si="53"/>
        <v>收到其他与投资活动有关的现金</v>
      </c>
      <c r="F331" s="3090" t="s">
        <v>1972</v>
      </c>
      <c r="G331" s="3091">
        <f t="shared" si="54"/>
        <v>0</v>
      </c>
      <c r="H331" s="3092">
        <f t="shared" ca="1" si="47"/>
        <v>0</v>
      </c>
      <c r="I331" s="3094">
        <f ca="1">IF(AND(LEN(G331)&gt;0,LEN(H331)&gt;0),ROUND(SUM(G331)-SUM(H331),2),"")</f>
        <v>0</v>
      </c>
      <c r="J331" s="3073" t="str">
        <f ca="1">IF(ISNA(I331),"N/A",IF(I331=0,"√","？"))</f>
        <v>√</v>
      </c>
      <c r="K331" s="3091">
        <f t="shared" si="45"/>
        <v>0</v>
      </c>
      <c r="L331" s="3072">
        <f ca="1">INDIRECT("Notes!CheckB"&amp;$C331)</f>
        <v>0</v>
      </c>
      <c r="M331" s="3094">
        <f ca="1">IF(AND(LEN(K331)&gt;0,LEN(L331)&gt;0),ROUND(SUM(K331)-SUM(L331),2),"")</f>
        <v>0</v>
      </c>
      <c r="N331" s="3073" t="str">
        <f ca="1">IF(ISNA(M331),"N/A",IF(M331=0,"√","？"))</f>
        <v>√</v>
      </c>
      <c r="O331" s="3100"/>
      <c r="P331" s="3101"/>
      <c r="Q331" s="3101"/>
      <c r="R331" s="3101"/>
      <c r="S331" s="3102" t="s">
        <v>295</v>
      </c>
      <c r="T331" s="3102" t="s">
        <v>213</v>
      </c>
      <c r="U331" s="3103"/>
      <c r="V331" s="3103" t="s">
        <v>295</v>
      </c>
      <c r="W331" s="3103" t="s">
        <v>6791</v>
      </c>
      <c r="X331" s="3103" t="s">
        <v>6794</v>
      </c>
      <c r="Y331" s="3104" t="s">
        <v>164</v>
      </c>
    </row>
    <row r="332" spans="1:25" ht="24">
      <c r="A332" s="1304"/>
      <c r="B332" s="643">
        <v>7196</v>
      </c>
      <c r="C332" s="643" t="s">
        <v>1978</v>
      </c>
      <c r="D332" s="3088">
        <v>1</v>
      </c>
      <c r="E332" s="3089" t="str">
        <f t="shared" si="53"/>
        <v>支付其他与投资活动有关的现金</v>
      </c>
      <c r="F332" s="3090" t="s">
        <v>1979</v>
      </c>
      <c r="G332" s="3091">
        <f t="shared" si="54"/>
        <v>0</v>
      </c>
      <c r="H332" s="3092">
        <f t="shared" ca="1" si="47"/>
        <v>0</v>
      </c>
      <c r="I332" s="3094">
        <f ca="1">IF(AND(LEN(G332)&gt;0,LEN(H332)&gt;0),ROUND(SUM(G332)-SUM(H332),2),"")</f>
        <v>0</v>
      </c>
      <c r="J332" s="3073" t="str">
        <f ca="1">IF(ISNA(I332),"N/A",IF(I332=0,"√","？"))</f>
        <v>√</v>
      </c>
      <c r="K332" s="3091">
        <f t="shared" si="45"/>
        <v>0</v>
      </c>
      <c r="L332" s="3072">
        <f ca="1">INDIRECT("Notes!CheckB"&amp;$C332)</f>
        <v>0</v>
      </c>
      <c r="M332" s="3094">
        <f ca="1">IF(AND(LEN(K332)&gt;0,LEN(L332)&gt;0),ROUND(SUM(K332)-SUM(L332),2),"")</f>
        <v>0</v>
      </c>
      <c r="N332" s="3073" t="str">
        <f ca="1">IF(ISNA(M332),"N/A",IF(M332=0,"√","？"))</f>
        <v>√</v>
      </c>
      <c r="O332" s="3100"/>
      <c r="P332" s="3101"/>
      <c r="Q332" s="3101"/>
      <c r="R332" s="3101"/>
      <c r="S332" s="3102" t="s">
        <v>295</v>
      </c>
      <c r="T332" s="3102" t="s">
        <v>213</v>
      </c>
      <c r="U332" s="3103"/>
      <c r="V332" s="3103" t="s">
        <v>295</v>
      </c>
      <c r="W332" s="3103" t="s">
        <v>6791</v>
      </c>
      <c r="X332" s="3103" t="s">
        <v>6794</v>
      </c>
      <c r="Y332" s="3104" t="s">
        <v>164</v>
      </c>
    </row>
    <row r="333" spans="1:25" ht="24">
      <c r="A333" s="1304"/>
      <c r="B333" s="643">
        <v>7246</v>
      </c>
      <c r="C333" s="643" t="s">
        <v>1983</v>
      </c>
      <c r="D333" s="3088">
        <v>1</v>
      </c>
      <c r="E333" s="3089" t="str">
        <f t="shared" si="53"/>
        <v>收到其他与筹资活动有关的现金</v>
      </c>
      <c r="F333" s="3090" t="s">
        <v>1984</v>
      </c>
      <c r="G333" s="3091">
        <f t="shared" si="54"/>
        <v>0</v>
      </c>
      <c r="H333" s="3092">
        <f t="shared" ca="1" si="47"/>
        <v>0</v>
      </c>
      <c r="I333" s="3094">
        <f ca="1">IF(AND(LEN(G333)&gt;0,LEN(H333)&gt;0),ROUND(SUM(G333)-SUM(H333),2),"")</f>
        <v>0</v>
      </c>
      <c r="J333" s="3073" t="str">
        <f ca="1">IF(ISNA(I333),"N/A",IF(I333=0,"√","？"))</f>
        <v>√</v>
      </c>
      <c r="K333" s="3091">
        <f t="shared" si="45"/>
        <v>0</v>
      </c>
      <c r="L333" s="3072">
        <f ca="1">INDIRECT("Notes!CheckB"&amp;$C333)</f>
        <v>0</v>
      </c>
      <c r="M333" s="3094">
        <f ca="1">IF(AND(LEN(K333)&gt;0,LEN(L333)&gt;0),ROUND(SUM(K333)-SUM(L333),2),"")</f>
        <v>0</v>
      </c>
      <c r="N333" s="3073" t="str">
        <f ca="1">IF(ISNA(M333),"N/A",IF(M333=0,"√","？"))</f>
        <v>√</v>
      </c>
      <c r="O333" s="3100"/>
      <c r="P333" s="3101"/>
      <c r="Q333" s="3101"/>
      <c r="R333" s="3101"/>
      <c r="S333" s="3102" t="s">
        <v>295</v>
      </c>
      <c r="T333" s="3102" t="s">
        <v>213</v>
      </c>
      <c r="U333" s="3103"/>
      <c r="V333" s="3103" t="s">
        <v>295</v>
      </c>
      <c r="W333" s="3103" t="s">
        <v>6791</v>
      </c>
      <c r="X333" s="3103" t="s">
        <v>6794</v>
      </c>
      <c r="Y333" s="3104" t="s">
        <v>164</v>
      </c>
    </row>
    <row r="334" spans="1:25" ht="24">
      <c r="A334" s="1304"/>
      <c r="B334" s="643">
        <v>7296</v>
      </c>
      <c r="C334" s="643" t="s">
        <v>1990</v>
      </c>
      <c r="D334" s="3088">
        <v>1</v>
      </c>
      <c r="E334" s="3089" t="str">
        <f t="shared" si="53"/>
        <v>支付其他与筹资活动有关的现金</v>
      </c>
      <c r="F334" s="3090" t="s">
        <v>1991</v>
      </c>
      <c r="G334" s="3091">
        <f t="shared" si="54"/>
        <v>0</v>
      </c>
      <c r="H334" s="3092">
        <f t="shared" ca="1" si="47"/>
        <v>0</v>
      </c>
      <c r="I334" s="3094">
        <f ca="1">IF(AND(LEN(G334)&gt;0,LEN(H334)&gt;0),ROUND(SUM(G334)-SUM(H334),2),"")</f>
        <v>0</v>
      </c>
      <c r="J334" s="3073" t="str">
        <f ca="1">IF(ISNA(I334),"N/A",IF(I334=0,"√","？"))</f>
        <v>√</v>
      </c>
      <c r="K334" s="3091">
        <f t="shared" si="45"/>
        <v>0</v>
      </c>
      <c r="L334" s="3072">
        <f ca="1">INDIRECT("Notes!CheckB"&amp;$C334)</f>
        <v>0</v>
      </c>
      <c r="M334" s="3094">
        <f ca="1">IF(AND(LEN(K334)&gt;0,LEN(L334)&gt;0),ROUND(SUM(K334)-SUM(L334),2),"")</f>
        <v>0</v>
      </c>
      <c r="N334" s="3073" t="str">
        <f ca="1">IF(ISNA(M334),"N/A",IF(M334=0,"√","？"))</f>
        <v>√</v>
      </c>
      <c r="O334" s="3100"/>
      <c r="P334" s="3101"/>
      <c r="Q334" s="3101"/>
      <c r="R334" s="3101"/>
      <c r="S334" s="3102" t="s">
        <v>295</v>
      </c>
      <c r="T334" s="3102" t="s">
        <v>213</v>
      </c>
      <c r="U334" s="3103"/>
      <c r="V334" s="3103" t="s">
        <v>295</v>
      </c>
      <c r="W334" s="3103" t="s">
        <v>6791</v>
      </c>
      <c r="X334" s="3103" t="s">
        <v>6794</v>
      </c>
      <c r="Y334" s="3104" t="s">
        <v>164</v>
      </c>
    </row>
    <row r="335" spans="1:25" ht="24" hidden="1">
      <c r="A335" s="1304"/>
      <c r="B335" s="643">
        <v>7001</v>
      </c>
      <c r="C335" s="643" t="s">
        <v>1944</v>
      </c>
      <c r="D335" s="3088">
        <v>2</v>
      </c>
      <c r="E335" s="3089" t="str">
        <f t="shared" si="53"/>
        <v>销售商品提供劳务收到的现金</v>
      </c>
      <c r="F335" s="3090" t="s">
        <v>1945</v>
      </c>
      <c r="G335" s="3091">
        <f t="shared" si="54"/>
        <v>57038231</v>
      </c>
      <c r="H335" s="3092">
        <f t="shared" ca="1" si="47"/>
        <v>0</v>
      </c>
      <c r="I335" s="3094" t="s">
        <v>6797</v>
      </c>
      <c r="J335" s="3073"/>
      <c r="K335" s="3091">
        <f t="shared" si="45"/>
        <v>11427639</v>
      </c>
      <c r="L335" s="3072" t="s">
        <v>6793</v>
      </c>
      <c r="M335" s="3094" t="s">
        <v>6797</v>
      </c>
      <c r="N335" s="3073"/>
      <c r="O335" s="3100"/>
      <c r="P335" s="3101"/>
      <c r="Q335" s="3101"/>
      <c r="R335" s="3101"/>
      <c r="S335" s="3102" t="s">
        <v>295</v>
      </c>
      <c r="T335" s="3102" t="s">
        <v>213</v>
      </c>
      <c r="U335" s="3103"/>
      <c r="V335" s="3103" t="s">
        <v>295</v>
      </c>
      <c r="W335" s="3103" t="s">
        <v>6791</v>
      </c>
      <c r="X335" s="3103" t="s">
        <v>213</v>
      </c>
      <c r="Y335" s="3104" t="s">
        <v>164</v>
      </c>
    </row>
    <row r="336" spans="1:25" ht="24" hidden="1">
      <c r="A336" s="1304"/>
      <c r="B336" s="643">
        <v>7051</v>
      </c>
      <c r="C336" s="643" t="s">
        <v>1951</v>
      </c>
      <c r="D336" s="3088">
        <v>2</v>
      </c>
      <c r="E336" s="3089" t="str">
        <f t="shared" si="53"/>
        <v>购买商品接受劳务支付的现金</v>
      </c>
      <c r="F336" s="3090" t="s">
        <v>1952</v>
      </c>
      <c r="G336" s="3091">
        <f t="shared" si="54"/>
        <v>0</v>
      </c>
      <c r="H336" s="3092">
        <f t="shared" ca="1" si="47"/>
        <v>0</v>
      </c>
      <c r="I336" s="3094" t="s">
        <v>6797</v>
      </c>
      <c r="J336" s="3073"/>
      <c r="K336" s="3091">
        <f t="shared" si="45"/>
        <v>68088088</v>
      </c>
      <c r="L336" s="3072" t="s">
        <v>6793</v>
      </c>
      <c r="M336" s="3094" t="s">
        <v>6797</v>
      </c>
      <c r="N336" s="3073"/>
      <c r="O336" s="3100"/>
      <c r="P336" s="3101"/>
      <c r="Q336" s="3101"/>
      <c r="R336" s="3101"/>
      <c r="S336" s="3102" t="s">
        <v>295</v>
      </c>
      <c r="T336" s="3102" t="s">
        <v>213</v>
      </c>
      <c r="U336" s="3103"/>
      <c r="V336" s="3103" t="s">
        <v>295</v>
      </c>
      <c r="W336" s="3103" t="s">
        <v>6791</v>
      </c>
      <c r="X336" s="3103" t="s">
        <v>213</v>
      </c>
      <c r="Y336" s="3104" t="s">
        <v>164</v>
      </c>
    </row>
    <row r="337" spans="1:25" ht="24" hidden="1">
      <c r="A337" s="1304"/>
      <c r="B337" s="643">
        <v>7061</v>
      </c>
      <c r="C337" s="643" t="s">
        <v>1953</v>
      </c>
      <c r="D337" s="3088">
        <v>2</v>
      </c>
      <c r="E337" s="3089" t="str">
        <f t="shared" si="53"/>
        <v>支付给职工以及为职工支付的现金</v>
      </c>
      <c r="F337" s="3090" t="s">
        <v>1954</v>
      </c>
      <c r="G337" s="3091">
        <f t="shared" si="54"/>
        <v>4451795.68</v>
      </c>
      <c r="H337" s="3092">
        <f t="shared" ca="1" si="47"/>
        <v>0</v>
      </c>
      <c r="I337" s="3094" t="s">
        <v>6797</v>
      </c>
      <c r="J337" s="3073"/>
      <c r="K337" s="3091">
        <f t="shared" si="45"/>
        <v>2346963.46</v>
      </c>
      <c r="L337" s="3072" t="s">
        <v>6793</v>
      </c>
      <c r="M337" s="3094" t="s">
        <v>6797</v>
      </c>
      <c r="N337" s="3073"/>
      <c r="O337" s="3100"/>
      <c r="P337" s="3101"/>
      <c r="Q337" s="3101"/>
      <c r="R337" s="3101"/>
      <c r="S337" s="3102" t="s">
        <v>295</v>
      </c>
      <c r="T337" s="3102" t="s">
        <v>213</v>
      </c>
      <c r="U337" s="3103"/>
      <c r="V337" s="3103" t="s">
        <v>295</v>
      </c>
      <c r="W337" s="3103" t="s">
        <v>6791</v>
      </c>
      <c r="X337" s="3103" t="s">
        <v>213</v>
      </c>
      <c r="Y337" s="3104" t="s">
        <v>164</v>
      </c>
    </row>
    <row r="338" spans="1:25" ht="18" hidden="1">
      <c r="A338" s="1304"/>
      <c r="B338" s="643">
        <v>7071</v>
      </c>
      <c r="C338" s="643" t="s">
        <v>1955</v>
      </c>
      <c r="D338" s="3088">
        <v>2</v>
      </c>
      <c r="E338" s="3089" t="str">
        <f t="shared" si="53"/>
        <v>支付的各项税费</v>
      </c>
      <c r="F338" s="3090" t="s">
        <v>1956</v>
      </c>
      <c r="G338" s="3091">
        <f t="shared" si="54"/>
        <v>42795.23</v>
      </c>
      <c r="H338" s="3092">
        <f t="shared" ca="1" si="47"/>
        <v>0</v>
      </c>
      <c r="I338" s="3094" t="s">
        <v>6797</v>
      </c>
      <c r="J338" s="3073"/>
      <c r="K338" s="3091">
        <f t="shared" si="45"/>
        <v>966124.53</v>
      </c>
      <c r="L338" s="3072" t="s">
        <v>6793</v>
      </c>
      <c r="M338" s="3094" t="s">
        <v>6797</v>
      </c>
      <c r="N338" s="3073"/>
      <c r="O338" s="3100"/>
      <c r="P338" s="3101"/>
      <c r="Q338" s="3101"/>
      <c r="R338" s="3101"/>
      <c r="S338" s="3102" t="s">
        <v>295</v>
      </c>
      <c r="T338" s="3102" t="s">
        <v>213</v>
      </c>
      <c r="U338" s="3103"/>
      <c r="V338" s="3103" t="s">
        <v>295</v>
      </c>
      <c r="W338" s="3103" t="s">
        <v>6791</v>
      </c>
      <c r="X338" s="3103" t="s">
        <v>213</v>
      </c>
      <c r="Y338" s="3104" t="s">
        <v>164</v>
      </c>
    </row>
    <row r="339" spans="1:25" ht="24" hidden="1">
      <c r="A339" s="1304"/>
      <c r="B339" s="643">
        <v>7101</v>
      </c>
      <c r="C339" s="643" t="s">
        <v>1963</v>
      </c>
      <c r="D339" s="3088">
        <v>2</v>
      </c>
      <c r="E339" s="3089" t="str">
        <f t="shared" si="53"/>
        <v>收回投资收到的现金</v>
      </c>
      <c r="F339" s="3090" t="s">
        <v>1964</v>
      </c>
      <c r="G339" s="3091">
        <f t="shared" si="54"/>
        <v>0</v>
      </c>
      <c r="H339" s="3092">
        <f t="shared" ca="1" si="47"/>
        <v>0</v>
      </c>
      <c r="I339" s="3094" t="s">
        <v>6797</v>
      </c>
      <c r="J339" s="3073"/>
      <c r="K339" s="3091">
        <f t="shared" si="45"/>
        <v>10000000</v>
      </c>
      <c r="L339" s="3072" t="s">
        <v>6793</v>
      </c>
      <c r="M339" s="3094" t="s">
        <v>6797</v>
      </c>
      <c r="N339" s="3073"/>
      <c r="O339" s="3100"/>
      <c r="P339" s="3101"/>
      <c r="Q339" s="3101"/>
      <c r="R339" s="3101"/>
      <c r="S339" s="3102" t="s">
        <v>295</v>
      </c>
      <c r="T339" s="3102" t="s">
        <v>213</v>
      </c>
      <c r="U339" s="3103"/>
      <c r="V339" s="3103" t="s">
        <v>295</v>
      </c>
      <c r="W339" s="3103" t="s">
        <v>6791</v>
      </c>
      <c r="X339" s="3103" t="s">
        <v>213</v>
      </c>
      <c r="Y339" s="3104" t="s">
        <v>164</v>
      </c>
    </row>
    <row r="340" spans="1:25" ht="24" hidden="1">
      <c r="A340" s="1304"/>
      <c r="B340" s="643">
        <v>7105</v>
      </c>
      <c r="C340" s="643" t="s">
        <v>1965</v>
      </c>
      <c r="D340" s="3088">
        <v>2</v>
      </c>
      <c r="E340" s="3089" t="str">
        <f t="shared" si="53"/>
        <v>取得投资收益收到的现金</v>
      </c>
      <c r="F340" s="3090" t="s">
        <v>1966</v>
      </c>
      <c r="G340" s="3091">
        <f t="shared" si="54"/>
        <v>0</v>
      </c>
      <c r="H340" s="3092">
        <f t="shared" ca="1" si="47"/>
        <v>0</v>
      </c>
      <c r="I340" s="3094" t="s">
        <v>6797</v>
      </c>
      <c r="J340" s="3073"/>
      <c r="K340" s="3091">
        <f t="shared" si="45"/>
        <v>5521086.3499999996</v>
      </c>
      <c r="L340" s="3072" t="s">
        <v>6793</v>
      </c>
      <c r="M340" s="3094" t="s">
        <v>6797</v>
      </c>
      <c r="N340" s="3073"/>
      <c r="O340" s="3100"/>
      <c r="P340" s="3101"/>
      <c r="Q340" s="3101"/>
      <c r="R340" s="3101"/>
      <c r="S340" s="3102" t="s">
        <v>295</v>
      </c>
      <c r="T340" s="3102" t="s">
        <v>213</v>
      </c>
      <c r="U340" s="3103"/>
      <c r="V340" s="3103" t="s">
        <v>295</v>
      </c>
      <c r="W340" s="3103" t="s">
        <v>6791</v>
      </c>
      <c r="X340" s="3103" t="s">
        <v>213</v>
      </c>
      <c r="Y340" s="3104" t="s">
        <v>164</v>
      </c>
    </row>
    <row r="341" spans="1:25" ht="36" hidden="1">
      <c r="A341" s="1304"/>
      <c r="B341" s="643">
        <v>7111</v>
      </c>
      <c r="C341" s="643" t="s">
        <v>1967</v>
      </c>
      <c r="D341" s="3088">
        <v>2</v>
      </c>
      <c r="E341" s="3089" t="str">
        <f t="shared" si="53"/>
        <v>处置固定资产无形资产长期资产收回的现金</v>
      </c>
      <c r="F341" s="3090" t="s">
        <v>1968</v>
      </c>
      <c r="G341" s="3091">
        <f t="shared" si="54"/>
        <v>0</v>
      </c>
      <c r="H341" s="3092">
        <f t="shared" ca="1" si="47"/>
        <v>0</v>
      </c>
      <c r="I341" s="3094" t="s">
        <v>6797</v>
      </c>
      <c r="J341" s="3073"/>
      <c r="K341" s="3091">
        <f t="shared" si="45"/>
        <v>0</v>
      </c>
      <c r="L341" s="3072" t="s">
        <v>6793</v>
      </c>
      <c r="M341" s="3094" t="s">
        <v>6797</v>
      </c>
      <c r="N341" s="3073"/>
      <c r="O341" s="3100"/>
      <c r="P341" s="3101"/>
      <c r="Q341" s="3101"/>
      <c r="R341" s="3101"/>
      <c r="S341" s="3102" t="s">
        <v>295</v>
      </c>
      <c r="T341" s="3102" t="s">
        <v>213</v>
      </c>
      <c r="U341" s="3103"/>
      <c r="V341" s="3103" t="s">
        <v>295</v>
      </c>
      <c r="W341" s="3103" t="s">
        <v>6791</v>
      </c>
      <c r="X341" s="3103" t="s">
        <v>213</v>
      </c>
      <c r="Y341" s="3104" t="s">
        <v>164</v>
      </c>
    </row>
    <row r="342" spans="1:25" ht="36" hidden="1">
      <c r="A342" s="1304"/>
      <c r="B342" s="643">
        <v>7151</v>
      </c>
      <c r="C342" s="643" t="s">
        <v>1973</v>
      </c>
      <c r="D342" s="3088">
        <v>2</v>
      </c>
      <c r="E342" s="3089" t="str">
        <f t="shared" si="53"/>
        <v>购置固定资产无形资产长期资产支付的现金</v>
      </c>
      <c r="F342" s="3090" t="s">
        <v>1974</v>
      </c>
      <c r="G342" s="3091">
        <f t="shared" si="54"/>
        <v>0</v>
      </c>
      <c r="H342" s="3092">
        <f t="shared" ca="1" si="47"/>
        <v>0</v>
      </c>
      <c r="I342" s="3094" t="s">
        <v>6797</v>
      </c>
      <c r="J342" s="3073"/>
      <c r="K342" s="3091">
        <f t="shared" si="45"/>
        <v>0</v>
      </c>
      <c r="L342" s="3072" t="s">
        <v>6793</v>
      </c>
      <c r="M342" s="3094" t="s">
        <v>6797</v>
      </c>
      <c r="N342" s="3073"/>
      <c r="O342" s="3100"/>
      <c r="P342" s="3101"/>
      <c r="Q342" s="3101"/>
      <c r="R342" s="3101"/>
      <c r="S342" s="3102" t="s">
        <v>295</v>
      </c>
      <c r="T342" s="3102" t="s">
        <v>213</v>
      </c>
      <c r="U342" s="3103"/>
      <c r="V342" s="3103" t="s">
        <v>295</v>
      </c>
      <c r="W342" s="3103" t="s">
        <v>6791</v>
      </c>
      <c r="X342" s="3103" t="s">
        <v>213</v>
      </c>
      <c r="Y342" s="3104" t="s">
        <v>164</v>
      </c>
    </row>
    <row r="343" spans="1:25" ht="18" hidden="1">
      <c r="A343" s="1304"/>
      <c r="B343" s="643">
        <v>7161</v>
      </c>
      <c r="C343" s="643" t="s">
        <v>1975</v>
      </c>
      <c r="D343" s="3088">
        <v>2</v>
      </c>
      <c r="E343" s="3089" t="str">
        <f t="shared" si="53"/>
        <v>投资支付的现金</v>
      </c>
      <c r="F343" s="3090" t="s">
        <v>1976</v>
      </c>
      <c r="G343" s="3091">
        <f t="shared" si="54"/>
        <v>0</v>
      </c>
      <c r="H343" s="3092">
        <f t="shared" ca="1" si="47"/>
        <v>0</v>
      </c>
      <c r="I343" s="3094" t="s">
        <v>6797</v>
      </c>
      <c r="J343" s="3073"/>
      <c r="K343" s="3091">
        <f t="shared" si="45"/>
        <v>0</v>
      </c>
      <c r="L343" s="3072" t="s">
        <v>6793</v>
      </c>
      <c r="M343" s="3094" t="s">
        <v>6797</v>
      </c>
      <c r="N343" s="3073"/>
      <c r="O343" s="3100"/>
      <c r="P343" s="3101"/>
      <c r="Q343" s="3101"/>
      <c r="R343" s="3101"/>
      <c r="S343" s="3102" t="s">
        <v>295</v>
      </c>
      <c r="T343" s="3102" t="s">
        <v>213</v>
      </c>
      <c r="U343" s="3103"/>
      <c r="V343" s="3103" t="s">
        <v>295</v>
      </c>
      <c r="W343" s="3103" t="s">
        <v>6791</v>
      </c>
      <c r="X343" s="3103" t="s">
        <v>213</v>
      </c>
      <c r="Y343" s="3104" t="s">
        <v>164</v>
      </c>
    </row>
    <row r="344" spans="1:25" ht="24" hidden="1">
      <c r="A344" s="1304"/>
      <c r="B344" s="643">
        <v>7211</v>
      </c>
      <c r="C344" s="643" t="s">
        <v>1980</v>
      </c>
      <c r="D344" s="3088">
        <v>2</v>
      </c>
      <c r="E344" s="3089" t="str">
        <f t="shared" si="53"/>
        <v>取得借款收到的现金</v>
      </c>
      <c r="F344" s="3090" t="s">
        <v>1981</v>
      </c>
      <c r="G344" s="3091">
        <f t="shared" si="54"/>
        <v>0</v>
      </c>
      <c r="H344" s="3092">
        <f t="shared" ca="1" si="47"/>
        <v>0</v>
      </c>
      <c r="I344" s="3094" t="s">
        <v>6797</v>
      </c>
      <c r="J344" s="3073"/>
      <c r="K344" s="3091">
        <f t="shared" si="45"/>
        <v>0</v>
      </c>
      <c r="L344" s="3072" t="s">
        <v>6793</v>
      </c>
      <c r="M344" s="3094" t="s">
        <v>6797</v>
      </c>
      <c r="N344" s="3073"/>
      <c r="O344" s="3100"/>
      <c r="P344" s="3101"/>
      <c r="Q344" s="3101"/>
      <c r="R344" s="3101"/>
      <c r="S344" s="3102" t="s">
        <v>295</v>
      </c>
      <c r="T344" s="3102" t="s">
        <v>213</v>
      </c>
      <c r="U344" s="3103"/>
      <c r="V344" s="3103" t="s">
        <v>295</v>
      </c>
      <c r="W344" s="3103" t="s">
        <v>6791</v>
      </c>
      <c r="X344" s="3103" t="s">
        <v>213</v>
      </c>
      <c r="Y344" s="3104" t="s">
        <v>164</v>
      </c>
    </row>
    <row r="345" spans="1:25" ht="24" hidden="1">
      <c r="A345" s="1304"/>
      <c r="B345" s="643">
        <v>7251</v>
      </c>
      <c r="C345" s="643" t="s">
        <v>1986</v>
      </c>
      <c r="D345" s="3088">
        <v>2</v>
      </c>
      <c r="E345" s="3089" t="str">
        <f t="shared" si="53"/>
        <v>偿还债务支付的现金</v>
      </c>
      <c r="F345" s="3090" t="s">
        <v>1987</v>
      </c>
      <c r="G345" s="3091">
        <f t="shared" si="54"/>
        <v>0</v>
      </c>
      <c r="H345" s="3092">
        <f t="shared" ca="1" si="47"/>
        <v>0</v>
      </c>
      <c r="I345" s="3094" t="s">
        <v>6797</v>
      </c>
      <c r="J345" s="3073"/>
      <c r="K345" s="3091">
        <f t="shared" si="45"/>
        <v>0</v>
      </c>
      <c r="L345" s="3072" t="s">
        <v>6793</v>
      </c>
      <c r="M345" s="3094" t="s">
        <v>6797</v>
      </c>
      <c r="N345" s="3073"/>
      <c r="O345" s="3100"/>
      <c r="P345" s="3101"/>
      <c r="Q345" s="3101"/>
      <c r="R345" s="3101"/>
      <c r="S345" s="3102" t="s">
        <v>295</v>
      </c>
      <c r="T345" s="3102" t="s">
        <v>213</v>
      </c>
      <c r="U345" s="3103"/>
      <c r="V345" s="3103" t="s">
        <v>295</v>
      </c>
      <c r="W345" s="3103" t="s">
        <v>6791</v>
      </c>
      <c r="X345" s="3103" t="s">
        <v>213</v>
      </c>
      <c r="Y345" s="3104" t="s">
        <v>164</v>
      </c>
    </row>
    <row r="346" spans="1:25" ht="24" hidden="1">
      <c r="A346" s="1304"/>
      <c r="B346" s="643">
        <v>7261</v>
      </c>
      <c r="C346" s="643" t="s">
        <v>1988</v>
      </c>
      <c r="D346" s="3088">
        <v>2</v>
      </c>
      <c r="E346" s="3089" t="str">
        <f t="shared" si="53"/>
        <v>分配利润偿付利息支付的现金</v>
      </c>
      <c r="F346" s="3090" t="s">
        <v>1989</v>
      </c>
      <c r="G346" s="3091">
        <f t="shared" si="54"/>
        <v>0</v>
      </c>
      <c r="H346" s="3092">
        <f t="shared" ca="1" si="47"/>
        <v>0</v>
      </c>
      <c r="I346" s="3094" t="s">
        <v>6797</v>
      </c>
      <c r="J346" s="3073"/>
      <c r="K346" s="3091">
        <f t="shared" si="45"/>
        <v>0</v>
      </c>
      <c r="L346" s="3072" t="s">
        <v>6793</v>
      </c>
      <c r="M346" s="3094" t="s">
        <v>6797</v>
      </c>
      <c r="N346" s="3073"/>
      <c r="O346" s="3100"/>
      <c r="P346" s="3101"/>
      <c r="Q346" s="3101"/>
      <c r="R346" s="3101"/>
      <c r="S346" s="3102" t="s">
        <v>295</v>
      </c>
      <c r="T346" s="3102" t="s">
        <v>213</v>
      </c>
      <c r="U346" s="3103"/>
      <c r="V346" s="3103" t="s">
        <v>295</v>
      </c>
      <c r="W346" s="3103" t="s">
        <v>6791</v>
      </c>
      <c r="X346" s="3103" t="s">
        <v>213</v>
      </c>
      <c r="Y346" s="3104" t="s">
        <v>164</v>
      </c>
    </row>
    <row r="347" spans="1:25" ht="24" hidden="1">
      <c r="A347" s="1304"/>
      <c r="B347" s="643"/>
      <c r="C347" s="643" t="s">
        <v>1993</v>
      </c>
      <c r="D347" s="3088">
        <v>3</v>
      </c>
      <c r="E347" s="3089" t="str">
        <f t="shared" si="53"/>
        <v xml:space="preserve">        ----</v>
      </c>
      <c r="F347" s="3090" t="s">
        <v>1994</v>
      </c>
      <c r="G347" s="3091" t="str">
        <f t="shared" si="54"/>
        <v xml:space="preserve">        ----</v>
      </c>
      <c r="H347" s="3092" t="s">
        <v>6793</v>
      </c>
      <c r="I347" s="3094" t="s">
        <v>6797</v>
      </c>
      <c r="J347" s="3073"/>
      <c r="K347" s="3091" t="str">
        <f t="shared" si="45"/>
        <v xml:space="preserve">        ----</v>
      </c>
      <c r="L347" s="3072" t="s">
        <v>6793</v>
      </c>
      <c r="M347" s="3094" t="s">
        <v>6797</v>
      </c>
      <c r="N347" s="3073"/>
      <c r="O347" s="3100"/>
      <c r="P347" s="3101"/>
      <c r="Q347" s="3101"/>
      <c r="R347" s="3101"/>
      <c r="S347" s="3102" t="s">
        <v>295</v>
      </c>
      <c r="T347" s="3102" t="s">
        <v>213</v>
      </c>
      <c r="U347" s="3103"/>
      <c r="V347" s="3103" t="s">
        <v>295</v>
      </c>
      <c r="W347" s="3103" t="s">
        <v>6791</v>
      </c>
      <c r="X347" s="3103" t="s">
        <v>6792</v>
      </c>
      <c r="Y347" s="3104" t="s">
        <v>164</v>
      </c>
    </row>
    <row r="348" spans="1:25" ht="24" hidden="1">
      <c r="A348" s="1304"/>
      <c r="B348" s="643"/>
      <c r="C348" s="643" t="s">
        <v>1996</v>
      </c>
      <c r="D348" s="3088">
        <v>3</v>
      </c>
      <c r="E348" s="3089" t="str">
        <f t="shared" si="53"/>
        <v xml:space="preserve">        ----</v>
      </c>
      <c r="F348" s="3090" t="s">
        <v>1997</v>
      </c>
      <c r="G348" s="3091" t="str">
        <f t="shared" si="54"/>
        <v xml:space="preserve">        ----</v>
      </c>
      <c r="H348" s="3092" t="s">
        <v>6793</v>
      </c>
      <c r="I348" s="3094" t="s">
        <v>6797</v>
      </c>
      <c r="J348" s="3073"/>
      <c r="K348" s="3091" t="str">
        <f t="shared" si="45"/>
        <v xml:space="preserve">        ----</v>
      </c>
      <c r="L348" s="3072" t="s">
        <v>6793</v>
      </c>
      <c r="M348" s="3094" t="s">
        <v>6797</v>
      </c>
      <c r="N348" s="3073"/>
      <c r="O348" s="3100"/>
      <c r="P348" s="3101"/>
      <c r="Q348" s="3101"/>
      <c r="R348" s="3101"/>
      <c r="S348" s="3102" t="s">
        <v>295</v>
      </c>
      <c r="T348" s="3102" t="s">
        <v>213</v>
      </c>
      <c r="U348" s="3103"/>
      <c r="V348" s="3103" t="s">
        <v>295</v>
      </c>
      <c r="W348" s="3103" t="s">
        <v>6791</v>
      </c>
      <c r="X348" s="3103" t="s">
        <v>6792</v>
      </c>
      <c r="Y348" s="3104" t="s">
        <v>164</v>
      </c>
    </row>
    <row r="349" spans="1:25" ht="24" hidden="1">
      <c r="A349" s="1304"/>
      <c r="B349" s="643"/>
      <c r="C349" s="643" t="s">
        <v>1998</v>
      </c>
      <c r="D349" s="3088">
        <v>3</v>
      </c>
      <c r="E349" s="3089" t="str">
        <f t="shared" si="53"/>
        <v xml:space="preserve">        ----</v>
      </c>
      <c r="F349" s="3090" t="s">
        <v>1999</v>
      </c>
      <c r="G349" s="3091" t="str">
        <f t="shared" si="54"/>
        <v xml:space="preserve">        ----</v>
      </c>
      <c r="H349" s="3092" t="s">
        <v>6793</v>
      </c>
      <c r="I349" s="3094" t="s">
        <v>6797</v>
      </c>
      <c r="J349" s="3073"/>
      <c r="K349" s="3091" t="str">
        <f t="shared" si="45"/>
        <v xml:space="preserve">        ----</v>
      </c>
      <c r="L349" s="3072" t="s">
        <v>6793</v>
      </c>
      <c r="M349" s="3094" t="s">
        <v>6797</v>
      </c>
      <c r="N349" s="3073"/>
      <c r="O349" s="3100"/>
      <c r="P349" s="3101"/>
      <c r="Q349" s="3101"/>
      <c r="R349" s="3101"/>
      <c r="S349" s="3102" t="s">
        <v>295</v>
      </c>
      <c r="T349" s="3102" t="s">
        <v>213</v>
      </c>
      <c r="U349" s="3103"/>
      <c r="V349" s="3103" t="s">
        <v>295</v>
      </c>
      <c r="W349" s="3103" t="s">
        <v>6791</v>
      </c>
      <c r="X349" s="3103" t="s">
        <v>6792</v>
      </c>
      <c r="Y349" s="3104" t="s">
        <v>164</v>
      </c>
    </row>
    <row r="350" spans="1:25" ht="24" hidden="1">
      <c r="A350" s="1304"/>
      <c r="B350" s="643"/>
      <c r="C350" s="643" t="s">
        <v>2008</v>
      </c>
      <c r="D350" s="3088">
        <v>3</v>
      </c>
      <c r="E350" s="3089" t="str">
        <f t="shared" si="53"/>
        <v xml:space="preserve">        ----</v>
      </c>
      <c r="F350" s="3090" t="s">
        <v>2009</v>
      </c>
      <c r="G350" s="3091" t="str">
        <f t="shared" si="54"/>
        <v xml:space="preserve">        ----</v>
      </c>
      <c r="H350" s="3092" t="s">
        <v>6793</v>
      </c>
      <c r="I350" s="3094" t="s">
        <v>6797</v>
      </c>
      <c r="J350" s="3073"/>
      <c r="K350" s="3091" t="str">
        <f t="shared" si="45"/>
        <v xml:space="preserve">        ----</v>
      </c>
      <c r="L350" s="3072" t="s">
        <v>6793</v>
      </c>
      <c r="M350" s="3094" t="s">
        <v>6797</v>
      </c>
      <c r="N350" s="3073"/>
      <c r="O350" s="3100"/>
      <c r="P350" s="3101"/>
      <c r="Q350" s="3101"/>
      <c r="R350" s="3101"/>
      <c r="S350" s="3102" t="s">
        <v>295</v>
      </c>
      <c r="T350" s="3102" t="s">
        <v>213</v>
      </c>
      <c r="U350" s="3103"/>
      <c r="V350" s="3103" t="s">
        <v>295</v>
      </c>
      <c r="W350" s="3103" t="s">
        <v>6791</v>
      </c>
      <c r="X350" s="3103" t="s">
        <v>6794</v>
      </c>
      <c r="Y350" s="3104" t="s">
        <v>164</v>
      </c>
    </row>
    <row r="351" spans="1:25" ht="24" hidden="1">
      <c r="A351" s="1304"/>
      <c r="B351" s="643"/>
      <c r="C351" s="643" t="s">
        <v>2010</v>
      </c>
      <c r="D351" s="3088">
        <v>3</v>
      </c>
      <c r="E351" s="3089" t="str">
        <f t="shared" si="53"/>
        <v xml:space="preserve">        ----</v>
      </c>
      <c r="F351" s="3090" t="s">
        <v>2011</v>
      </c>
      <c r="G351" s="3091" t="str">
        <f t="shared" si="54"/>
        <v xml:space="preserve">        ----</v>
      </c>
      <c r="H351" s="3092" t="s">
        <v>6793</v>
      </c>
      <c r="I351" s="3094" t="s">
        <v>6797</v>
      </c>
      <c r="J351" s="3073"/>
      <c r="K351" s="3091" t="str">
        <f t="shared" ref="K351:K408" si="55">IF(ISERROR(VLOOKUP($B351,Sheet_Trialbal,10,0)),"        ----",VLOOKUP($B351,Sheet_Trialbal,10,0))</f>
        <v xml:space="preserve">        ----</v>
      </c>
      <c r="L351" s="3072" t="s">
        <v>6793</v>
      </c>
      <c r="M351" s="3094" t="s">
        <v>6797</v>
      </c>
      <c r="N351" s="3073"/>
      <c r="O351" s="3100"/>
      <c r="P351" s="3101"/>
      <c r="Q351" s="3101"/>
      <c r="R351" s="3101"/>
      <c r="S351" s="3102" t="s">
        <v>295</v>
      </c>
      <c r="T351" s="3102" t="s">
        <v>213</v>
      </c>
      <c r="U351" s="3103"/>
      <c r="V351" s="3103" t="s">
        <v>295</v>
      </c>
      <c r="W351" s="3103" t="s">
        <v>6791</v>
      </c>
      <c r="X351" s="3103" t="s">
        <v>6794</v>
      </c>
      <c r="Y351" s="3104" t="s">
        <v>164</v>
      </c>
    </row>
    <row r="352" spans="1:25" ht="24" hidden="1">
      <c r="A352" s="1304"/>
      <c r="B352" s="643"/>
      <c r="C352" s="643" t="s">
        <v>2003</v>
      </c>
      <c r="D352" s="3088">
        <v>3</v>
      </c>
      <c r="E352" s="3089" t="str">
        <f t="shared" si="53"/>
        <v xml:space="preserve">        ----</v>
      </c>
      <c r="F352" s="3090" t="s">
        <v>2004</v>
      </c>
      <c r="G352" s="3091" t="str">
        <f t="shared" si="54"/>
        <v xml:space="preserve">        ----</v>
      </c>
      <c r="H352" s="3092" t="s">
        <v>6793</v>
      </c>
      <c r="I352" s="3094" t="s">
        <v>6797</v>
      </c>
      <c r="J352" s="3073"/>
      <c r="K352" s="3091" t="str">
        <f t="shared" si="55"/>
        <v xml:space="preserve">        ----</v>
      </c>
      <c r="L352" s="3072" t="s">
        <v>6793</v>
      </c>
      <c r="M352" s="3094" t="s">
        <v>6797</v>
      </c>
      <c r="N352" s="3073"/>
      <c r="O352" s="3100"/>
      <c r="P352" s="3101"/>
      <c r="Q352" s="3101"/>
      <c r="R352" s="3101"/>
      <c r="S352" s="3102" t="s">
        <v>295</v>
      </c>
      <c r="T352" s="3102" t="s">
        <v>213</v>
      </c>
      <c r="U352" s="3103"/>
      <c r="V352" s="3103" t="s">
        <v>295</v>
      </c>
      <c r="W352" s="3103" t="s">
        <v>6791</v>
      </c>
      <c r="X352" s="3103" t="s">
        <v>6792</v>
      </c>
      <c r="Y352" s="3104" t="s">
        <v>164</v>
      </c>
    </row>
    <row r="353" spans="1:25" ht="24" hidden="1">
      <c r="A353" s="1304"/>
      <c r="B353" s="643"/>
      <c r="C353" s="643" t="s">
        <v>2006</v>
      </c>
      <c r="D353" s="3088">
        <v>3</v>
      </c>
      <c r="E353" s="3089" t="str">
        <f t="shared" si="53"/>
        <v xml:space="preserve">        ----</v>
      </c>
      <c r="F353" s="3090" t="s">
        <v>2007</v>
      </c>
      <c r="G353" s="3091" t="str">
        <f t="shared" si="54"/>
        <v xml:space="preserve">        ----</v>
      </c>
      <c r="H353" s="3092" t="s">
        <v>6793</v>
      </c>
      <c r="I353" s="3094" t="s">
        <v>6797</v>
      </c>
      <c r="J353" s="3073"/>
      <c r="K353" s="3091" t="str">
        <f t="shared" si="55"/>
        <v xml:space="preserve">        ----</v>
      </c>
      <c r="L353" s="3072" t="s">
        <v>6793</v>
      </c>
      <c r="M353" s="3094" t="s">
        <v>6797</v>
      </c>
      <c r="N353" s="3073"/>
      <c r="O353" s="3100"/>
      <c r="P353" s="3101"/>
      <c r="Q353" s="3101"/>
      <c r="R353" s="3101"/>
      <c r="S353" s="3102" t="s">
        <v>295</v>
      </c>
      <c r="T353" s="3102" t="s">
        <v>213</v>
      </c>
      <c r="U353" s="3103"/>
      <c r="V353" s="3103" t="s">
        <v>295</v>
      </c>
      <c r="W353" s="3103" t="s">
        <v>6791</v>
      </c>
      <c r="X353" s="3103" t="s">
        <v>213</v>
      </c>
      <c r="Y353" s="3104" t="s">
        <v>164</v>
      </c>
    </row>
    <row r="354" spans="1:25" ht="36" hidden="1">
      <c r="A354" s="1304"/>
      <c r="B354" s="643"/>
      <c r="C354" s="643" t="s">
        <v>2012</v>
      </c>
      <c r="D354" s="3088">
        <v>3</v>
      </c>
      <c r="E354" s="3089" t="str">
        <f t="shared" si="53"/>
        <v xml:space="preserve">        ----</v>
      </c>
      <c r="F354" s="3090" t="s">
        <v>2013</v>
      </c>
      <c r="G354" s="3091" t="str">
        <f t="shared" si="54"/>
        <v xml:space="preserve">        ----</v>
      </c>
      <c r="H354" s="3092">
        <f t="shared" ref="H354:H368" ca="1" si="56">INDIRECT("Notes!CheckA"&amp;$C354)</f>
        <v>0</v>
      </c>
      <c r="I354" s="3094" t="s">
        <v>6797</v>
      </c>
      <c r="J354" s="3073"/>
      <c r="K354" s="3091" t="str">
        <f t="shared" si="55"/>
        <v xml:space="preserve">        ----</v>
      </c>
      <c r="L354" s="3072" t="s">
        <v>6793</v>
      </c>
      <c r="M354" s="3094" t="s">
        <v>6797</v>
      </c>
      <c r="N354" s="3073"/>
      <c r="O354" s="3100"/>
      <c r="P354" s="3101"/>
      <c r="Q354" s="3101"/>
      <c r="R354" s="3101"/>
      <c r="S354" s="3102" t="s">
        <v>295</v>
      </c>
      <c r="T354" s="3102" t="s">
        <v>213</v>
      </c>
      <c r="U354" s="3103"/>
      <c r="V354" s="3103" t="s">
        <v>295</v>
      </c>
      <c r="W354" s="3103" t="s">
        <v>6791</v>
      </c>
      <c r="X354" s="3103" t="s">
        <v>213</v>
      </c>
      <c r="Y354" s="3104" t="s">
        <v>164</v>
      </c>
    </row>
    <row r="355" spans="1:25" ht="48" hidden="1">
      <c r="A355" s="1304"/>
      <c r="B355" s="643"/>
      <c r="C355" s="643" t="s">
        <v>2015</v>
      </c>
      <c r="D355" s="3088">
        <v>3</v>
      </c>
      <c r="E355" s="3089" t="str">
        <f t="shared" si="53"/>
        <v xml:space="preserve">        ----</v>
      </c>
      <c r="F355" s="3090" t="s">
        <v>2016</v>
      </c>
      <c r="G355" s="3091" t="str">
        <f t="shared" si="54"/>
        <v xml:space="preserve">        ----</v>
      </c>
      <c r="H355" s="3092">
        <f t="shared" ca="1" si="56"/>
        <v>0</v>
      </c>
      <c r="I355" s="3094" t="s">
        <v>6797</v>
      </c>
      <c r="J355" s="3073"/>
      <c r="K355" s="3091" t="str">
        <f t="shared" si="55"/>
        <v xml:space="preserve">        ----</v>
      </c>
      <c r="L355" s="3072" t="s">
        <v>6793</v>
      </c>
      <c r="M355" s="3094" t="s">
        <v>6797</v>
      </c>
      <c r="N355" s="3073"/>
      <c r="O355" s="3100"/>
      <c r="P355" s="3101"/>
      <c r="Q355" s="3101"/>
      <c r="R355" s="3101"/>
      <c r="S355" s="3102" t="s">
        <v>295</v>
      </c>
      <c r="T355" s="3102" t="s">
        <v>213</v>
      </c>
      <c r="U355" s="3103"/>
      <c r="V355" s="3103" t="s">
        <v>295</v>
      </c>
      <c r="W355" s="3103" t="s">
        <v>6791</v>
      </c>
      <c r="X355" s="3103" t="s">
        <v>213</v>
      </c>
      <c r="Y355" s="3104" t="s">
        <v>164</v>
      </c>
    </row>
    <row r="356" spans="1:25" ht="36" hidden="1">
      <c r="A356" s="1304"/>
      <c r="B356" s="643"/>
      <c r="C356" s="643" t="s">
        <v>2018</v>
      </c>
      <c r="D356" s="3088">
        <v>3</v>
      </c>
      <c r="E356" s="3089" t="str">
        <f t="shared" si="53"/>
        <v xml:space="preserve">        ----</v>
      </c>
      <c r="F356" s="3090" t="s">
        <v>2019</v>
      </c>
      <c r="G356" s="3091" t="str">
        <f t="shared" si="54"/>
        <v xml:space="preserve">        ----</v>
      </c>
      <c r="H356" s="3092">
        <f t="shared" ca="1" si="56"/>
        <v>0</v>
      </c>
      <c r="I356" s="3094" t="s">
        <v>6797</v>
      </c>
      <c r="J356" s="3073"/>
      <c r="K356" s="3091" t="str">
        <f t="shared" si="55"/>
        <v xml:space="preserve">        ----</v>
      </c>
      <c r="L356" s="3072" t="s">
        <v>6793</v>
      </c>
      <c r="M356" s="3094" t="s">
        <v>6797</v>
      </c>
      <c r="N356" s="3073"/>
      <c r="O356" s="3100"/>
      <c r="P356" s="3101"/>
      <c r="Q356" s="3101"/>
      <c r="R356" s="3101"/>
      <c r="S356" s="3102" t="s">
        <v>295</v>
      </c>
      <c r="T356" s="3102" t="s">
        <v>213</v>
      </c>
      <c r="U356" s="3103"/>
      <c r="V356" s="3103" t="s">
        <v>295</v>
      </c>
      <c r="W356" s="3103" t="s">
        <v>6791</v>
      </c>
      <c r="X356" s="3103" t="s">
        <v>213</v>
      </c>
      <c r="Y356" s="3104" t="s">
        <v>164</v>
      </c>
    </row>
    <row r="357" spans="1:25" ht="36" hidden="1">
      <c r="A357" s="1304"/>
      <c r="B357" s="643"/>
      <c r="C357" s="643" t="s">
        <v>2022</v>
      </c>
      <c r="D357" s="3088">
        <v>3</v>
      </c>
      <c r="E357" s="3089" t="str">
        <f t="shared" si="53"/>
        <v xml:space="preserve">        ----</v>
      </c>
      <c r="F357" s="3090" t="s">
        <v>2023</v>
      </c>
      <c r="G357" s="3091" t="str">
        <f t="shared" si="54"/>
        <v xml:space="preserve">        ----</v>
      </c>
      <c r="H357" s="3092">
        <f t="shared" ca="1" si="56"/>
        <v>0</v>
      </c>
      <c r="I357" s="3094" t="s">
        <v>6797</v>
      </c>
      <c r="J357" s="3073"/>
      <c r="K357" s="3091" t="str">
        <f t="shared" si="55"/>
        <v xml:space="preserve">        ----</v>
      </c>
      <c r="L357" s="3072" t="s">
        <v>6793</v>
      </c>
      <c r="M357" s="3094" t="s">
        <v>6797</v>
      </c>
      <c r="N357" s="3073"/>
      <c r="O357" s="3100"/>
      <c r="P357" s="3101"/>
      <c r="Q357" s="3101"/>
      <c r="R357" s="3101"/>
      <c r="S357" s="3102" t="s">
        <v>295</v>
      </c>
      <c r="T357" s="3102" t="s">
        <v>213</v>
      </c>
      <c r="U357" s="3103"/>
      <c r="V357" s="3103" t="s">
        <v>295</v>
      </c>
      <c r="W357" s="3103" t="s">
        <v>6791</v>
      </c>
      <c r="X357" s="3103" t="s">
        <v>213</v>
      </c>
      <c r="Y357" s="3104" t="s">
        <v>164</v>
      </c>
    </row>
    <row r="358" spans="1:25" ht="48" hidden="1">
      <c r="A358" s="1304"/>
      <c r="B358" s="643"/>
      <c r="C358" s="643" t="s">
        <v>2026</v>
      </c>
      <c r="D358" s="3088">
        <v>3</v>
      </c>
      <c r="E358" s="3089" t="str">
        <f t="shared" si="53"/>
        <v xml:space="preserve">        ----</v>
      </c>
      <c r="F358" s="3090" t="s">
        <v>2027</v>
      </c>
      <c r="G358" s="3091" t="str">
        <f t="shared" si="54"/>
        <v xml:space="preserve">        ----</v>
      </c>
      <c r="H358" s="3092">
        <f t="shared" ca="1" si="56"/>
        <v>0</v>
      </c>
      <c r="I358" s="3094" t="s">
        <v>6797</v>
      </c>
      <c r="J358" s="3073"/>
      <c r="K358" s="3091" t="str">
        <f t="shared" si="55"/>
        <v xml:space="preserve">        ----</v>
      </c>
      <c r="L358" s="3072" t="s">
        <v>6793</v>
      </c>
      <c r="M358" s="3094" t="s">
        <v>6797</v>
      </c>
      <c r="N358" s="3073"/>
      <c r="O358" s="3100"/>
      <c r="P358" s="3101"/>
      <c r="Q358" s="3101"/>
      <c r="R358" s="3101"/>
      <c r="S358" s="3102" t="s">
        <v>295</v>
      </c>
      <c r="T358" s="3102" t="s">
        <v>213</v>
      </c>
      <c r="U358" s="3103"/>
      <c r="V358" s="3103" t="s">
        <v>295</v>
      </c>
      <c r="W358" s="3103" t="s">
        <v>6791</v>
      </c>
      <c r="X358" s="3103" t="s">
        <v>213</v>
      </c>
      <c r="Y358" s="3104" t="s">
        <v>164</v>
      </c>
    </row>
    <row r="359" spans="1:25" ht="36" hidden="1">
      <c r="A359" s="1304"/>
      <c r="B359" s="643"/>
      <c r="C359" s="643" t="s">
        <v>2030</v>
      </c>
      <c r="D359" s="3088">
        <v>3</v>
      </c>
      <c r="E359" s="3089" t="str">
        <f t="shared" si="53"/>
        <v xml:space="preserve">        ----</v>
      </c>
      <c r="F359" s="3090" t="s">
        <v>2031</v>
      </c>
      <c r="G359" s="3091" t="str">
        <f t="shared" si="54"/>
        <v xml:space="preserve">        ----</v>
      </c>
      <c r="H359" s="3092">
        <f t="shared" ca="1" si="56"/>
        <v>0</v>
      </c>
      <c r="I359" s="3094" t="s">
        <v>6797</v>
      </c>
      <c r="J359" s="3073"/>
      <c r="K359" s="3091" t="str">
        <f t="shared" si="55"/>
        <v xml:space="preserve">        ----</v>
      </c>
      <c r="L359" s="3072" t="s">
        <v>6793</v>
      </c>
      <c r="M359" s="3094" t="s">
        <v>6797</v>
      </c>
      <c r="N359" s="3073"/>
      <c r="O359" s="3100"/>
      <c r="P359" s="3101"/>
      <c r="Q359" s="3101"/>
      <c r="R359" s="3101"/>
      <c r="S359" s="3102" t="s">
        <v>295</v>
      </c>
      <c r="T359" s="3102" t="s">
        <v>213</v>
      </c>
      <c r="U359" s="3103"/>
      <c r="V359" s="3103" t="s">
        <v>295</v>
      </c>
      <c r="W359" s="3103" t="s">
        <v>6791</v>
      </c>
      <c r="X359" s="3103" t="s">
        <v>213</v>
      </c>
      <c r="Y359" s="3104" t="s">
        <v>164</v>
      </c>
    </row>
    <row r="360" spans="1:25" ht="36" hidden="1">
      <c r="A360" s="1304"/>
      <c r="B360" s="643"/>
      <c r="C360" s="643" t="s">
        <v>2035</v>
      </c>
      <c r="D360" s="3088">
        <v>3</v>
      </c>
      <c r="E360" s="3089" t="str">
        <f t="shared" si="53"/>
        <v xml:space="preserve">        ----</v>
      </c>
      <c r="F360" s="3090" t="s">
        <v>2036</v>
      </c>
      <c r="G360" s="3091" t="str">
        <f t="shared" si="54"/>
        <v xml:space="preserve">        ----</v>
      </c>
      <c r="H360" s="3092">
        <f t="shared" ca="1" si="56"/>
        <v>0</v>
      </c>
      <c r="I360" s="3094" t="s">
        <v>6797</v>
      </c>
      <c r="J360" s="3073"/>
      <c r="K360" s="3091" t="str">
        <f t="shared" si="55"/>
        <v xml:space="preserve">        ----</v>
      </c>
      <c r="L360" s="3072" t="s">
        <v>6793</v>
      </c>
      <c r="M360" s="3094" t="s">
        <v>6797</v>
      </c>
      <c r="N360" s="3073"/>
      <c r="O360" s="3100"/>
      <c r="P360" s="3101"/>
      <c r="Q360" s="3101"/>
      <c r="R360" s="3101"/>
      <c r="S360" s="3102" t="s">
        <v>295</v>
      </c>
      <c r="T360" s="3102" t="s">
        <v>213</v>
      </c>
      <c r="U360" s="3103"/>
      <c r="V360" s="3103" t="s">
        <v>295</v>
      </c>
      <c r="W360" s="3103" t="s">
        <v>6791</v>
      </c>
      <c r="X360" s="3103" t="s">
        <v>213</v>
      </c>
      <c r="Y360" s="3104" t="s">
        <v>164</v>
      </c>
    </row>
    <row r="361" spans="1:25" ht="36" hidden="1">
      <c r="A361" s="1304"/>
      <c r="B361" s="643"/>
      <c r="C361" s="643" t="s">
        <v>2038</v>
      </c>
      <c r="D361" s="3088">
        <v>3</v>
      </c>
      <c r="E361" s="3089" t="str">
        <f t="shared" si="53"/>
        <v xml:space="preserve">        ----</v>
      </c>
      <c r="F361" s="3090" t="s">
        <v>2039</v>
      </c>
      <c r="G361" s="3091" t="str">
        <f t="shared" si="54"/>
        <v xml:space="preserve">        ----</v>
      </c>
      <c r="H361" s="3092">
        <f t="shared" ca="1" si="56"/>
        <v>0</v>
      </c>
      <c r="I361" s="3094" t="s">
        <v>6797</v>
      </c>
      <c r="J361" s="3073"/>
      <c r="K361" s="3091" t="str">
        <f t="shared" si="55"/>
        <v xml:space="preserve">        ----</v>
      </c>
      <c r="L361" s="3072" t="s">
        <v>6793</v>
      </c>
      <c r="M361" s="3094" t="s">
        <v>6797</v>
      </c>
      <c r="N361" s="3073"/>
      <c r="O361" s="3100"/>
      <c r="P361" s="3101"/>
      <c r="Q361" s="3101"/>
      <c r="R361" s="3101"/>
      <c r="S361" s="3102" t="s">
        <v>295</v>
      </c>
      <c r="T361" s="3102" t="s">
        <v>213</v>
      </c>
      <c r="U361" s="3103"/>
      <c r="V361" s="3103" t="s">
        <v>295</v>
      </c>
      <c r="W361" s="3103" t="s">
        <v>6791</v>
      </c>
      <c r="X361" s="3103" t="s">
        <v>213</v>
      </c>
      <c r="Y361" s="3104" t="s">
        <v>164</v>
      </c>
    </row>
    <row r="362" spans="1:25" ht="24" hidden="1">
      <c r="A362" s="1304"/>
      <c r="B362" s="643"/>
      <c r="C362" s="643" t="s">
        <v>2042</v>
      </c>
      <c r="D362" s="3088">
        <v>3</v>
      </c>
      <c r="E362" s="3089" t="str">
        <f t="shared" si="53"/>
        <v xml:space="preserve">        ----</v>
      </c>
      <c r="F362" s="3090" t="s">
        <v>2043</v>
      </c>
      <c r="G362" s="3091" t="str">
        <f t="shared" si="54"/>
        <v xml:space="preserve">        ----</v>
      </c>
      <c r="H362" s="3092">
        <f t="shared" ca="1" si="56"/>
        <v>0</v>
      </c>
      <c r="I362" s="3094" t="s">
        <v>6797</v>
      </c>
      <c r="J362" s="3073"/>
      <c r="K362" s="3091" t="str">
        <f t="shared" si="55"/>
        <v xml:space="preserve">        ----</v>
      </c>
      <c r="L362" s="3072" t="s">
        <v>6793</v>
      </c>
      <c r="M362" s="3094" t="s">
        <v>6797</v>
      </c>
      <c r="N362" s="3073"/>
      <c r="O362" s="3100"/>
      <c r="P362" s="3101"/>
      <c r="Q362" s="3101"/>
      <c r="R362" s="3101"/>
      <c r="S362" s="3102" t="s">
        <v>295</v>
      </c>
      <c r="T362" s="3102" t="s">
        <v>213</v>
      </c>
      <c r="U362" s="3103"/>
      <c r="V362" s="3103" t="s">
        <v>295</v>
      </c>
      <c r="W362" s="3103" t="s">
        <v>6791</v>
      </c>
      <c r="X362" s="3103" t="s">
        <v>213</v>
      </c>
      <c r="Y362" s="3104" t="s">
        <v>164</v>
      </c>
    </row>
    <row r="363" spans="1:25" ht="36" hidden="1">
      <c r="A363" s="1304"/>
      <c r="B363" s="643"/>
      <c r="C363" s="643" t="s">
        <v>2045</v>
      </c>
      <c r="D363" s="3088">
        <v>3</v>
      </c>
      <c r="E363" s="3089" t="str">
        <f t="shared" si="53"/>
        <v xml:space="preserve">        ----</v>
      </c>
      <c r="F363" s="3090" t="s">
        <v>2046</v>
      </c>
      <c r="G363" s="3091" t="str">
        <f t="shared" si="54"/>
        <v xml:space="preserve">        ----</v>
      </c>
      <c r="H363" s="3092">
        <f t="shared" ca="1" si="56"/>
        <v>0</v>
      </c>
      <c r="I363" s="3094" t="s">
        <v>6797</v>
      </c>
      <c r="J363" s="3073"/>
      <c r="K363" s="3091" t="str">
        <f t="shared" si="55"/>
        <v xml:space="preserve">        ----</v>
      </c>
      <c r="L363" s="3072" t="s">
        <v>6793</v>
      </c>
      <c r="M363" s="3094" t="s">
        <v>6797</v>
      </c>
      <c r="N363" s="3073"/>
      <c r="O363" s="3100"/>
      <c r="P363" s="3101"/>
      <c r="Q363" s="3101"/>
      <c r="R363" s="3101"/>
      <c r="S363" s="3102" t="s">
        <v>295</v>
      </c>
      <c r="T363" s="3102" t="s">
        <v>213</v>
      </c>
      <c r="U363" s="3103"/>
      <c r="V363" s="3103" t="s">
        <v>295</v>
      </c>
      <c r="W363" s="3103" t="s">
        <v>6791</v>
      </c>
      <c r="X363" s="3103" t="s">
        <v>213</v>
      </c>
      <c r="Y363" s="3104" t="s">
        <v>164</v>
      </c>
    </row>
    <row r="364" spans="1:25" ht="36" hidden="1">
      <c r="A364" s="1304"/>
      <c r="B364" s="643"/>
      <c r="C364" s="643" t="s">
        <v>2048</v>
      </c>
      <c r="D364" s="3088">
        <v>3</v>
      </c>
      <c r="E364" s="3089" t="str">
        <f t="shared" si="53"/>
        <v xml:space="preserve">        ----</v>
      </c>
      <c r="F364" s="3090" t="s">
        <v>2049</v>
      </c>
      <c r="G364" s="3091" t="str">
        <f t="shared" si="54"/>
        <v xml:space="preserve">        ----</v>
      </c>
      <c r="H364" s="3092">
        <f t="shared" ca="1" si="56"/>
        <v>0</v>
      </c>
      <c r="I364" s="3094" t="s">
        <v>6797</v>
      </c>
      <c r="J364" s="3073"/>
      <c r="K364" s="3091" t="str">
        <f t="shared" si="55"/>
        <v xml:space="preserve">        ----</v>
      </c>
      <c r="L364" s="3072" t="s">
        <v>6793</v>
      </c>
      <c r="M364" s="3094" t="s">
        <v>6797</v>
      </c>
      <c r="N364" s="3073"/>
      <c r="O364" s="3100"/>
      <c r="P364" s="3101"/>
      <c r="Q364" s="3101"/>
      <c r="R364" s="3101"/>
      <c r="S364" s="3102" t="s">
        <v>295</v>
      </c>
      <c r="T364" s="3102" t="s">
        <v>213</v>
      </c>
      <c r="U364" s="3103"/>
      <c r="V364" s="3103" t="s">
        <v>295</v>
      </c>
      <c r="W364" s="3103" t="s">
        <v>6791</v>
      </c>
      <c r="X364" s="3103" t="s">
        <v>213</v>
      </c>
      <c r="Y364" s="3104" t="s">
        <v>164</v>
      </c>
    </row>
    <row r="365" spans="1:25" ht="36" hidden="1">
      <c r="A365" s="1304"/>
      <c r="B365" s="643"/>
      <c r="C365" s="643" t="s">
        <v>2051</v>
      </c>
      <c r="D365" s="3088">
        <v>3</v>
      </c>
      <c r="E365" s="3089" t="str">
        <f t="shared" si="53"/>
        <v xml:space="preserve">        ----</v>
      </c>
      <c r="F365" s="3090" t="s">
        <v>2052</v>
      </c>
      <c r="G365" s="3091" t="str">
        <f t="shared" si="54"/>
        <v xml:space="preserve">        ----</v>
      </c>
      <c r="H365" s="3092">
        <f t="shared" ca="1" si="56"/>
        <v>0</v>
      </c>
      <c r="I365" s="3094" t="s">
        <v>6797</v>
      </c>
      <c r="J365" s="3073"/>
      <c r="K365" s="3091" t="str">
        <f t="shared" si="55"/>
        <v xml:space="preserve">        ----</v>
      </c>
      <c r="L365" s="3072" t="s">
        <v>6793</v>
      </c>
      <c r="M365" s="3094" t="s">
        <v>6797</v>
      </c>
      <c r="N365" s="3073"/>
      <c r="O365" s="3100"/>
      <c r="P365" s="3101"/>
      <c r="Q365" s="3101"/>
      <c r="R365" s="3101"/>
      <c r="S365" s="3102" t="s">
        <v>295</v>
      </c>
      <c r="T365" s="3102" t="s">
        <v>213</v>
      </c>
      <c r="U365" s="3103"/>
      <c r="V365" s="3103" t="s">
        <v>295</v>
      </c>
      <c r="W365" s="3103" t="s">
        <v>6791</v>
      </c>
      <c r="X365" s="3103" t="s">
        <v>213</v>
      </c>
      <c r="Y365" s="3104" t="s">
        <v>164</v>
      </c>
    </row>
    <row r="366" spans="1:25" ht="36" hidden="1">
      <c r="A366" s="1304"/>
      <c r="B366" s="643"/>
      <c r="C366" s="643" t="s">
        <v>2055</v>
      </c>
      <c r="D366" s="3088">
        <v>3</v>
      </c>
      <c r="E366" s="3089" t="str">
        <f t="shared" si="53"/>
        <v xml:space="preserve">        ----</v>
      </c>
      <c r="F366" s="3090" t="s">
        <v>2056</v>
      </c>
      <c r="G366" s="3091" t="str">
        <f t="shared" si="54"/>
        <v xml:space="preserve">        ----</v>
      </c>
      <c r="H366" s="3092">
        <f t="shared" ca="1" si="56"/>
        <v>0</v>
      </c>
      <c r="I366" s="3094" t="s">
        <v>6797</v>
      </c>
      <c r="J366" s="3073"/>
      <c r="K366" s="3091" t="str">
        <f t="shared" si="55"/>
        <v xml:space="preserve">        ----</v>
      </c>
      <c r="L366" s="3072" t="s">
        <v>6793</v>
      </c>
      <c r="M366" s="3094" t="s">
        <v>6797</v>
      </c>
      <c r="N366" s="3073"/>
      <c r="O366" s="3100"/>
      <c r="P366" s="3101"/>
      <c r="Q366" s="3101"/>
      <c r="R366" s="3101"/>
      <c r="S366" s="3102" t="s">
        <v>295</v>
      </c>
      <c r="T366" s="3102" t="s">
        <v>213</v>
      </c>
      <c r="U366" s="3103"/>
      <c r="V366" s="3103" t="s">
        <v>295</v>
      </c>
      <c r="W366" s="3103" t="s">
        <v>6791</v>
      </c>
      <c r="X366" s="3103" t="s">
        <v>213</v>
      </c>
      <c r="Y366" s="3104" t="s">
        <v>164</v>
      </c>
    </row>
    <row r="367" spans="1:25" ht="36" hidden="1">
      <c r="A367" s="1304"/>
      <c r="B367" s="643"/>
      <c r="C367" s="643" t="s">
        <v>2058</v>
      </c>
      <c r="D367" s="3088">
        <v>3</v>
      </c>
      <c r="E367" s="3089" t="str">
        <f t="shared" si="53"/>
        <v xml:space="preserve">        ----</v>
      </c>
      <c r="F367" s="3090" t="s">
        <v>2059</v>
      </c>
      <c r="G367" s="3091" t="str">
        <f t="shared" si="54"/>
        <v xml:space="preserve">        ----</v>
      </c>
      <c r="H367" s="3092">
        <f t="shared" ca="1" si="56"/>
        <v>0</v>
      </c>
      <c r="I367" s="3094" t="s">
        <v>6797</v>
      </c>
      <c r="J367" s="3073"/>
      <c r="K367" s="3091" t="str">
        <f t="shared" si="55"/>
        <v xml:space="preserve">        ----</v>
      </c>
      <c r="L367" s="3072" t="s">
        <v>6793</v>
      </c>
      <c r="M367" s="3094" t="s">
        <v>6797</v>
      </c>
      <c r="N367" s="3073"/>
      <c r="O367" s="3100"/>
      <c r="P367" s="3101"/>
      <c r="Q367" s="3101"/>
      <c r="R367" s="3101"/>
      <c r="S367" s="3102" t="s">
        <v>295</v>
      </c>
      <c r="T367" s="3102" t="s">
        <v>213</v>
      </c>
      <c r="U367" s="3103"/>
      <c r="V367" s="3103" t="s">
        <v>295</v>
      </c>
      <c r="W367" s="3103" t="s">
        <v>6791</v>
      </c>
      <c r="X367" s="3103" t="s">
        <v>213</v>
      </c>
      <c r="Y367" s="3104" t="s">
        <v>164</v>
      </c>
    </row>
    <row r="368" spans="1:25" ht="24" hidden="1">
      <c r="A368" s="1304"/>
      <c r="B368" s="643"/>
      <c r="C368" s="643" t="s">
        <v>2061</v>
      </c>
      <c r="D368" s="3088">
        <v>3</v>
      </c>
      <c r="E368" s="3089" t="str">
        <f t="shared" si="53"/>
        <v xml:space="preserve">        ----</v>
      </c>
      <c r="F368" s="3090" t="s">
        <v>2062</v>
      </c>
      <c r="G368" s="3091" t="str">
        <f t="shared" si="54"/>
        <v xml:space="preserve">        ----</v>
      </c>
      <c r="H368" s="3092">
        <f t="shared" ca="1" si="56"/>
        <v>0</v>
      </c>
      <c r="I368" s="3094" t="s">
        <v>6797</v>
      </c>
      <c r="J368" s="3073"/>
      <c r="K368" s="3091" t="str">
        <f t="shared" si="55"/>
        <v xml:space="preserve">        ----</v>
      </c>
      <c r="L368" s="3072" t="s">
        <v>6793</v>
      </c>
      <c r="M368" s="3094" t="s">
        <v>6797</v>
      </c>
      <c r="N368" s="3073"/>
      <c r="O368" s="3100"/>
      <c r="P368" s="3101"/>
      <c r="Q368" s="3101"/>
      <c r="R368" s="3101"/>
      <c r="S368" s="3102" t="s">
        <v>295</v>
      </c>
      <c r="T368" s="3102" t="s">
        <v>213</v>
      </c>
      <c r="U368" s="3103"/>
      <c r="V368" s="3103" t="s">
        <v>295</v>
      </c>
      <c r="W368" s="3103" t="s">
        <v>6791</v>
      </c>
      <c r="X368" s="3103" t="s">
        <v>213</v>
      </c>
      <c r="Y368" s="3104" t="s">
        <v>164</v>
      </c>
    </row>
    <row r="369" spans="1:25" ht="24" hidden="1">
      <c r="A369" s="1304"/>
      <c r="B369" s="643"/>
      <c r="C369" s="643" t="s">
        <v>2100</v>
      </c>
      <c r="D369" s="3088">
        <v>3</v>
      </c>
      <c r="E369" s="3089" t="str">
        <f t="shared" si="53"/>
        <v xml:space="preserve">        ----</v>
      </c>
      <c r="F369" s="3090" t="s">
        <v>887</v>
      </c>
      <c r="G369" s="3091" t="str">
        <f t="shared" si="54"/>
        <v xml:space="preserve">        ----</v>
      </c>
      <c r="H369" s="3092" t="s">
        <v>6793</v>
      </c>
      <c r="I369" s="3094" t="s">
        <v>6797</v>
      </c>
      <c r="J369" s="3073"/>
      <c r="K369" s="3091" t="str">
        <f t="shared" si="55"/>
        <v xml:space="preserve">        ----</v>
      </c>
      <c r="L369" s="3072" t="s">
        <v>6793</v>
      </c>
      <c r="M369" s="3094" t="s">
        <v>6797</v>
      </c>
      <c r="N369" s="3073"/>
      <c r="O369" s="3100"/>
      <c r="P369" s="3101"/>
      <c r="Q369" s="3101"/>
      <c r="R369" s="3101"/>
      <c r="S369" s="3102" t="s">
        <v>295</v>
      </c>
      <c r="T369" s="3102" t="s">
        <v>213</v>
      </c>
      <c r="U369" s="3103"/>
      <c r="V369" s="3103" t="s">
        <v>295</v>
      </c>
      <c r="W369" s="3103" t="s">
        <v>6791</v>
      </c>
      <c r="X369" s="3103" t="s">
        <v>6792</v>
      </c>
      <c r="Y369" s="3104" t="s">
        <v>164</v>
      </c>
    </row>
    <row r="370" spans="1:25" ht="24" hidden="1">
      <c r="A370" s="1304"/>
      <c r="B370" s="643"/>
      <c r="C370" s="643" t="s">
        <v>1351</v>
      </c>
      <c r="D370" s="3088">
        <v>3</v>
      </c>
      <c r="E370" s="3089" t="str">
        <f t="shared" si="53"/>
        <v xml:space="preserve">        ----</v>
      </c>
      <c r="F370" s="3090" t="s">
        <v>1352</v>
      </c>
      <c r="G370" s="3091" t="str">
        <f t="shared" si="54"/>
        <v xml:space="preserve">        ----</v>
      </c>
      <c r="H370" s="3092" t="s">
        <v>6793</v>
      </c>
      <c r="I370" s="3094" t="s">
        <v>6797</v>
      </c>
      <c r="J370" s="3073"/>
      <c r="K370" s="3091" t="str">
        <f t="shared" si="55"/>
        <v xml:space="preserve">        ----</v>
      </c>
      <c r="L370" s="3072" t="s">
        <v>6793</v>
      </c>
      <c r="M370" s="3094" t="s">
        <v>6797</v>
      </c>
      <c r="N370" s="3073"/>
      <c r="O370" s="3100"/>
      <c r="P370" s="3101"/>
      <c r="Q370" s="3101"/>
      <c r="R370" s="3101"/>
      <c r="S370" s="3102" t="s">
        <v>295</v>
      </c>
      <c r="T370" s="3102" t="s">
        <v>213</v>
      </c>
      <c r="U370" s="3103"/>
      <c r="V370" s="3103" t="s">
        <v>295</v>
      </c>
      <c r="W370" s="3103" t="s">
        <v>6791</v>
      </c>
      <c r="X370" s="3103" t="s">
        <v>6792</v>
      </c>
      <c r="Y370" s="3104" t="s">
        <v>164</v>
      </c>
    </row>
    <row r="371" spans="1:25" ht="18" hidden="1">
      <c r="A371" s="1304"/>
      <c r="B371" s="643"/>
      <c r="C371" s="643" t="s">
        <v>1347</v>
      </c>
      <c r="D371" s="3088">
        <v>3</v>
      </c>
      <c r="E371" s="3089" t="str">
        <f t="shared" si="53"/>
        <v xml:space="preserve">        ----</v>
      </c>
      <c r="F371" s="3090" t="s">
        <v>6458</v>
      </c>
      <c r="G371" s="3091" t="str">
        <f t="shared" si="54"/>
        <v xml:space="preserve">        ----</v>
      </c>
      <c r="H371" s="3092" t="s">
        <v>6793</v>
      </c>
      <c r="I371" s="3094" t="s">
        <v>6797</v>
      </c>
      <c r="J371" s="3073"/>
      <c r="K371" s="3091" t="str">
        <f t="shared" si="55"/>
        <v xml:space="preserve">        ----</v>
      </c>
      <c r="L371" s="3072" t="s">
        <v>6793</v>
      </c>
      <c r="M371" s="3094" t="s">
        <v>6797</v>
      </c>
      <c r="N371" s="3073"/>
      <c r="O371" s="3100"/>
      <c r="P371" s="3101"/>
      <c r="Q371" s="3101"/>
      <c r="R371" s="3101"/>
      <c r="S371" s="3102" t="s">
        <v>295</v>
      </c>
      <c r="T371" s="3102" t="s">
        <v>213</v>
      </c>
      <c r="U371" s="3103"/>
      <c r="V371" s="3103" t="s">
        <v>295</v>
      </c>
      <c r="W371" s="3103" t="s">
        <v>6791</v>
      </c>
      <c r="X371" s="3103" t="s">
        <v>6794</v>
      </c>
      <c r="Y371" s="3104" t="s">
        <v>164</v>
      </c>
    </row>
    <row r="372" spans="1:25" ht="18" hidden="1">
      <c r="A372" s="1304"/>
      <c r="B372" s="643"/>
      <c r="C372" s="643" t="s">
        <v>2156</v>
      </c>
      <c r="D372" s="3088">
        <v>3</v>
      </c>
      <c r="E372" s="3089" t="str">
        <f t="shared" si="53"/>
        <v xml:space="preserve">        ----</v>
      </c>
      <c r="F372" s="3090" t="s">
        <v>2157</v>
      </c>
      <c r="G372" s="3091" t="str">
        <f t="shared" si="54"/>
        <v xml:space="preserve">        ----</v>
      </c>
      <c r="H372" s="3092">
        <f t="shared" ref="H372:H380" ca="1" si="57">INDIRECT("Notes!CheckA"&amp;$C372)</f>
        <v>0</v>
      </c>
      <c r="I372" s="3094" t="s">
        <v>6797</v>
      </c>
      <c r="J372" s="3073"/>
      <c r="K372" s="3091" t="str">
        <f t="shared" si="55"/>
        <v xml:space="preserve">        ----</v>
      </c>
      <c r="L372" s="3072">
        <f t="shared" ref="L372:L380" ca="1" si="58">INDIRECT("Notes!CheckB"&amp;$C372)</f>
        <v>0</v>
      </c>
      <c r="M372" s="3094" t="s">
        <v>6797</v>
      </c>
      <c r="N372" s="3073"/>
      <c r="O372" s="3100"/>
      <c r="P372" s="3101"/>
      <c r="Q372" s="3101"/>
      <c r="R372" s="3101"/>
      <c r="S372" s="3102" t="s">
        <v>295</v>
      </c>
      <c r="T372" s="3102" t="s">
        <v>213</v>
      </c>
      <c r="U372" s="3103"/>
      <c r="V372" s="3103" t="s">
        <v>295</v>
      </c>
      <c r="W372" s="3103" t="s">
        <v>6791</v>
      </c>
      <c r="X372" s="3103" t="s">
        <v>6792</v>
      </c>
      <c r="Y372" s="3104" t="s">
        <v>164</v>
      </c>
    </row>
    <row r="373" spans="1:25" ht="18" hidden="1">
      <c r="A373" s="1304"/>
      <c r="B373" s="643"/>
      <c r="C373" s="643" t="s">
        <v>2176</v>
      </c>
      <c r="D373" s="3088">
        <v>3</v>
      </c>
      <c r="E373" s="3089" t="str">
        <f t="shared" si="53"/>
        <v xml:space="preserve">        ----</v>
      </c>
      <c r="F373" s="3090" t="s">
        <v>2177</v>
      </c>
      <c r="G373" s="3091" t="str">
        <f t="shared" si="54"/>
        <v xml:space="preserve">        ----</v>
      </c>
      <c r="H373" s="3092">
        <f t="shared" ca="1" si="57"/>
        <v>0</v>
      </c>
      <c r="I373" s="3094" t="s">
        <v>6797</v>
      </c>
      <c r="J373" s="3073"/>
      <c r="K373" s="3091" t="str">
        <f t="shared" si="55"/>
        <v xml:space="preserve">        ----</v>
      </c>
      <c r="L373" s="3072">
        <f t="shared" ca="1" si="58"/>
        <v>0</v>
      </c>
      <c r="M373" s="3094" t="s">
        <v>6797</v>
      </c>
      <c r="N373" s="3073"/>
      <c r="O373" s="3100"/>
      <c r="P373" s="3101"/>
      <c r="Q373" s="3101"/>
      <c r="R373" s="3101"/>
      <c r="S373" s="3102" t="s">
        <v>295</v>
      </c>
      <c r="T373" s="3102" t="s">
        <v>213</v>
      </c>
      <c r="U373" s="3103"/>
      <c r="V373" s="3103" t="s">
        <v>295</v>
      </c>
      <c r="W373" s="3103" t="s">
        <v>6791</v>
      </c>
      <c r="X373" s="3103" t="s">
        <v>6792</v>
      </c>
      <c r="Y373" s="3104" t="s">
        <v>164</v>
      </c>
    </row>
    <row r="374" spans="1:25" ht="18" hidden="1">
      <c r="A374" s="1304"/>
      <c r="B374" s="643"/>
      <c r="C374" s="643" t="s">
        <v>2178</v>
      </c>
      <c r="D374" s="3088">
        <v>3</v>
      </c>
      <c r="E374" s="3089" t="str">
        <f t="shared" si="53"/>
        <v xml:space="preserve">        ----</v>
      </c>
      <c r="F374" s="3090" t="s">
        <v>2179</v>
      </c>
      <c r="G374" s="3091" t="str">
        <f t="shared" si="54"/>
        <v xml:space="preserve">        ----</v>
      </c>
      <c r="H374" s="3092">
        <f t="shared" ca="1" si="57"/>
        <v>0</v>
      </c>
      <c r="I374" s="3094" t="s">
        <v>6797</v>
      </c>
      <c r="J374" s="3073"/>
      <c r="K374" s="3091" t="str">
        <f t="shared" si="55"/>
        <v xml:space="preserve">        ----</v>
      </c>
      <c r="L374" s="3072">
        <f t="shared" ca="1" si="58"/>
        <v>0</v>
      </c>
      <c r="M374" s="3094" t="s">
        <v>6797</v>
      </c>
      <c r="N374" s="3073"/>
      <c r="O374" s="3100"/>
      <c r="P374" s="3101"/>
      <c r="Q374" s="3101"/>
      <c r="R374" s="3101"/>
      <c r="S374" s="3102" t="s">
        <v>295</v>
      </c>
      <c r="T374" s="3102" t="s">
        <v>213</v>
      </c>
      <c r="U374" s="3103"/>
      <c r="V374" s="3103" t="s">
        <v>295</v>
      </c>
      <c r="W374" s="3103" t="s">
        <v>6791</v>
      </c>
      <c r="X374" s="3103" t="s">
        <v>6792</v>
      </c>
      <c r="Y374" s="3104" t="s">
        <v>164</v>
      </c>
    </row>
    <row r="375" spans="1:25" ht="24" hidden="1">
      <c r="A375" s="1304"/>
      <c r="B375" s="643"/>
      <c r="C375" s="643" t="s">
        <v>2111</v>
      </c>
      <c r="D375" s="3088">
        <v>3</v>
      </c>
      <c r="E375" s="3089" t="str">
        <f t="shared" si="53"/>
        <v xml:space="preserve">        ----</v>
      </c>
      <c r="F375" s="3090" t="s">
        <v>2112</v>
      </c>
      <c r="G375" s="3091" t="str">
        <f t="shared" si="54"/>
        <v xml:space="preserve">        ----</v>
      </c>
      <c r="H375" s="3092">
        <f t="shared" ca="1" si="57"/>
        <v>0</v>
      </c>
      <c r="I375" s="3094" t="s">
        <v>6797</v>
      </c>
      <c r="J375" s="3073"/>
      <c r="K375" s="3091" t="str">
        <f t="shared" si="55"/>
        <v xml:space="preserve">        ----</v>
      </c>
      <c r="L375" s="3072">
        <f t="shared" ca="1" si="58"/>
        <v>0</v>
      </c>
      <c r="M375" s="3094" t="s">
        <v>6797</v>
      </c>
      <c r="N375" s="3073"/>
      <c r="O375" s="3100"/>
      <c r="P375" s="3101"/>
      <c r="Q375" s="3101"/>
      <c r="R375" s="3101"/>
      <c r="S375" s="3102" t="s">
        <v>295</v>
      </c>
      <c r="T375" s="3102" t="s">
        <v>213</v>
      </c>
      <c r="U375" s="3103"/>
      <c r="V375" s="3103" t="s">
        <v>295</v>
      </c>
      <c r="W375" s="3103" t="s">
        <v>6791</v>
      </c>
      <c r="X375" s="3103" t="s">
        <v>6792</v>
      </c>
      <c r="Y375" s="3104" t="s">
        <v>119</v>
      </c>
    </row>
    <row r="376" spans="1:25" ht="24" hidden="1">
      <c r="A376" s="1304"/>
      <c r="B376" s="643"/>
      <c r="C376" s="643" t="s">
        <v>2113</v>
      </c>
      <c r="D376" s="3088">
        <v>3</v>
      </c>
      <c r="E376" s="3089" t="str">
        <f t="shared" si="53"/>
        <v xml:space="preserve">        ----</v>
      </c>
      <c r="F376" s="3090" t="s">
        <v>2114</v>
      </c>
      <c r="G376" s="3091" t="str">
        <f t="shared" si="54"/>
        <v xml:space="preserve">        ----</v>
      </c>
      <c r="H376" s="3092">
        <f t="shared" ca="1" si="57"/>
        <v>0</v>
      </c>
      <c r="I376" s="3094" t="s">
        <v>6797</v>
      </c>
      <c r="J376" s="3073"/>
      <c r="K376" s="3091" t="str">
        <f t="shared" si="55"/>
        <v xml:space="preserve">        ----</v>
      </c>
      <c r="L376" s="3072">
        <f t="shared" ca="1" si="58"/>
        <v>0</v>
      </c>
      <c r="M376" s="3094" t="s">
        <v>6797</v>
      </c>
      <c r="N376" s="3073"/>
      <c r="O376" s="3100"/>
      <c r="P376" s="3101"/>
      <c r="Q376" s="3101"/>
      <c r="R376" s="3101"/>
      <c r="S376" s="3102" t="s">
        <v>295</v>
      </c>
      <c r="T376" s="3102" t="s">
        <v>213</v>
      </c>
      <c r="U376" s="3103"/>
      <c r="V376" s="3103" t="s">
        <v>295</v>
      </c>
      <c r="W376" s="3103" t="s">
        <v>6791</v>
      </c>
      <c r="X376" s="3103" t="s">
        <v>6792</v>
      </c>
      <c r="Y376" s="3104" t="s">
        <v>119</v>
      </c>
    </row>
    <row r="377" spans="1:25" ht="24" hidden="1">
      <c r="A377" s="1304"/>
      <c r="B377" s="643"/>
      <c r="C377" s="643" t="s">
        <v>2115</v>
      </c>
      <c r="D377" s="3088">
        <v>3</v>
      </c>
      <c r="E377" s="3089" t="str">
        <f t="shared" si="53"/>
        <v xml:space="preserve">        ----</v>
      </c>
      <c r="F377" s="3090" t="s">
        <v>2116</v>
      </c>
      <c r="G377" s="3091" t="str">
        <f t="shared" si="54"/>
        <v xml:space="preserve">        ----</v>
      </c>
      <c r="H377" s="3092">
        <f t="shared" ca="1" si="57"/>
        <v>0</v>
      </c>
      <c r="I377" s="3094" t="s">
        <v>6797</v>
      </c>
      <c r="J377" s="3073"/>
      <c r="K377" s="3091" t="str">
        <f t="shared" si="55"/>
        <v xml:space="preserve">        ----</v>
      </c>
      <c r="L377" s="3072">
        <f t="shared" ca="1" si="58"/>
        <v>0</v>
      </c>
      <c r="M377" s="3094" t="s">
        <v>6797</v>
      </c>
      <c r="N377" s="3073"/>
      <c r="O377" s="3100"/>
      <c r="P377" s="3101"/>
      <c r="Q377" s="3101"/>
      <c r="R377" s="3101"/>
      <c r="S377" s="3102" t="s">
        <v>295</v>
      </c>
      <c r="T377" s="3102" t="s">
        <v>213</v>
      </c>
      <c r="U377" s="3103"/>
      <c r="V377" s="3103" t="s">
        <v>295</v>
      </c>
      <c r="W377" s="3103" t="s">
        <v>6791</v>
      </c>
      <c r="X377" s="3103" t="s">
        <v>6792</v>
      </c>
      <c r="Y377" s="3104" t="s">
        <v>119</v>
      </c>
    </row>
    <row r="378" spans="1:25" ht="24" hidden="1">
      <c r="A378" s="1304"/>
      <c r="B378" s="643"/>
      <c r="C378" s="643" t="s">
        <v>2117</v>
      </c>
      <c r="D378" s="3088">
        <v>3</v>
      </c>
      <c r="E378" s="3089" t="str">
        <f t="shared" si="53"/>
        <v xml:space="preserve">        ----</v>
      </c>
      <c r="F378" s="3090" t="s">
        <v>2118</v>
      </c>
      <c r="G378" s="3091" t="str">
        <f t="shared" si="54"/>
        <v xml:space="preserve">        ----</v>
      </c>
      <c r="H378" s="3092">
        <f t="shared" ca="1" si="57"/>
        <v>0</v>
      </c>
      <c r="I378" s="3094" t="s">
        <v>6797</v>
      </c>
      <c r="J378" s="3073"/>
      <c r="K378" s="3091" t="str">
        <f t="shared" si="55"/>
        <v xml:space="preserve">        ----</v>
      </c>
      <c r="L378" s="3072">
        <f t="shared" ca="1" si="58"/>
        <v>0</v>
      </c>
      <c r="M378" s="3094" t="s">
        <v>6797</v>
      </c>
      <c r="N378" s="3073"/>
      <c r="O378" s="3100"/>
      <c r="P378" s="3101"/>
      <c r="Q378" s="3101"/>
      <c r="R378" s="3101"/>
      <c r="S378" s="3102" t="s">
        <v>295</v>
      </c>
      <c r="T378" s="3102" t="s">
        <v>213</v>
      </c>
      <c r="U378" s="3103"/>
      <c r="V378" s="3103" t="s">
        <v>295</v>
      </c>
      <c r="W378" s="3103" t="s">
        <v>6791</v>
      </c>
      <c r="X378" s="3103" t="s">
        <v>6792</v>
      </c>
      <c r="Y378" s="3104" t="s">
        <v>119</v>
      </c>
    </row>
    <row r="379" spans="1:25" ht="36" hidden="1">
      <c r="A379" s="1304"/>
      <c r="B379" s="643"/>
      <c r="C379" s="643" t="s">
        <v>2120</v>
      </c>
      <c r="D379" s="3088">
        <v>3</v>
      </c>
      <c r="E379" s="3089" t="str">
        <f t="shared" si="53"/>
        <v xml:space="preserve">        ----</v>
      </c>
      <c r="F379" s="3090" t="s">
        <v>2121</v>
      </c>
      <c r="G379" s="3091" t="str">
        <f t="shared" si="54"/>
        <v xml:space="preserve">        ----</v>
      </c>
      <c r="H379" s="3092">
        <f t="shared" ca="1" si="57"/>
        <v>0</v>
      </c>
      <c r="I379" s="3094" t="s">
        <v>6797</v>
      </c>
      <c r="J379" s="3073"/>
      <c r="K379" s="3091" t="str">
        <f t="shared" si="55"/>
        <v xml:space="preserve">        ----</v>
      </c>
      <c r="L379" s="3072">
        <f t="shared" ca="1" si="58"/>
        <v>0</v>
      </c>
      <c r="M379" s="3094" t="s">
        <v>6797</v>
      </c>
      <c r="N379" s="3073"/>
      <c r="O379" s="3100"/>
      <c r="P379" s="3101"/>
      <c r="Q379" s="3101"/>
      <c r="R379" s="3101"/>
      <c r="S379" s="3102" t="s">
        <v>295</v>
      </c>
      <c r="T379" s="3102" t="s">
        <v>213</v>
      </c>
      <c r="U379" s="3103"/>
      <c r="V379" s="3103" t="s">
        <v>295</v>
      </c>
      <c r="W379" s="3103" t="s">
        <v>6791</v>
      </c>
      <c r="X379" s="3103" t="s">
        <v>6792</v>
      </c>
      <c r="Y379" s="3104" t="s">
        <v>119</v>
      </c>
    </row>
    <row r="380" spans="1:25" ht="36" hidden="1">
      <c r="A380" s="1304"/>
      <c r="B380" s="643"/>
      <c r="C380" s="643" t="s">
        <v>2125</v>
      </c>
      <c r="D380" s="3088">
        <v>3</v>
      </c>
      <c r="E380" s="3089" t="str">
        <f t="shared" si="53"/>
        <v xml:space="preserve">        ----</v>
      </c>
      <c r="F380" s="3090" t="s">
        <v>2126</v>
      </c>
      <c r="G380" s="3091" t="str">
        <f t="shared" si="54"/>
        <v xml:space="preserve">        ----</v>
      </c>
      <c r="H380" s="3092">
        <f t="shared" ca="1" si="57"/>
        <v>0</v>
      </c>
      <c r="I380" s="3094" t="s">
        <v>6797</v>
      </c>
      <c r="J380" s="3073"/>
      <c r="K380" s="3091" t="str">
        <f t="shared" si="55"/>
        <v xml:space="preserve">        ----</v>
      </c>
      <c r="L380" s="3072">
        <f t="shared" ca="1" si="58"/>
        <v>0</v>
      </c>
      <c r="M380" s="3094" t="s">
        <v>6797</v>
      </c>
      <c r="N380" s="3073"/>
      <c r="O380" s="3100"/>
      <c r="P380" s="3101"/>
      <c r="Q380" s="3101"/>
      <c r="R380" s="3101"/>
      <c r="S380" s="3102" t="s">
        <v>295</v>
      </c>
      <c r="T380" s="3102" t="s">
        <v>213</v>
      </c>
      <c r="U380" s="3103"/>
      <c r="V380" s="3103" t="s">
        <v>295</v>
      </c>
      <c r="W380" s="3103" t="s">
        <v>6791</v>
      </c>
      <c r="X380" s="3103" t="s">
        <v>6792</v>
      </c>
      <c r="Y380" s="3104" t="s">
        <v>119</v>
      </c>
    </row>
    <row r="381" spans="1:25" ht="24" hidden="1">
      <c r="A381" s="1304"/>
      <c r="B381" s="643"/>
      <c r="C381" s="643" t="s">
        <v>2127</v>
      </c>
      <c r="D381" s="3088">
        <v>3</v>
      </c>
      <c r="E381" s="3089" t="str">
        <f t="shared" si="53"/>
        <v xml:space="preserve">        ----</v>
      </c>
      <c r="F381" s="3090" t="s">
        <v>2128</v>
      </c>
      <c r="G381" s="3091" t="str">
        <f t="shared" si="54"/>
        <v xml:space="preserve">        ----</v>
      </c>
      <c r="H381" s="3092" t="s">
        <v>6793</v>
      </c>
      <c r="I381" s="3094" t="s">
        <v>6797</v>
      </c>
      <c r="J381" s="3073"/>
      <c r="K381" s="3091" t="str">
        <f t="shared" si="55"/>
        <v xml:space="preserve">        ----</v>
      </c>
      <c r="L381" s="3072" t="s">
        <v>6793</v>
      </c>
      <c r="M381" s="3094" t="s">
        <v>6797</v>
      </c>
      <c r="N381" s="3073"/>
      <c r="O381" s="3100"/>
      <c r="P381" s="3101"/>
      <c r="Q381" s="3101"/>
      <c r="R381" s="3101"/>
      <c r="S381" s="3102" t="s">
        <v>295</v>
      </c>
      <c r="T381" s="3102" t="s">
        <v>213</v>
      </c>
      <c r="U381" s="3103"/>
      <c r="V381" s="3103" t="s">
        <v>295</v>
      </c>
      <c r="W381" s="3103" t="s">
        <v>145</v>
      </c>
      <c r="X381" s="3103" t="s">
        <v>6794</v>
      </c>
      <c r="Y381" s="3104" t="s">
        <v>119</v>
      </c>
    </row>
    <row r="382" spans="1:25" ht="48" hidden="1">
      <c r="A382" s="1304"/>
      <c r="B382" s="643"/>
      <c r="C382" s="643" t="s">
        <v>2149</v>
      </c>
      <c r="D382" s="3088">
        <v>3</v>
      </c>
      <c r="E382" s="3089" t="str">
        <f t="shared" si="53"/>
        <v xml:space="preserve">        ----</v>
      </c>
      <c r="F382" s="3090" t="s">
        <v>2159</v>
      </c>
      <c r="G382" s="3091" t="str">
        <f t="shared" si="54"/>
        <v xml:space="preserve">        ----</v>
      </c>
      <c r="H382" s="3092">
        <f ca="1">INDIRECT("Notes!CheckA"&amp;$C382)</f>
        <v>0</v>
      </c>
      <c r="I382" s="3094" t="s">
        <v>6797</v>
      </c>
      <c r="J382" s="3073"/>
      <c r="K382" s="3091" t="str">
        <f t="shared" si="55"/>
        <v xml:space="preserve">        ----</v>
      </c>
      <c r="L382" s="3072" t="s">
        <v>6793</v>
      </c>
      <c r="M382" s="3094" t="s">
        <v>6797</v>
      </c>
      <c r="N382" s="3073"/>
      <c r="O382" s="3100"/>
      <c r="P382" s="3101"/>
      <c r="Q382" s="3101"/>
      <c r="R382" s="3101"/>
      <c r="S382" s="3102" t="s">
        <v>295</v>
      </c>
      <c r="T382" s="3102" t="s">
        <v>213</v>
      </c>
      <c r="U382" s="3103"/>
      <c r="V382" s="3103" t="s">
        <v>295</v>
      </c>
      <c r="W382" s="3103" t="s">
        <v>6791</v>
      </c>
      <c r="X382" s="3103" t="s">
        <v>6794</v>
      </c>
      <c r="Y382" s="3104" t="s">
        <v>164</v>
      </c>
    </row>
    <row r="383" spans="1:25" ht="48" hidden="1">
      <c r="A383" s="1304"/>
      <c r="B383" s="643"/>
      <c r="C383" s="643" t="s">
        <v>2160</v>
      </c>
      <c r="D383" s="3088">
        <v>3</v>
      </c>
      <c r="E383" s="3089" t="str">
        <f t="shared" si="53"/>
        <v xml:space="preserve">        ----</v>
      </c>
      <c r="F383" s="3090" t="s">
        <v>2161</v>
      </c>
      <c r="G383" s="3091" t="str">
        <f t="shared" si="54"/>
        <v xml:space="preserve">        ----</v>
      </c>
      <c r="H383" s="3092">
        <f ca="1">INDIRECT("Notes!CheckA"&amp;$C383)</f>
        <v>0</v>
      </c>
      <c r="I383" s="3094" t="s">
        <v>6797</v>
      </c>
      <c r="J383" s="3073"/>
      <c r="K383" s="3091" t="str">
        <f t="shared" si="55"/>
        <v xml:space="preserve">        ----</v>
      </c>
      <c r="L383" s="3072" t="s">
        <v>6793</v>
      </c>
      <c r="M383" s="3094" t="s">
        <v>6797</v>
      </c>
      <c r="N383" s="3073"/>
      <c r="O383" s="3100"/>
      <c r="P383" s="3101"/>
      <c r="Q383" s="3101"/>
      <c r="R383" s="3101"/>
      <c r="S383" s="3102" t="s">
        <v>295</v>
      </c>
      <c r="T383" s="3102" t="s">
        <v>213</v>
      </c>
      <c r="U383" s="3103"/>
      <c r="V383" s="3103" t="s">
        <v>295</v>
      </c>
      <c r="W383" s="3103" t="s">
        <v>6791</v>
      </c>
      <c r="X383" s="3103" t="s">
        <v>6794</v>
      </c>
      <c r="Y383" s="3104" t="s">
        <v>164</v>
      </c>
    </row>
    <row r="384" spans="1:25" ht="60" hidden="1">
      <c r="A384" s="1304"/>
      <c r="B384" s="643"/>
      <c r="C384" s="643" t="s">
        <v>2144</v>
      </c>
      <c r="D384" s="3088">
        <v>3</v>
      </c>
      <c r="E384" s="3089" t="str">
        <f t="shared" si="53"/>
        <v xml:space="preserve">        ----</v>
      </c>
      <c r="F384" s="3090" t="s">
        <v>2145</v>
      </c>
      <c r="G384" s="3091" t="str">
        <f t="shared" si="54"/>
        <v xml:space="preserve">        ----</v>
      </c>
      <c r="H384" s="3092" t="s">
        <v>6793</v>
      </c>
      <c r="I384" s="3094" t="s">
        <v>6797</v>
      </c>
      <c r="J384" s="3073"/>
      <c r="K384" s="3091" t="str">
        <f t="shared" si="55"/>
        <v xml:space="preserve">        ----</v>
      </c>
      <c r="L384" s="3072" t="s">
        <v>6793</v>
      </c>
      <c r="M384" s="3094" t="s">
        <v>6797</v>
      </c>
      <c r="N384" s="3073"/>
      <c r="O384" s="3100"/>
      <c r="P384" s="3101"/>
      <c r="Q384" s="3101"/>
      <c r="R384" s="3101"/>
      <c r="S384" s="3102" t="s">
        <v>295</v>
      </c>
      <c r="T384" s="3102" t="s">
        <v>213</v>
      </c>
      <c r="U384" s="3103"/>
      <c r="V384" s="3103" t="s">
        <v>295</v>
      </c>
      <c r="W384" s="3103" t="s">
        <v>6791</v>
      </c>
      <c r="X384" s="3103" t="s">
        <v>6794</v>
      </c>
      <c r="Y384" s="3104" t="s">
        <v>164</v>
      </c>
    </row>
    <row r="385" spans="1:25" ht="36" hidden="1">
      <c r="A385" s="1304"/>
      <c r="B385" s="643"/>
      <c r="C385" s="643" t="s">
        <v>2130</v>
      </c>
      <c r="D385" s="3088">
        <v>3</v>
      </c>
      <c r="E385" s="3089" t="str">
        <f t="shared" si="53"/>
        <v xml:space="preserve">        ----</v>
      </c>
      <c r="F385" s="3090" t="s">
        <v>2131</v>
      </c>
      <c r="G385" s="3091" t="str">
        <f t="shared" si="54"/>
        <v xml:space="preserve">        ----</v>
      </c>
      <c r="H385" s="3092" t="s">
        <v>6793</v>
      </c>
      <c r="I385" s="3094" t="s">
        <v>6797</v>
      </c>
      <c r="J385" s="3073"/>
      <c r="K385" s="3091" t="str">
        <f t="shared" si="55"/>
        <v xml:space="preserve">        ----</v>
      </c>
      <c r="L385" s="3072" t="s">
        <v>6793</v>
      </c>
      <c r="M385" s="3094" t="s">
        <v>6797</v>
      </c>
      <c r="N385" s="3073"/>
      <c r="O385" s="3100"/>
      <c r="P385" s="3101"/>
      <c r="Q385" s="3101"/>
      <c r="R385" s="3101"/>
      <c r="S385" s="3102" t="s">
        <v>295</v>
      </c>
      <c r="T385" s="3102" t="s">
        <v>213</v>
      </c>
      <c r="U385" s="3103"/>
      <c r="V385" s="3103" t="s">
        <v>295</v>
      </c>
      <c r="W385" s="3103" t="s">
        <v>6791</v>
      </c>
      <c r="X385" s="3103" t="s">
        <v>6794</v>
      </c>
      <c r="Y385" s="3104" t="s">
        <v>164</v>
      </c>
    </row>
    <row r="386" spans="1:25" ht="24" hidden="1">
      <c r="A386" s="1304"/>
      <c r="B386" s="643"/>
      <c r="C386" s="643" t="s">
        <v>2064</v>
      </c>
      <c r="D386" s="3088">
        <v>3</v>
      </c>
      <c r="E386" s="3089" t="str">
        <f t="shared" si="53"/>
        <v xml:space="preserve">        ----</v>
      </c>
      <c r="F386" s="3090" t="s">
        <v>2065</v>
      </c>
      <c r="G386" s="3091" t="str">
        <f t="shared" si="54"/>
        <v xml:space="preserve">        ----</v>
      </c>
      <c r="H386" s="3092">
        <f ca="1">INDIRECT("Notes!CheckA"&amp;$C386)</f>
        <v>0</v>
      </c>
      <c r="I386" s="3094" t="s">
        <v>6797</v>
      </c>
      <c r="J386" s="3073"/>
      <c r="K386" s="3091" t="str">
        <f t="shared" si="55"/>
        <v xml:space="preserve">        ----</v>
      </c>
      <c r="L386" s="3072">
        <f ca="1">INDIRECT("Notes!CheckB"&amp;$C386)</f>
        <v>0</v>
      </c>
      <c r="M386" s="3094" t="s">
        <v>6797</v>
      </c>
      <c r="N386" s="3073"/>
      <c r="O386" s="3100"/>
      <c r="P386" s="3101"/>
      <c r="Q386" s="3101"/>
      <c r="R386" s="3101"/>
      <c r="S386" s="3102" t="s">
        <v>295</v>
      </c>
      <c r="T386" s="3102" t="s">
        <v>213</v>
      </c>
      <c r="U386" s="3103"/>
      <c r="V386" s="3103" t="s">
        <v>295</v>
      </c>
      <c r="W386" s="3103" t="s">
        <v>6791</v>
      </c>
      <c r="X386" s="3103" t="s">
        <v>6792</v>
      </c>
      <c r="Y386" s="3104" t="s">
        <v>164</v>
      </c>
    </row>
    <row r="387" spans="1:25" ht="24" hidden="1">
      <c r="A387" s="1304"/>
      <c r="B387" s="643"/>
      <c r="C387" s="643" t="s">
        <v>2067</v>
      </c>
      <c r="D387" s="3088">
        <v>3</v>
      </c>
      <c r="E387" s="3089" t="str">
        <f t="shared" si="53"/>
        <v xml:space="preserve">        ----</v>
      </c>
      <c r="F387" s="3090" t="s">
        <v>2068</v>
      </c>
      <c r="G387" s="3091" t="str">
        <f t="shared" si="54"/>
        <v xml:space="preserve">        ----</v>
      </c>
      <c r="H387" s="3092">
        <f ca="1">INDIRECT("Notes!CheckA"&amp;$C387)</f>
        <v>0</v>
      </c>
      <c r="I387" s="3094" t="s">
        <v>6797</v>
      </c>
      <c r="J387" s="3073"/>
      <c r="K387" s="3091" t="str">
        <f t="shared" si="55"/>
        <v xml:space="preserve">        ----</v>
      </c>
      <c r="L387" s="3072">
        <f ca="1">INDIRECT("Notes!CheckB"&amp;$C387)</f>
        <v>0</v>
      </c>
      <c r="M387" s="3094" t="s">
        <v>6797</v>
      </c>
      <c r="N387" s="3073"/>
      <c r="O387" s="3100"/>
      <c r="P387" s="3101"/>
      <c r="Q387" s="3101"/>
      <c r="R387" s="3101"/>
      <c r="S387" s="3102" t="s">
        <v>295</v>
      </c>
      <c r="T387" s="3102" t="s">
        <v>213</v>
      </c>
      <c r="U387" s="3103"/>
      <c r="V387" s="3103" t="s">
        <v>295</v>
      </c>
      <c r="W387" s="3103" t="s">
        <v>6791</v>
      </c>
      <c r="X387" s="3103" t="s">
        <v>6792</v>
      </c>
      <c r="Y387" s="3104" t="s">
        <v>164</v>
      </c>
    </row>
    <row r="388" spans="1:25" ht="18" hidden="1">
      <c r="A388" s="1304"/>
      <c r="B388" s="643"/>
      <c r="C388" s="643" t="s">
        <v>2069</v>
      </c>
      <c r="D388" s="3088">
        <v>3</v>
      </c>
      <c r="E388" s="3089" t="str">
        <f t="shared" si="53"/>
        <v xml:space="preserve">        ----</v>
      </c>
      <c r="F388" s="3090" t="s">
        <v>2070</v>
      </c>
      <c r="G388" s="3091" t="str">
        <f t="shared" si="54"/>
        <v xml:space="preserve">        ----</v>
      </c>
      <c r="H388" s="3092" t="s">
        <v>6793</v>
      </c>
      <c r="I388" s="3094" t="s">
        <v>6797</v>
      </c>
      <c r="J388" s="3073"/>
      <c r="K388" s="3091" t="str">
        <f t="shared" si="55"/>
        <v xml:space="preserve">        ----</v>
      </c>
      <c r="L388" s="3072" t="s">
        <v>6793</v>
      </c>
      <c r="M388" s="3094" t="s">
        <v>6797</v>
      </c>
      <c r="N388" s="3073"/>
      <c r="O388" s="3100"/>
      <c r="P388" s="3101"/>
      <c r="Q388" s="3101"/>
      <c r="R388" s="3101"/>
      <c r="S388" s="3102" t="s">
        <v>295</v>
      </c>
      <c r="T388" s="3102" t="s">
        <v>213</v>
      </c>
      <c r="U388" s="3103"/>
      <c r="V388" s="3103" t="s">
        <v>295</v>
      </c>
      <c r="W388" s="3103" t="s">
        <v>6791</v>
      </c>
      <c r="X388" s="3103" t="s">
        <v>6792</v>
      </c>
      <c r="Y388" s="3104" t="s">
        <v>164</v>
      </c>
    </row>
    <row r="389" spans="1:25" ht="18" hidden="1">
      <c r="A389" s="1304"/>
      <c r="B389" s="643"/>
      <c r="C389" s="643" t="s">
        <v>2072</v>
      </c>
      <c r="D389" s="3088">
        <v>3</v>
      </c>
      <c r="E389" s="3089" t="str">
        <f t="shared" si="53"/>
        <v xml:space="preserve">        ----</v>
      </c>
      <c r="F389" s="3090" t="s">
        <v>2073</v>
      </c>
      <c r="G389" s="3091" t="str">
        <f t="shared" si="54"/>
        <v xml:space="preserve">        ----</v>
      </c>
      <c r="H389" s="3092" t="s">
        <v>6793</v>
      </c>
      <c r="I389" s="3094" t="s">
        <v>6797</v>
      </c>
      <c r="J389" s="3073"/>
      <c r="K389" s="3091" t="str">
        <f t="shared" si="55"/>
        <v xml:space="preserve">        ----</v>
      </c>
      <c r="L389" s="3072" t="s">
        <v>6793</v>
      </c>
      <c r="M389" s="3094" t="s">
        <v>6797</v>
      </c>
      <c r="N389" s="3073"/>
      <c r="O389" s="3100"/>
      <c r="P389" s="3101"/>
      <c r="Q389" s="3101"/>
      <c r="R389" s="3101"/>
      <c r="S389" s="3102" t="s">
        <v>295</v>
      </c>
      <c r="T389" s="3102" t="s">
        <v>213</v>
      </c>
      <c r="U389" s="3103"/>
      <c r="V389" s="3103" t="s">
        <v>295</v>
      </c>
      <c r="W389" s="3103" t="s">
        <v>6791</v>
      </c>
      <c r="X389" s="3103" t="s">
        <v>6792</v>
      </c>
      <c r="Y389" s="3104" t="s">
        <v>164</v>
      </c>
    </row>
    <row r="390" spans="1:25" ht="24" hidden="1">
      <c r="A390" s="1304"/>
      <c r="B390" s="643"/>
      <c r="C390" s="643" t="s">
        <v>2075</v>
      </c>
      <c r="D390" s="3088">
        <v>3</v>
      </c>
      <c r="E390" s="3089" t="str">
        <f t="shared" si="53"/>
        <v xml:space="preserve">        ----</v>
      </c>
      <c r="F390" s="3090" t="s">
        <v>2076</v>
      </c>
      <c r="G390" s="3091" t="str">
        <f t="shared" si="54"/>
        <v xml:space="preserve">        ----</v>
      </c>
      <c r="H390" s="3092" t="s">
        <v>6793</v>
      </c>
      <c r="I390" s="3094" t="s">
        <v>6797</v>
      </c>
      <c r="J390" s="3073"/>
      <c r="K390" s="3091" t="str">
        <f t="shared" si="55"/>
        <v xml:space="preserve">        ----</v>
      </c>
      <c r="L390" s="3072" t="s">
        <v>6793</v>
      </c>
      <c r="M390" s="3094" t="s">
        <v>6797</v>
      </c>
      <c r="N390" s="3073"/>
      <c r="O390" s="3100"/>
      <c r="P390" s="3101"/>
      <c r="Q390" s="3101"/>
      <c r="R390" s="3101"/>
      <c r="S390" s="3102" t="s">
        <v>295</v>
      </c>
      <c r="T390" s="3102" t="s">
        <v>213</v>
      </c>
      <c r="U390" s="3103"/>
      <c r="V390" s="3103" t="s">
        <v>295</v>
      </c>
      <c r="W390" s="3103" t="s">
        <v>6791</v>
      </c>
      <c r="X390" s="3103" t="s">
        <v>6792</v>
      </c>
      <c r="Y390" s="3104" t="s">
        <v>164</v>
      </c>
    </row>
    <row r="391" spans="1:25" ht="24" hidden="1">
      <c r="A391" s="1304"/>
      <c r="B391" s="643"/>
      <c r="C391" s="643" t="s">
        <v>2077</v>
      </c>
      <c r="D391" s="3088">
        <v>3</v>
      </c>
      <c r="E391" s="3089" t="str">
        <f t="shared" si="53"/>
        <v xml:space="preserve">        ----</v>
      </c>
      <c r="F391" s="3090" t="s">
        <v>2078</v>
      </c>
      <c r="G391" s="3091" t="str">
        <f t="shared" si="54"/>
        <v xml:space="preserve">        ----</v>
      </c>
      <c r="H391" s="3092" t="s">
        <v>6793</v>
      </c>
      <c r="I391" s="3094" t="s">
        <v>6797</v>
      </c>
      <c r="J391" s="3073"/>
      <c r="K391" s="3091" t="str">
        <f t="shared" si="55"/>
        <v xml:space="preserve">        ----</v>
      </c>
      <c r="L391" s="3072" t="s">
        <v>6793</v>
      </c>
      <c r="M391" s="3094" t="s">
        <v>6797</v>
      </c>
      <c r="N391" s="3073"/>
      <c r="O391" s="3100"/>
      <c r="P391" s="3101"/>
      <c r="Q391" s="3101"/>
      <c r="R391" s="3101"/>
      <c r="S391" s="3102" t="s">
        <v>295</v>
      </c>
      <c r="T391" s="3102" t="s">
        <v>213</v>
      </c>
      <c r="U391" s="3103"/>
      <c r="V391" s="3103" t="s">
        <v>295</v>
      </c>
      <c r="W391" s="3103" t="s">
        <v>6791</v>
      </c>
      <c r="X391" s="3103" t="s">
        <v>6792</v>
      </c>
      <c r="Y391" s="3104" t="s">
        <v>164</v>
      </c>
    </row>
    <row r="392" spans="1:25" ht="24" hidden="1">
      <c r="A392" s="1304"/>
      <c r="B392" s="643"/>
      <c r="C392" s="643" t="s">
        <v>2079</v>
      </c>
      <c r="D392" s="3088">
        <v>3</v>
      </c>
      <c r="E392" s="3089" t="str">
        <f t="shared" si="53"/>
        <v xml:space="preserve">        ----</v>
      </c>
      <c r="F392" s="3090" t="s">
        <v>2080</v>
      </c>
      <c r="G392" s="3091" t="str">
        <f t="shared" si="54"/>
        <v xml:space="preserve">        ----</v>
      </c>
      <c r="H392" s="3092" t="s">
        <v>6793</v>
      </c>
      <c r="I392" s="3094" t="s">
        <v>6797</v>
      </c>
      <c r="J392" s="3073"/>
      <c r="K392" s="3091" t="str">
        <f t="shared" si="55"/>
        <v xml:space="preserve">        ----</v>
      </c>
      <c r="L392" s="3072" t="s">
        <v>6793</v>
      </c>
      <c r="M392" s="3094" t="s">
        <v>6797</v>
      </c>
      <c r="N392" s="3073"/>
      <c r="O392" s="3100"/>
      <c r="P392" s="3101"/>
      <c r="Q392" s="3101"/>
      <c r="R392" s="3101"/>
      <c r="S392" s="3102" t="s">
        <v>295</v>
      </c>
      <c r="T392" s="3102" t="s">
        <v>213</v>
      </c>
      <c r="U392" s="3103"/>
      <c r="V392" s="3103" t="s">
        <v>295</v>
      </c>
      <c r="W392" s="3103" t="s">
        <v>6791</v>
      </c>
      <c r="X392" s="3103" t="s">
        <v>6792</v>
      </c>
      <c r="Y392" s="3104" t="s">
        <v>164</v>
      </c>
    </row>
    <row r="393" spans="1:25" ht="24" hidden="1">
      <c r="A393" s="1304"/>
      <c r="B393" s="643"/>
      <c r="C393" s="643" t="s">
        <v>2081</v>
      </c>
      <c r="D393" s="3088">
        <v>3</v>
      </c>
      <c r="E393" s="3089" t="str">
        <f t="shared" ref="E393:E408" si="59">IF(ISERROR(VLOOKUP($B393,Sheet_Items,2,0)),"        ----",VLOOKUP($B393,Sheet_Items,2,0))</f>
        <v xml:space="preserve">        ----</v>
      </c>
      <c r="F393" s="3090" t="s">
        <v>2082</v>
      </c>
      <c r="G393" s="3091" t="str">
        <f t="shared" ref="G393:G408" si="60">IF(ISERROR(VLOOKUP($B393,Sheet_Trialbal,6,0)),"        ----",VLOOKUP($B393,Sheet_Trialbal,6,0))</f>
        <v xml:space="preserve">        ----</v>
      </c>
      <c r="H393" s="3092" t="s">
        <v>6793</v>
      </c>
      <c r="I393" s="3094" t="s">
        <v>6797</v>
      </c>
      <c r="J393" s="3073"/>
      <c r="K393" s="3091" t="str">
        <f t="shared" si="55"/>
        <v xml:space="preserve">        ----</v>
      </c>
      <c r="L393" s="3072" t="s">
        <v>6793</v>
      </c>
      <c r="M393" s="3094" t="s">
        <v>6797</v>
      </c>
      <c r="N393" s="3073"/>
      <c r="O393" s="3100"/>
      <c r="P393" s="3101"/>
      <c r="Q393" s="3101"/>
      <c r="R393" s="3101"/>
      <c r="S393" s="3102" t="s">
        <v>295</v>
      </c>
      <c r="T393" s="3102" t="s">
        <v>213</v>
      </c>
      <c r="U393" s="3103"/>
      <c r="V393" s="3103" t="s">
        <v>295</v>
      </c>
      <c r="W393" s="3103" t="s">
        <v>6791</v>
      </c>
      <c r="X393" s="3103" t="s">
        <v>6792</v>
      </c>
      <c r="Y393" s="3104" t="s">
        <v>164</v>
      </c>
    </row>
    <row r="394" spans="1:25" ht="24" hidden="1">
      <c r="A394" s="1304"/>
      <c r="B394" s="643"/>
      <c r="C394" s="643" t="s">
        <v>2083</v>
      </c>
      <c r="D394" s="3088">
        <v>3</v>
      </c>
      <c r="E394" s="3089" t="str">
        <f t="shared" si="59"/>
        <v xml:space="preserve">        ----</v>
      </c>
      <c r="F394" s="3090" t="s">
        <v>2084</v>
      </c>
      <c r="G394" s="3091" t="str">
        <f t="shared" si="60"/>
        <v xml:space="preserve">        ----</v>
      </c>
      <c r="H394" s="3092" t="s">
        <v>6793</v>
      </c>
      <c r="I394" s="3094" t="s">
        <v>6797</v>
      </c>
      <c r="J394" s="3073"/>
      <c r="K394" s="3091" t="str">
        <f t="shared" si="55"/>
        <v xml:space="preserve">        ----</v>
      </c>
      <c r="L394" s="3072" t="s">
        <v>6793</v>
      </c>
      <c r="M394" s="3094" t="s">
        <v>6797</v>
      </c>
      <c r="N394" s="3073"/>
      <c r="O394" s="3100"/>
      <c r="P394" s="3101"/>
      <c r="Q394" s="3101"/>
      <c r="R394" s="3101"/>
      <c r="S394" s="3102" t="s">
        <v>295</v>
      </c>
      <c r="T394" s="3102" t="s">
        <v>213</v>
      </c>
      <c r="U394" s="3103"/>
      <c r="V394" s="3103" t="s">
        <v>295</v>
      </c>
      <c r="W394" s="3103" t="s">
        <v>6791</v>
      </c>
      <c r="X394" s="3103" t="s">
        <v>6792</v>
      </c>
      <c r="Y394" s="3104" t="s">
        <v>164</v>
      </c>
    </row>
    <row r="395" spans="1:25" ht="24" hidden="1">
      <c r="A395" s="1304"/>
      <c r="B395" s="643"/>
      <c r="C395" s="643" t="s">
        <v>2085</v>
      </c>
      <c r="D395" s="3088">
        <v>3</v>
      </c>
      <c r="E395" s="3089" t="str">
        <f t="shared" si="59"/>
        <v xml:space="preserve">        ----</v>
      </c>
      <c r="F395" s="3090" t="s">
        <v>2086</v>
      </c>
      <c r="G395" s="3091" t="str">
        <f t="shared" si="60"/>
        <v xml:space="preserve">        ----</v>
      </c>
      <c r="H395" s="3092" t="s">
        <v>6793</v>
      </c>
      <c r="I395" s="3094" t="s">
        <v>6797</v>
      </c>
      <c r="J395" s="3073"/>
      <c r="K395" s="3091" t="str">
        <f t="shared" si="55"/>
        <v xml:space="preserve">        ----</v>
      </c>
      <c r="L395" s="3072" t="s">
        <v>6793</v>
      </c>
      <c r="M395" s="3094" t="s">
        <v>6797</v>
      </c>
      <c r="N395" s="3073"/>
      <c r="O395" s="3100"/>
      <c r="P395" s="3101"/>
      <c r="Q395" s="3101"/>
      <c r="R395" s="3101"/>
      <c r="S395" s="3102" t="s">
        <v>295</v>
      </c>
      <c r="T395" s="3102" t="s">
        <v>213</v>
      </c>
      <c r="U395" s="3103"/>
      <c r="V395" s="3103" t="s">
        <v>295</v>
      </c>
      <c r="W395" s="3103" t="s">
        <v>6791</v>
      </c>
      <c r="X395" s="3103" t="s">
        <v>6792</v>
      </c>
      <c r="Y395" s="3104" t="s">
        <v>164</v>
      </c>
    </row>
    <row r="396" spans="1:25" ht="24" hidden="1">
      <c r="A396" s="1304"/>
      <c r="B396" s="643"/>
      <c r="C396" s="643" t="s">
        <v>2088</v>
      </c>
      <c r="D396" s="3088">
        <v>3</v>
      </c>
      <c r="E396" s="3089" t="str">
        <f t="shared" si="59"/>
        <v xml:space="preserve">        ----</v>
      </c>
      <c r="F396" s="3090" t="s">
        <v>2089</v>
      </c>
      <c r="G396" s="3091" t="str">
        <f t="shared" si="60"/>
        <v xml:space="preserve">        ----</v>
      </c>
      <c r="H396" s="3092" t="s">
        <v>6793</v>
      </c>
      <c r="I396" s="3094" t="s">
        <v>6797</v>
      </c>
      <c r="J396" s="3073"/>
      <c r="K396" s="3091" t="str">
        <f t="shared" si="55"/>
        <v xml:space="preserve">        ----</v>
      </c>
      <c r="L396" s="3072" t="s">
        <v>6793</v>
      </c>
      <c r="M396" s="3094" t="s">
        <v>6797</v>
      </c>
      <c r="N396" s="3073"/>
      <c r="O396" s="3100"/>
      <c r="P396" s="3101"/>
      <c r="Q396" s="3101"/>
      <c r="R396" s="3101"/>
      <c r="S396" s="3102" t="s">
        <v>295</v>
      </c>
      <c r="T396" s="3102" t="s">
        <v>213</v>
      </c>
      <c r="U396" s="3103"/>
      <c r="V396" s="3103" t="s">
        <v>295</v>
      </c>
      <c r="W396" s="3103" t="s">
        <v>6791</v>
      </c>
      <c r="X396" s="3103" t="s">
        <v>6792</v>
      </c>
      <c r="Y396" s="3104" t="s">
        <v>164</v>
      </c>
    </row>
    <row r="397" spans="1:25" ht="18" hidden="1">
      <c r="A397" s="1304"/>
      <c r="B397" s="643"/>
      <c r="C397" s="643" t="s">
        <v>2091</v>
      </c>
      <c r="D397" s="3088">
        <v>3</v>
      </c>
      <c r="E397" s="3089" t="str">
        <f t="shared" si="59"/>
        <v xml:space="preserve">        ----</v>
      </c>
      <c r="F397" s="3090" t="s">
        <v>2092</v>
      </c>
      <c r="G397" s="3091" t="str">
        <f t="shared" si="60"/>
        <v xml:space="preserve">        ----</v>
      </c>
      <c r="H397" s="3092" t="s">
        <v>6793</v>
      </c>
      <c r="I397" s="3094" t="s">
        <v>6797</v>
      </c>
      <c r="J397" s="3073"/>
      <c r="K397" s="3091" t="str">
        <f t="shared" si="55"/>
        <v xml:space="preserve">        ----</v>
      </c>
      <c r="L397" s="3072" t="s">
        <v>6793</v>
      </c>
      <c r="M397" s="3094" t="s">
        <v>6797</v>
      </c>
      <c r="N397" s="3073"/>
      <c r="O397" s="3100"/>
      <c r="P397" s="3101"/>
      <c r="Q397" s="3101"/>
      <c r="R397" s="3101"/>
      <c r="S397" s="3102" t="s">
        <v>295</v>
      </c>
      <c r="T397" s="3102" t="s">
        <v>213</v>
      </c>
      <c r="U397" s="3103"/>
      <c r="V397" s="3103" t="s">
        <v>295</v>
      </c>
      <c r="W397" s="3103" t="s">
        <v>6791</v>
      </c>
      <c r="X397" s="3103" t="s">
        <v>6792</v>
      </c>
      <c r="Y397" s="3104" t="s">
        <v>164</v>
      </c>
    </row>
    <row r="398" spans="1:25" ht="24" hidden="1">
      <c r="A398" s="1304"/>
      <c r="B398" s="643"/>
      <c r="C398" s="643" t="s">
        <v>2094</v>
      </c>
      <c r="D398" s="3088">
        <v>3</v>
      </c>
      <c r="E398" s="3089" t="str">
        <f t="shared" si="59"/>
        <v xml:space="preserve">        ----</v>
      </c>
      <c r="F398" s="3090" t="s">
        <v>2095</v>
      </c>
      <c r="G398" s="3091" t="str">
        <f t="shared" si="60"/>
        <v xml:space="preserve">        ----</v>
      </c>
      <c r="H398" s="3092">
        <f ca="1">INDIRECT("Notes!CheckA"&amp;$C398)</f>
        <v>0</v>
      </c>
      <c r="I398" s="3094" t="s">
        <v>6797</v>
      </c>
      <c r="J398" s="3073"/>
      <c r="K398" s="3091" t="str">
        <f t="shared" si="55"/>
        <v xml:space="preserve">        ----</v>
      </c>
      <c r="L398" s="3072">
        <f ca="1">INDIRECT("Notes!CheckB"&amp;$C398)</f>
        <v>0</v>
      </c>
      <c r="M398" s="3094" t="s">
        <v>6797</v>
      </c>
      <c r="N398" s="3073"/>
      <c r="O398" s="3100"/>
      <c r="P398" s="3101"/>
      <c r="Q398" s="3101"/>
      <c r="R398" s="3101"/>
      <c r="S398" s="3102" t="s">
        <v>295</v>
      </c>
      <c r="T398" s="3102" t="s">
        <v>213</v>
      </c>
      <c r="U398" s="3103"/>
      <c r="V398" s="3103" t="s">
        <v>295</v>
      </c>
      <c r="W398" s="3103" t="s">
        <v>6791</v>
      </c>
      <c r="X398" s="3103" t="s">
        <v>6792</v>
      </c>
      <c r="Y398" s="3104" t="s">
        <v>164</v>
      </c>
    </row>
    <row r="399" spans="1:25" ht="24" hidden="1">
      <c r="A399" s="1304"/>
      <c r="B399" s="643"/>
      <c r="C399" s="643" t="s">
        <v>2096</v>
      </c>
      <c r="D399" s="3088">
        <v>3</v>
      </c>
      <c r="E399" s="3089" t="str">
        <f t="shared" si="59"/>
        <v xml:space="preserve">        ----</v>
      </c>
      <c r="F399" s="3090" t="s">
        <v>2097</v>
      </c>
      <c r="G399" s="3091" t="str">
        <f t="shared" si="60"/>
        <v xml:space="preserve">        ----</v>
      </c>
      <c r="H399" s="3092">
        <f ca="1">INDIRECT("Notes!CheckA"&amp;$C399)</f>
        <v>0</v>
      </c>
      <c r="I399" s="3094" t="s">
        <v>6797</v>
      </c>
      <c r="J399" s="3073"/>
      <c r="K399" s="3091" t="str">
        <f t="shared" si="55"/>
        <v xml:space="preserve">        ----</v>
      </c>
      <c r="L399" s="3072">
        <f ca="1">INDIRECT("Notes!CheckB"&amp;$C399)</f>
        <v>0</v>
      </c>
      <c r="M399" s="3094" t="s">
        <v>6797</v>
      </c>
      <c r="N399" s="3073"/>
      <c r="O399" s="3100"/>
      <c r="P399" s="3101"/>
      <c r="Q399" s="3101"/>
      <c r="R399" s="3101"/>
      <c r="S399" s="3102" t="s">
        <v>295</v>
      </c>
      <c r="T399" s="3102" t="s">
        <v>213</v>
      </c>
      <c r="U399" s="3103"/>
      <c r="V399" s="3103" t="s">
        <v>295</v>
      </c>
      <c r="W399" s="3103" t="s">
        <v>6791</v>
      </c>
      <c r="X399" s="3103" t="s">
        <v>6792</v>
      </c>
      <c r="Y399" s="3104" t="s">
        <v>164</v>
      </c>
    </row>
    <row r="400" spans="1:25" ht="24" hidden="1">
      <c r="A400" s="1304"/>
      <c r="B400" s="643"/>
      <c r="C400" s="643" t="s">
        <v>2153</v>
      </c>
      <c r="D400" s="3088">
        <v>3</v>
      </c>
      <c r="E400" s="3089" t="str">
        <f t="shared" si="59"/>
        <v xml:space="preserve">        ----</v>
      </c>
      <c r="F400" s="3090" t="s">
        <v>2154</v>
      </c>
      <c r="G400" s="3091" t="str">
        <f t="shared" si="60"/>
        <v xml:space="preserve">        ----</v>
      </c>
      <c r="H400" s="3092" t="s">
        <v>6793</v>
      </c>
      <c r="I400" s="3094" t="s">
        <v>6797</v>
      </c>
      <c r="J400" s="3073"/>
      <c r="K400" s="3091" t="str">
        <f t="shared" si="55"/>
        <v xml:space="preserve">        ----</v>
      </c>
      <c r="L400" s="3072" t="s">
        <v>6793</v>
      </c>
      <c r="M400" s="3094" t="s">
        <v>6797</v>
      </c>
      <c r="N400" s="3073"/>
      <c r="O400" s="3100"/>
      <c r="P400" s="3101"/>
      <c r="Q400" s="3101"/>
      <c r="R400" s="3101"/>
      <c r="S400" s="3102" t="s">
        <v>295</v>
      </c>
      <c r="T400" s="3102" t="s">
        <v>213</v>
      </c>
      <c r="U400" s="3103"/>
      <c r="V400" s="3103" t="s">
        <v>295</v>
      </c>
      <c r="W400" s="3103" t="s">
        <v>145</v>
      </c>
      <c r="X400" s="3103" t="s">
        <v>6794</v>
      </c>
      <c r="Y400" s="3104" t="s">
        <v>164</v>
      </c>
    </row>
    <row r="401" spans="1:25" ht="24" hidden="1">
      <c r="A401" s="1304"/>
      <c r="B401" s="643"/>
      <c r="C401" s="643" t="s">
        <v>6103</v>
      </c>
      <c r="D401" s="3088">
        <v>3</v>
      </c>
      <c r="E401" s="3089" t="str">
        <f t="shared" si="59"/>
        <v xml:space="preserve">        ----</v>
      </c>
      <c r="F401" s="3090" t="s">
        <v>6102</v>
      </c>
      <c r="G401" s="3091" t="str">
        <f t="shared" si="60"/>
        <v xml:space="preserve">        ----</v>
      </c>
      <c r="H401" s="3092">
        <f ca="1">INDIRECT("Notes!CheckA"&amp;$C401)</f>
        <v>0</v>
      </c>
      <c r="I401" s="3094" t="s">
        <v>6797</v>
      </c>
      <c r="J401" s="3073"/>
      <c r="K401" s="3091" t="str">
        <f t="shared" si="55"/>
        <v xml:space="preserve">        ----</v>
      </c>
      <c r="L401" s="3072">
        <f ca="1">INDIRECT("Notes!CheckB"&amp;$C401)</f>
        <v>0</v>
      </c>
      <c r="M401" s="3094" t="s">
        <v>6797</v>
      </c>
      <c r="N401" s="3073"/>
      <c r="O401" s="3100"/>
      <c r="P401" s="3101"/>
      <c r="Q401" s="3101"/>
      <c r="R401" s="3101"/>
      <c r="S401" s="3102" t="s">
        <v>213</v>
      </c>
      <c r="T401" s="3102" t="s">
        <v>213</v>
      </c>
      <c r="U401" s="3103"/>
      <c r="V401" s="3103" t="s">
        <v>295</v>
      </c>
      <c r="W401" s="3103" t="s">
        <v>6796</v>
      </c>
      <c r="X401" s="3103" t="s">
        <v>6795</v>
      </c>
      <c r="Y401" s="3104" t="s">
        <v>164</v>
      </c>
    </row>
    <row r="402" spans="1:25" ht="24" hidden="1">
      <c r="A402" s="1304"/>
      <c r="B402" s="643"/>
      <c r="C402" s="643" t="s">
        <v>2181</v>
      </c>
      <c r="D402" s="3088">
        <v>3</v>
      </c>
      <c r="E402" s="3089" t="str">
        <f t="shared" si="59"/>
        <v xml:space="preserve">        ----</v>
      </c>
      <c r="F402" s="3090" t="s">
        <v>912</v>
      </c>
      <c r="G402" s="3091" t="str">
        <f t="shared" si="60"/>
        <v xml:space="preserve">        ----</v>
      </c>
      <c r="H402" s="3092">
        <f ca="1">INDIRECT("Notes!CheckA"&amp;$C402)</f>
        <v>0</v>
      </c>
      <c r="I402" s="3094" t="s">
        <v>6797</v>
      </c>
      <c r="J402" s="3073"/>
      <c r="K402" s="3091" t="str">
        <f t="shared" si="55"/>
        <v xml:space="preserve">        ----</v>
      </c>
      <c r="L402" s="3072">
        <f ca="1">INDIRECT("Notes!CheckB"&amp;$C402)</f>
        <v>0</v>
      </c>
      <c r="M402" s="3094" t="s">
        <v>6797</v>
      </c>
      <c r="N402" s="3073"/>
      <c r="O402" s="3100"/>
      <c r="P402" s="3101"/>
      <c r="Q402" s="3101"/>
      <c r="R402" s="3101"/>
      <c r="S402" s="3102" t="s">
        <v>295</v>
      </c>
      <c r="T402" s="3102" t="s">
        <v>213</v>
      </c>
      <c r="U402" s="3103"/>
      <c r="V402" s="3103" t="s">
        <v>295</v>
      </c>
      <c r="W402" s="3103" t="s">
        <v>6791</v>
      </c>
      <c r="X402" s="3103" t="s">
        <v>6794</v>
      </c>
      <c r="Y402" s="3104" t="s">
        <v>164</v>
      </c>
    </row>
    <row r="403" spans="1:25" ht="72" hidden="1">
      <c r="A403" s="1304"/>
      <c r="B403" s="643"/>
      <c r="C403" s="643" t="s">
        <v>2187</v>
      </c>
      <c r="D403" s="150">
        <v>3</v>
      </c>
      <c r="E403" s="1310" t="str">
        <f t="shared" si="59"/>
        <v xml:space="preserve">        ----</v>
      </c>
      <c r="F403" s="163" t="s">
        <v>2188</v>
      </c>
      <c r="G403" s="1311" t="str">
        <f t="shared" si="60"/>
        <v xml:space="preserve">        ----</v>
      </c>
      <c r="H403" s="70" t="s">
        <v>6793</v>
      </c>
      <c r="I403" s="3093" t="s">
        <v>6797</v>
      </c>
      <c r="J403" s="1293"/>
      <c r="K403" s="1311" t="str">
        <f t="shared" si="55"/>
        <v xml:space="preserve">        ----</v>
      </c>
      <c r="L403" s="70" t="s">
        <v>6793</v>
      </c>
      <c r="M403" s="3093" t="s">
        <v>6797</v>
      </c>
      <c r="N403" s="1293"/>
      <c r="O403" s="3100"/>
      <c r="P403" s="3101"/>
      <c r="Q403" s="3101"/>
      <c r="R403" s="3101"/>
      <c r="S403" s="3102" t="s">
        <v>295</v>
      </c>
      <c r="T403" s="3102" t="s">
        <v>213</v>
      </c>
      <c r="U403" s="3103"/>
      <c r="V403" s="3103" t="s">
        <v>295</v>
      </c>
      <c r="W403" s="3103" t="s">
        <v>6791</v>
      </c>
      <c r="X403" s="3103" t="s">
        <v>6794</v>
      </c>
      <c r="Y403" s="3104" t="s">
        <v>164</v>
      </c>
    </row>
    <row r="404" spans="1:25" ht="24" hidden="1">
      <c r="A404" s="1304"/>
      <c r="B404" s="643"/>
      <c r="C404" s="643" t="s">
        <v>2184</v>
      </c>
      <c r="D404" s="150">
        <v>3</v>
      </c>
      <c r="E404" s="1310" t="str">
        <f t="shared" si="59"/>
        <v xml:space="preserve">        ----</v>
      </c>
      <c r="F404" s="163" t="s">
        <v>2185</v>
      </c>
      <c r="G404" s="1311" t="str">
        <f t="shared" si="60"/>
        <v xml:space="preserve">        ----</v>
      </c>
      <c r="H404" s="70" t="s">
        <v>6793</v>
      </c>
      <c r="I404" s="3093" t="s">
        <v>6797</v>
      </c>
      <c r="J404" s="1293"/>
      <c r="K404" s="1311" t="str">
        <f t="shared" si="55"/>
        <v xml:space="preserve">        ----</v>
      </c>
      <c r="L404" s="70" t="s">
        <v>6793</v>
      </c>
      <c r="M404" s="3093" t="s">
        <v>6797</v>
      </c>
      <c r="N404" s="1293"/>
      <c r="O404" s="3100"/>
      <c r="P404" s="3101"/>
      <c r="Q404" s="3101"/>
      <c r="R404" s="3101"/>
      <c r="S404" s="3102" t="s">
        <v>295</v>
      </c>
      <c r="T404" s="3102" t="s">
        <v>213</v>
      </c>
      <c r="U404" s="3103"/>
      <c r="V404" s="3103" t="s">
        <v>295</v>
      </c>
      <c r="W404" s="3103" t="s">
        <v>6791</v>
      </c>
      <c r="X404" s="3103" t="s">
        <v>213</v>
      </c>
      <c r="Y404" s="3104" t="s">
        <v>164</v>
      </c>
    </row>
    <row r="405" spans="1:25" ht="24" hidden="1">
      <c r="A405" s="1304"/>
      <c r="B405" s="643"/>
      <c r="C405" s="643" t="s">
        <v>2190</v>
      </c>
      <c r="D405" s="150">
        <v>3</v>
      </c>
      <c r="E405" s="1310" t="str">
        <f t="shared" si="59"/>
        <v xml:space="preserve">        ----</v>
      </c>
      <c r="F405" s="163" t="s">
        <v>2191</v>
      </c>
      <c r="G405" s="1311" t="str">
        <f t="shared" si="60"/>
        <v xml:space="preserve">        ----</v>
      </c>
      <c r="H405" s="70" t="s">
        <v>6793</v>
      </c>
      <c r="I405" s="3093" t="s">
        <v>6797</v>
      </c>
      <c r="J405" s="1293"/>
      <c r="K405" s="1311" t="str">
        <f t="shared" si="55"/>
        <v xml:space="preserve">        ----</v>
      </c>
      <c r="L405" s="70" t="s">
        <v>6793</v>
      </c>
      <c r="M405" s="3093" t="s">
        <v>6797</v>
      </c>
      <c r="N405" s="1293"/>
      <c r="O405" s="3100"/>
      <c r="P405" s="3101"/>
      <c r="Q405" s="3101"/>
      <c r="R405" s="3101"/>
      <c r="S405" s="3102" t="s">
        <v>295</v>
      </c>
      <c r="T405" s="3102" t="s">
        <v>213</v>
      </c>
      <c r="U405" s="3103"/>
      <c r="V405" s="3103" t="s">
        <v>295</v>
      </c>
      <c r="W405" s="3103" t="s">
        <v>6791</v>
      </c>
      <c r="X405" s="3103" t="s">
        <v>213</v>
      </c>
      <c r="Y405" s="3104"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3" t="s">
        <v>6797</v>
      </c>
      <c r="J406" s="1293"/>
      <c r="K406" s="1311" t="str">
        <f t="shared" si="55"/>
        <v xml:space="preserve">        ----</v>
      </c>
      <c r="L406" s="70">
        <f ca="1">INDIRECT("Notes!CheckB"&amp;$C406)</f>
        <v>0</v>
      </c>
      <c r="M406" s="3093" t="s">
        <v>6797</v>
      </c>
      <c r="N406" s="1293"/>
      <c r="O406" s="3100"/>
      <c r="P406" s="3101"/>
      <c r="Q406" s="3101"/>
      <c r="R406" s="3101"/>
      <c r="S406" s="3102" t="s">
        <v>295</v>
      </c>
      <c r="T406" s="3102" t="s">
        <v>213</v>
      </c>
      <c r="U406" s="3103"/>
      <c r="V406" s="3103" t="s">
        <v>295</v>
      </c>
      <c r="W406" s="3103" t="s">
        <v>6791</v>
      </c>
      <c r="X406" s="3103" t="s">
        <v>213</v>
      </c>
      <c r="Y406" s="3104" t="s">
        <v>164</v>
      </c>
    </row>
    <row r="407" spans="1:25" ht="18" hidden="1">
      <c r="A407" s="1304"/>
      <c r="B407" s="643"/>
      <c r="C407" s="643" t="s">
        <v>2197</v>
      </c>
      <c r="D407" s="150">
        <v>3</v>
      </c>
      <c r="E407" s="1310" t="str">
        <f t="shared" si="59"/>
        <v xml:space="preserve">        ----</v>
      </c>
      <c r="F407" s="163" t="s">
        <v>2198</v>
      </c>
      <c r="G407" s="1311" t="str">
        <f t="shared" si="60"/>
        <v xml:space="preserve">        ----</v>
      </c>
      <c r="H407" s="70" t="s">
        <v>6793</v>
      </c>
      <c r="I407" s="3093" t="s">
        <v>6797</v>
      </c>
      <c r="J407" s="1293"/>
      <c r="K407" s="1311" t="str">
        <f t="shared" si="55"/>
        <v xml:space="preserve">        ----</v>
      </c>
      <c r="L407" s="70" t="s">
        <v>6793</v>
      </c>
      <c r="M407" s="3093" t="s">
        <v>6797</v>
      </c>
      <c r="N407" s="1293"/>
      <c r="O407" s="3100"/>
      <c r="P407" s="3101"/>
      <c r="Q407" s="3101"/>
      <c r="R407" s="3101"/>
      <c r="S407" s="3102" t="s">
        <v>295</v>
      </c>
      <c r="T407" s="3102" t="s">
        <v>213</v>
      </c>
      <c r="U407" s="3103"/>
      <c r="V407" s="3103" t="s">
        <v>295</v>
      </c>
      <c r="W407" s="3103" t="s">
        <v>6791</v>
      </c>
      <c r="X407" s="3103" t="s">
        <v>213</v>
      </c>
      <c r="Y407" s="3104" t="s">
        <v>164</v>
      </c>
    </row>
    <row r="408" spans="1:25" ht="18" hidden="1">
      <c r="A408" s="1304"/>
      <c r="B408" s="643"/>
      <c r="C408" s="643" t="s">
        <v>2200</v>
      </c>
      <c r="D408" s="1313">
        <v>3</v>
      </c>
      <c r="E408" s="1310" t="str">
        <f t="shared" si="59"/>
        <v xml:space="preserve">        ----</v>
      </c>
      <c r="F408" s="163" t="s">
        <v>2201</v>
      </c>
      <c r="G408" s="1314" t="str">
        <f t="shared" si="60"/>
        <v xml:space="preserve">        ----</v>
      </c>
      <c r="H408" s="1315" t="s">
        <v>6793</v>
      </c>
      <c r="I408" s="3093" t="s">
        <v>6797</v>
      </c>
      <c r="J408" s="1293"/>
      <c r="K408" s="1314" t="str">
        <f t="shared" si="55"/>
        <v xml:space="preserve">        ----</v>
      </c>
      <c r="L408" s="1315" t="s">
        <v>6793</v>
      </c>
      <c r="M408" s="3093" t="s">
        <v>6797</v>
      </c>
      <c r="N408" s="1293"/>
      <c r="O408" s="3100"/>
      <c r="P408" s="3101"/>
      <c r="Q408" s="3101"/>
      <c r="R408" s="3101"/>
      <c r="S408" s="3102" t="s">
        <v>295</v>
      </c>
      <c r="T408" s="3102" t="s">
        <v>213</v>
      </c>
      <c r="U408" s="3103"/>
      <c r="V408" s="3103" t="s">
        <v>295</v>
      </c>
      <c r="W408" s="3103" t="s">
        <v>6791</v>
      </c>
      <c r="X408" s="3103" t="s">
        <v>213</v>
      </c>
      <c r="Y408" s="3104" t="s">
        <v>164</v>
      </c>
    </row>
    <row r="409" spans="1:25" ht="18.75" thickBot="1">
      <c r="A409" s="1304"/>
      <c r="B409" s="643"/>
      <c r="C409" s="643"/>
      <c r="D409" s="1316"/>
      <c r="E409" s="1316"/>
      <c r="F409" s="1316"/>
      <c r="G409" s="1316"/>
      <c r="H409" s="1316"/>
      <c r="I409" s="3095"/>
      <c r="J409" s="3095"/>
      <c r="K409" s="1316"/>
      <c r="L409" s="1316"/>
      <c r="M409" s="3095"/>
      <c r="N409" s="3095"/>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fbjUHnHilZtpXQBPQsZidiqKerK+KfNNfjGyTaY4x+vPtiW2hpW0YqpryBiXpl3kWs8A7DNX6UAtrHQswM7++A==" saltValue="0vZyb0lX59HJLQkHnS3m6Q==" spinCount="100000" sheet="1" scenarios="1" formatCells="0" autoFilter="0"/>
  <autoFilter ref="B8:Y408">
    <filterColumn colId="2">
      <filters>
        <filter val="1"/>
      </filters>
    </filterColumn>
  </autoFilter>
  <phoneticPr fontId="163" type="noConversion"/>
  <conditionalFormatting sqref="I9:I408 M9:M408">
    <cfRule type="expression" dxfId="4076"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6"/>
  <sheetViews>
    <sheetView tabSelected="1" topLeftCell="A5027" workbookViewId="0">
      <selection activeCell="O5043" sqref="O5043"/>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北京天马金信供应链管理有限公司</v>
      </c>
      <c r="I2" s="306"/>
      <c r="J2" s="321"/>
      <c r="K2" s="322"/>
      <c r="L2" s="323" t="s">
        <v>2521</v>
      </c>
      <c r="N2" s="324" t="s">
        <v>2501</v>
      </c>
      <c r="O2" s="322"/>
      <c r="P2" s="322"/>
      <c r="Q2" s="2742" t="str">
        <f ca="1">HYPERLINK("#'"&amp;$G$1&amp;"'!"&amp;ADDRESS(ROW(Notes!S12),COLUMN(Notes!S12),4),S12)</f>
        <v>操作提示：</v>
      </c>
      <c r="R2" s="322"/>
      <c r="S2" s="2740" t="s">
        <v>6582</v>
      </c>
      <c r="T2" s="2739" t="s">
        <v>6587</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43864</v>
      </c>
      <c r="O3" s="295" t="s">
        <v>2650</v>
      </c>
      <c r="P3" s="2743" t="s">
        <v>6588</v>
      </c>
      <c r="Q3" s="2742" t="str">
        <f ca="1">HYPERLINK("#'"&amp;$G$1&amp;"'!"&amp;ADDRESS(ROW(Notes!S2),COLUMN(Notes!S2),4),S2)</f>
        <v>自定义标识：</v>
      </c>
      <c r="R3" s="322"/>
      <c r="S3" s="364" t="s">
        <v>6583</v>
      </c>
      <c r="T3" s="2734" t="s">
        <v>6111</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6584</v>
      </c>
      <c r="T4" s="2734" t="s">
        <v>6112</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390620314.17000002</v>
      </c>
      <c r="I7" s="333">
        <f ca="1">SUMIF($J:$J,"附注列报*",$O:$O)</f>
        <v>663008985.07000005</v>
      </c>
      <c r="J7" s="334" t="s">
        <v>2729</v>
      </c>
      <c r="K7" s="335">
        <f ca="1">COUNTIF($L:$L,"#Logical!")+COUNTIF($O:$O,"#Logical!")</f>
        <v>2</v>
      </c>
      <c r="L7" s="336" t="s">
        <v>2730</v>
      </c>
      <c r="M7" s="337">
        <f>COUNTIF($D:$D,"&gt;1")</f>
        <v>0</v>
      </c>
      <c r="N7" s="338" t="s">
        <v>2731</v>
      </c>
      <c r="P7" s="337">
        <f ca="1">COUNTIF($K:$K,"请设置公式")+COUNTIF($N:$N,"请设置公式")</f>
        <v>0</v>
      </c>
      <c r="Q7" s="322"/>
      <c r="R7" s="322"/>
      <c r="S7" s="364" t="s">
        <v>6585</v>
      </c>
      <c r="T7" s="2741" t="s">
        <v>6586</v>
      </c>
      <c r="U7" s="2735"/>
      <c r="V7" s="340" t="s">
        <v>6579</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133</v>
      </c>
      <c r="Q8" s="366"/>
      <c r="R8" s="366"/>
      <c r="S8" s="364"/>
      <c r="U8" s="2736"/>
      <c r="V8" s="340" t="s">
        <v>6580</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4299668.37</v>
      </c>
      <c r="L9" s="342"/>
      <c r="M9" s="306" t="s">
        <v>2741</v>
      </c>
      <c r="N9" s="341">
        <f>VLOOKUP($A9,Sheet_Trialbal,10,0)</f>
        <v>91308.84</v>
      </c>
      <c r="O9" s="342"/>
      <c r="P9" s="301"/>
      <c r="S9" s="364"/>
      <c r="U9" s="2737"/>
      <c r="V9" s="2713" t="s">
        <v>6581</v>
      </c>
      <c r="Z9" s="609" t="s">
        <v>48</v>
      </c>
      <c r="AA9" s="609" t="s">
        <v>5649</v>
      </c>
    </row>
    <row r="10" spans="1:31" ht="18">
      <c r="A10" s="2714" t="s">
        <v>69</v>
      </c>
      <c r="B10" s="371">
        <v>1</v>
      </c>
      <c r="C10" s="371"/>
      <c r="D10" s="2716" t="str">
        <f>VLOOKUP($A10,Sheet_NoteList,2,0)</f>
        <v>货币资金明细项目</v>
      </c>
      <c r="E10" s="2716" t="s">
        <v>6530</v>
      </c>
      <c r="F10" s="294"/>
      <c r="G10" s="307" t="str">
        <f>"("&amp;B10&amp;")"&amp;D10</f>
        <v>(1)货币资金明细项目</v>
      </c>
      <c r="H10" s="1517" t="str">
        <f>$A10</f>
        <v>1015b</v>
      </c>
      <c r="I10" s="343" t="s">
        <v>5124</v>
      </c>
      <c r="J10" s="301" t="s">
        <v>5122</v>
      </c>
      <c r="K10" s="2210">
        <f>H17</f>
        <v>4299668.37</v>
      </c>
      <c r="L10" s="345" t="str">
        <f>IF($I10="适用",IF(ROUND($K$9-K10,2)=0,"F/S",ROUND($K$9-K10,2)),"#N/A")</f>
        <v>F/S</v>
      </c>
      <c r="M10" s="301" t="s">
        <v>5123</v>
      </c>
      <c r="N10" s="2210">
        <f>I17</f>
        <v>91308.84</v>
      </c>
      <c r="O10" s="345" t="str">
        <f>IF($I10="适用",IF(ROUND($N$9-N10,2)=0,"F/S",ROUND($N$9-N10,2)),"#N/A")</f>
        <v>F/S</v>
      </c>
      <c r="P10" s="301"/>
      <c r="Q10" s="290" t="str">
        <f>IF($I10="不适用","",IF(ROUND(SUM($H$13:$I$17),2)=0,"请输入",""))</f>
        <v/>
      </c>
      <c r="S10" s="364"/>
      <c r="U10" s="2738"/>
      <c r="V10" s="2713" t="s">
        <v>6578</v>
      </c>
      <c r="Z10" s="609" t="s">
        <v>48</v>
      </c>
      <c r="AA10" s="609" t="s">
        <v>5649</v>
      </c>
    </row>
    <row r="11" spans="1:31" ht="0.75" customHeight="1" thickBot="1">
      <c r="A11" s="2714"/>
      <c r="B11" s="371"/>
      <c r="C11" s="371"/>
      <c r="D11" s="371"/>
      <c r="F11" s="371"/>
      <c r="G11" s="371" t="s">
        <v>2746</v>
      </c>
      <c r="H11" s="371" t="s">
        <v>2747</v>
      </c>
      <c r="I11" s="371" t="s">
        <v>2748</v>
      </c>
      <c r="J11" s="291"/>
      <c r="K11" s="291"/>
      <c r="L11" s="291"/>
      <c r="M11" s="291"/>
      <c r="Z11" s="609" t="s">
        <v>48</v>
      </c>
      <c r="AA11" s="609" t="s">
        <v>5649</v>
      </c>
    </row>
    <row r="12" spans="1:31" ht="18.75" thickTop="1">
      <c r="A12" s="2714"/>
      <c r="B12" s="371"/>
      <c r="C12" s="371"/>
      <c r="D12" s="371"/>
      <c r="E12" s="2716" t="s">
        <v>2749</v>
      </c>
      <c r="F12" s="294"/>
      <c r="G12" s="1574" t="s">
        <v>47</v>
      </c>
      <c r="H12" s="1454" t="str">
        <f>$V$2&amp;""</f>
        <v>2019年12月31日</v>
      </c>
      <c r="I12" s="1455" t="str">
        <f>$V$3</f>
        <v>2018年12月31日</v>
      </c>
      <c r="J12" s="1532" t="s">
        <v>5265</v>
      </c>
      <c r="K12" s="1530" t="str">
        <f>""&amp;"&gt;期末:"&amp;""</f>
        <v>&gt;期末:</v>
      </c>
      <c r="L12" s="1530" t="str">
        <f>""&amp;"&gt;期初:"&amp;""</f>
        <v>&gt;期初:</v>
      </c>
      <c r="M12" s="291"/>
      <c r="S12" s="365" t="s">
        <v>2727</v>
      </c>
      <c r="Z12" s="609" t="s">
        <v>48</v>
      </c>
      <c r="AA12" s="609" t="s">
        <v>5649</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5649</v>
      </c>
    </row>
    <row r="14" spans="1:31" ht="18">
      <c r="A14" s="2714"/>
      <c r="B14" s="371">
        <v>102</v>
      </c>
      <c r="C14" s="371"/>
      <c r="D14" s="2716">
        <f t="shared" si="0"/>
        <v>1</v>
      </c>
      <c r="E14" s="2721">
        <v>1</v>
      </c>
      <c r="F14" s="294"/>
      <c r="G14" s="308" t="s">
        <v>66</v>
      </c>
      <c r="H14" s="309">
        <v>4299668.37</v>
      </c>
      <c r="I14" s="346">
        <v>91308.84</v>
      </c>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5649</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5649</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5649</v>
      </c>
    </row>
    <row r="17" spans="1:27" ht="18.75" thickBot="1">
      <c r="A17" s="2714"/>
      <c r="B17" s="371"/>
      <c r="C17" s="371"/>
      <c r="D17" s="2716">
        <f t="shared" si="0"/>
        <v>1</v>
      </c>
      <c r="E17" s="2721" t="s">
        <v>2751</v>
      </c>
      <c r="F17" s="294"/>
      <c r="G17" s="374" t="s">
        <v>2752</v>
      </c>
      <c r="H17" s="1478">
        <f>SUMPRODUCT($E12:$E16,H12:H16)</f>
        <v>4299668.37</v>
      </c>
      <c r="I17" s="1479">
        <f>SUMPRODUCT($E12:$E16,I12:I16)</f>
        <v>91308.84</v>
      </c>
      <c r="J17" s="291"/>
      <c r="K17" s="1531">
        <f t="shared" ref="K17:L17" ca="1" si="1">SUM(K13:K16)</f>
        <v>0</v>
      </c>
      <c r="L17" s="1531">
        <f t="shared" ca="1" si="1"/>
        <v>0</v>
      </c>
      <c r="M17" s="291"/>
      <c r="S17" s="364"/>
      <c r="Z17" s="609" t="s">
        <v>48</v>
      </c>
      <c r="AA17" s="609" t="s">
        <v>5649</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5649</v>
      </c>
    </row>
    <row r="19" spans="1:27" ht="18">
      <c r="A19" s="2714"/>
      <c r="B19" s="371"/>
      <c r="C19" s="371" t="s">
        <v>2755</v>
      </c>
      <c r="D19" s="371"/>
      <c r="F19" s="294"/>
      <c r="G19" s="314"/>
      <c r="H19" s="315" t="s">
        <v>3002</v>
      </c>
      <c r="I19" s="315" t="s">
        <v>3002</v>
      </c>
      <c r="J19" s="350"/>
      <c r="K19" s="1539" t="s">
        <v>5366</v>
      </c>
      <c r="L19" s="354"/>
      <c r="M19" s="291"/>
      <c r="N19" s="291"/>
      <c r="S19" s="364"/>
      <c r="Z19" s="609" t="s">
        <v>48</v>
      </c>
      <c r="AA19" s="609" t="s">
        <v>5649</v>
      </c>
    </row>
    <row r="20" spans="1:27" ht="18">
      <c r="A20" s="2714" t="s">
        <v>45</v>
      </c>
      <c r="B20" s="371">
        <v>2</v>
      </c>
      <c r="C20" s="371"/>
      <c r="D20" s="2716" t="str">
        <f>VLOOKUP($A20,Sheet_NoteList,2,0)</f>
        <v>货币资金按币种列示</v>
      </c>
      <c r="E20" s="2716" t="s">
        <v>6531</v>
      </c>
      <c r="F20" s="294"/>
      <c r="G20" s="307" t="str">
        <f>"("&amp;B20&amp;")"&amp;D20</f>
        <v>(2)货币资金按币种列示</v>
      </c>
      <c r="H20" s="1517" t="str">
        <f>$A20</f>
        <v>1015a</v>
      </c>
      <c r="I20" s="343" t="s">
        <v>5363</v>
      </c>
      <c r="J20" s="301" t="s">
        <v>5361</v>
      </c>
      <c r="K20" s="2210">
        <f>J57</f>
        <v>4299668.37</v>
      </c>
      <c r="L20" s="345" t="str">
        <f>IF($I20="适用",IF(ROUND(K9-K20,2)=0,"F/S",ROUND(K9-K20,2)),"#N/A")</f>
        <v>F/S</v>
      </c>
      <c r="M20" s="301" t="s">
        <v>5362</v>
      </c>
      <c r="N20" s="2210">
        <f>M57</f>
        <v>91308.84</v>
      </c>
      <c r="O20" s="345" t="str">
        <f>IF($I20="适用",IF(ROUND(N9-N20,2)=0,"F/S",ROUND(N9-N20,2)),"#N/A")</f>
        <v>F/S</v>
      </c>
      <c r="P20" s="301"/>
      <c r="Q20" s="290" t="str">
        <f>IF($I20="不适用","",IF(ROUND(SUM($H$25:$M$57),2)=0,"请输入",""))</f>
        <v/>
      </c>
      <c r="S20" s="364"/>
      <c r="Z20" s="609" t="s">
        <v>48</v>
      </c>
      <c r="AA20" s="609" t="s">
        <v>5649</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4"/>
      <c r="B23" s="371"/>
      <c r="C23" s="371"/>
      <c r="D23" s="371"/>
      <c r="E23" s="2716" t="s">
        <v>2749</v>
      </c>
      <c r="F23" s="294"/>
      <c r="G23" s="3337" t="s">
        <v>47</v>
      </c>
      <c r="H23" s="3352" t="str">
        <f>$V$2</f>
        <v>2019年12月31日</v>
      </c>
      <c r="I23" s="3353"/>
      <c r="J23" s="3337"/>
      <c r="K23" s="3352" t="str">
        <f>$V$3</f>
        <v>2018年12月31日</v>
      </c>
      <c r="L23" s="3353"/>
      <c r="M23" s="3353"/>
      <c r="N23" s="355" t="s">
        <v>5604</v>
      </c>
      <c r="O23" s="291"/>
      <c r="P23" s="291"/>
      <c r="Q23" s="367"/>
      <c r="R23" s="367"/>
      <c r="S23" s="364"/>
      <c r="Z23" s="609" t="s">
        <v>48</v>
      </c>
      <c r="AA23" s="609" t="s">
        <v>5649</v>
      </c>
    </row>
    <row r="24" spans="1:27" ht="18">
      <c r="A24" s="2714"/>
      <c r="B24" s="371"/>
      <c r="C24" s="371"/>
      <c r="D24" s="371"/>
      <c r="E24" s="2716" t="s">
        <v>2749</v>
      </c>
      <c r="F24" s="294"/>
      <c r="G24" s="3338"/>
      <c r="H24" s="1523" t="s">
        <v>2778</v>
      </c>
      <c r="I24" s="1523" t="s">
        <v>2779</v>
      </c>
      <c r="J24" s="1523" t="s">
        <v>2780</v>
      </c>
      <c r="K24" s="1523" t="s">
        <v>2778</v>
      </c>
      <c r="L24" s="1523" t="s">
        <v>2779</v>
      </c>
      <c r="M24" s="1524" t="s">
        <v>2780</v>
      </c>
      <c r="N24" s="355" t="s">
        <v>5364</v>
      </c>
      <c r="O24" s="1522" t="s">
        <v>5365</v>
      </c>
      <c r="P24" s="291"/>
      <c r="Q24" s="367"/>
      <c r="R24" s="367"/>
      <c r="S24" s="364"/>
      <c r="Z24" s="609" t="s">
        <v>48</v>
      </c>
      <c r="AA24" s="609" t="s">
        <v>5649</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6176</v>
      </c>
      <c r="O25" s="291"/>
      <c r="P25" s="291"/>
      <c r="Q25" s="367"/>
      <c r="R25" s="367"/>
      <c r="S25" s="2727" t="s">
        <v>6176</v>
      </c>
      <c r="Z25" s="609" t="s">
        <v>48</v>
      </c>
      <c r="AA25" s="609" t="s">
        <v>5649</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5649</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5649</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5649</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5649</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5649</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5649</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5649</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6573</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4"/>
      <c r="B35" s="371">
        <v>102.001</v>
      </c>
      <c r="C35" s="371"/>
      <c r="D35" s="2716">
        <f t="shared" si="2"/>
        <v>1</v>
      </c>
      <c r="E35" s="2721" t="s">
        <v>2797</v>
      </c>
      <c r="F35" s="294"/>
      <c r="G35" s="308" t="s">
        <v>2798</v>
      </c>
      <c r="H35" s="309"/>
      <c r="I35" s="360"/>
      <c r="J35" s="346">
        <v>4299668.37</v>
      </c>
      <c r="K35" s="309"/>
      <c r="L35" s="360"/>
      <c r="M35" s="346">
        <v>91308.84</v>
      </c>
      <c r="N35" s="355" t="s">
        <v>2799</v>
      </c>
      <c r="O35" s="291"/>
      <c r="P35" s="291"/>
      <c r="Q35" s="367"/>
      <c r="R35" s="367"/>
      <c r="S35" s="364"/>
      <c r="Z35" s="609" t="s">
        <v>48</v>
      </c>
      <c r="AA35" s="609" t="s">
        <v>5649</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5649</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5649</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5649</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5649</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5649</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5649</v>
      </c>
    </row>
    <row r="42" spans="1:29" ht="18">
      <c r="A42" s="2714"/>
      <c r="B42" s="371">
        <v>102.999</v>
      </c>
      <c r="C42" s="371" t="s">
        <v>2793</v>
      </c>
      <c r="D42" s="2716">
        <f t="shared" si="2"/>
        <v>1</v>
      </c>
      <c r="E42" s="2721">
        <v>1</v>
      </c>
      <c r="F42" s="294"/>
      <c r="G42" s="308" t="s">
        <v>2797</v>
      </c>
      <c r="H42" s="320"/>
      <c r="I42" s="360"/>
      <c r="J42" s="1476">
        <f>SUMIF($E$25:$E$57,$G42,J$25:J$57)</f>
        <v>4299668.37</v>
      </c>
      <c r="K42" s="320"/>
      <c r="L42" s="360"/>
      <c r="M42" s="1477">
        <f>SUMIF($E$25:$E$57,$G42,M$25:M$57)</f>
        <v>91308.84</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6573</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5649</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5649</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5649</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5649</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5649</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5649</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5649</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5649</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5649</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5649</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5649</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5649</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6573</v>
      </c>
    </row>
    <row r="57" spans="1:29" ht="18.75" thickBot="1">
      <c r="A57" s="2714"/>
      <c r="B57" s="371"/>
      <c r="C57" s="371"/>
      <c r="D57" s="2716">
        <f t="shared" si="2"/>
        <v>1</v>
      </c>
      <c r="E57" s="2721" t="s">
        <v>2751</v>
      </c>
      <c r="F57" s="294"/>
      <c r="G57" s="1529" t="s">
        <v>2752</v>
      </c>
      <c r="H57" s="1525"/>
      <c r="I57" s="1526" t="s">
        <v>2783</v>
      </c>
      <c r="J57" s="1527">
        <f>SUMPRODUCT($E24:$E56,J24:J56)</f>
        <v>4299668.37</v>
      </c>
      <c r="K57" s="1525"/>
      <c r="L57" s="1526"/>
      <c r="M57" s="1528">
        <f>SUMPRODUCT($E24:$E56,M24:M56)</f>
        <v>91308.84</v>
      </c>
      <c r="N57" s="291"/>
      <c r="O57" s="291"/>
      <c r="P57" s="291"/>
      <c r="Q57" s="367"/>
      <c r="R57" s="367"/>
      <c r="S57" s="364"/>
      <c r="Z57" s="609" t="s">
        <v>48</v>
      </c>
      <c r="AA57" s="609" t="s">
        <v>5649</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4" t="s">
        <v>88</v>
      </c>
      <c r="B59" s="371">
        <v>3</v>
      </c>
      <c r="C59" s="371"/>
      <c r="D59" s="2716" t="str">
        <f>VLOOKUP($A59,Sheet_NoteList,2,0)</f>
        <v>有回收风险的货币资金</v>
      </c>
      <c r="E59" s="2716" t="s">
        <v>6531</v>
      </c>
      <c r="F59" s="294"/>
      <c r="G59" s="307" t="str">
        <f>"("&amp;B59&amp;")"&amp;D59</f>
        <v>(3)有回收风险的货币资金</v>
      </c>
      <c r="H59" s="1517" t="str">
        <f>$A59</f>
        <v>1015c</v>
      </c>
      <c r="I59" s="343" t="s">
        <v>5571</v>
      </c>
      <c r="J59" s="301" t="s">
        <v>5570</v>
      </c>
      <c r="K59" s="2210">
        <f>H67</f>
        <v>0</v>
      </c>
      <c r="L59" s="345"/>
      <c r="M59" s="301"/>
      <c r="N59" s="391"/>
      <c r="O59" s="345" t="str">
        <f>IF($I59="适用",IF(ROUND(N9-N59,2)&gt;=0,"","#Logical!"),"#N/A")</f>
        <v/>
      </c>
      <c r="P59" s="301"/>
      <c r="S59" s="364"/>
      <c r="Z59" s="609" t="s">
        <v>48</v>
      </c>
      <c r="AA59" s="609" t="s">
        <v>5649</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4"/>
      <c r="B61" s="371"/>
      <c r="C61" s="371"/>
      <c r="D61" s="371"/>
      <c r="E61" s="2716" t="s">
        <v>2749</v>
      </c>
      <c r="F61" s="294"/>
      <c r="G61" s="1621" t="s">
        <v>47</v>
      </c>
      <c r="H61" s="1619" t="str">
        <f>$V$2</f>
        <v>2019年12月31日</v>
      </c>
      <c r="I61" s="1620" t="s">
        <v>2508</v>
      </c>
      <c r="J61" s="355" t="s">
        <v>6176</v>
      </c>
      <c r="K61" s="291"/>
      <c r="L61" s="291"/>
      <c r="M61" s="291"/>
      <c r="N61" s="291"/>
      <c r="S61" s="364"/>
      <c r="Z61" s="609" t="s">
        <v>48</v>
      </c>
      <c r="AA61" s="609" t="s">
        <v>5649</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5649</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5649</v>
      </c>
    </row>
    <row r="64" spans="1:29" ht="18">
      <c r="A64" s="2714"/>
      <c r="B64" s="371">
        <v>103</v>
      </c>
      <c r="C64" s="371"/>
      <c r="D64" s="2716">
        <f t="shared" si="3"/>
        <v>1</v>
      </c>
      <c r="E64" s="2721">
        <v>1</v>
      </c>
      <c r="F64" s="294"/>
      <c r="G64" s="308" t="s">
        <v>2824</v>
      </c>
      <c r="H64" s="1476">
        <f>H18</f>
        <v>0</v>
      </c>
      <c r="I64" s="388"/>
      <c r="J64" s="389" t="s">
        <v>6110</v>
      </c>
      <c r="K64" s="291"/>
      <c r="L64" s="291"/>
      <c r="M64" s="291"/>
      <c r="N64" s="291"/>
      <c r="O64" s="291"/>
      <c r="P64" s="291"/>
      <c r="Q64" s="367"/>
      <c r="R64" s="367"/>
      <c r="S64" s="364"/>
      <c r="Z64" s="609" t="s">
        <v>48</v>
      </c>
      <c r="AA64" s="609" t="s">
        <v>5649</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5649</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5649</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5649</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5649</v>
      </c>
    </row>
    <row r="69" spans="1:27" ht="18">
      <c r="A69" s="2714"/>
      <c r="B69" s="371"/>
      <c r="C69" s="371" t="s">
        <v>2755</v>
      </c>
      <c r="D69" s="371"/>
      <c r="F69" s="294"/>
      <c r="G69" s="314"/>
      <c r="H69" s="315"/>
      <c r="I69" s="393"/>
      <c r="J69" s="350"/>
      <c r="K69" s="291"/>
      <c r="L69" s="291"/>
      <c r="M69" s="291"/>
      <c r="N69" s="291"/>
      <c r="S69" s="364"/>
      <c r="Z69" s="609" t="s">
        <v>48</v>
      </c>
      <c r="AA69" s="609" t="s">
        <v>5649</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5266</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5631</v>
      </c>
      <c r="H75" s="309"/>
      <c r="I75" s="394"/>
      <c r="J75" s="355" t="s">
        <v>5636</v>
      </c>
      <c r="K75" s="392"/>
      <c r="L75" s="393"/>
      <c r="M75" s="315"/>
      <c r="N75" s="392"/>
      <c r="O75" s="393"/>
      <c r="P75" s="315"/>
      <c r="S75" s="364"/>
      <c r="Z75" s="609" t="s">
        <v>137</v>
      </c>
      <c r="AA75" s="609" t="s">
        <v>2827</v>
      </c>
    </row>
    <row r="76" spans="1:27" ht="18">
      <c r="A76" s="2714"/>
      <c r="B76" s="371">
        <v>103</v>
      </c>
      <c r="C76" s="371" t="s">
        <v>6532</v>
      </c>
      <c r="D76" s="2716">
        <f t="shared" si="4"/>
        <v>1</v>
      </c>
      <c r="E76" s="2721">
        <v>0</v>
      </c>
      <c r="F76" s="371"/>
      <c r="G76" s="578" t="s">
        <v>5632</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5633</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6532</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5634</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6532</v>
      </c>
      <c r="D85" s="2716">
        <f t="shared" si="4"/>
        <v>1</v>
      </c>
      <c r="E85" s="2721">
        <v>0</v>
      </c>
      <c r="F85" s="371"/>
      <c r="G85" s="578" t="s">
        <v>5635</v>
      </c>
      <c r="H85" s="309"/>
      <c r="I85" s="394"/>
      <c r="J85" s="355" t="s">
        <v>5638</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5637</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6574</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5650</v>
      </c>
    </row>
    <row r="92" spans="1:27" ht="18">
      <c r="A92" s="2714"/>
      <c r="B92" s="371"/>
      <c r="C92" s="371"/>
      <c r="D92" s="371"/>
      <c r="E92" s="2716" t="s">
        <v>2749</v>
      </c>
      <c r="F92" s="294"/>
      <c r="G92" s="2287" t="s">
        <v>47</v>
      </c>
      <c r="H92" s="1454" t="str">
        <f>$V$2</f>
        <v>2019年12月31日</v>
      </c>
      <c r="I92" s="1455" t="str">
        <f>$V$3</f>
        <v>2018年12月31日</v>
      </c>
      <c r="J92" s="355" t="s">
        <v>5267</v>
      </c>
      <c r="K92" s="291"/>
      <c r="L92" s="291"/>
      <c r="M92" s="291"/>
      <c r="S92" s="364"/>
      <c r="Z92" s="609" t="s">
        <v>108</v>
      </c>
      <c r="AA92" s="609" t="s">
        <v>5650</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5650</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5650</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5650</v>
      </c>
    </row>
    <row r="96" spans="1:27" ht="18">
      <c r="A96" s="2714"/>
      <c r="B96" s="371">
        <v>101.003</v>
      </c>
      <c r="C96" s="371" t="s">
        <v>2791</v>
      </c>
      <c r="D96" s="2716">
        <f t="shared" si="5"/>
        <v>1</v>
      </c>
      <c r="E96" s="2721" t="s">
        <v>2835</v>
      </c>
      <c r="F96" s="294"/>
      <c r="G96" s="578" t="s">
        <v>2838</v>
      </c>
      <c r="H96" s="2277">
        <v>0</v>
      </c>
      <c r="I96" s="346"/>
      <c r="J96" s="355" t="s">
        <v>6124</v>
      </c>
      <c r="K96" s="291"/>
      <c r="L96" s="291"/>
      <c r="M96" s="291"/>
      <c r="N96" s="291"/>
      <c r="O96" s="291"/>
      <c r="P96" s="291"/>
      <c r="Q96" s="367"/>
      <c r="R96" s="367"/>
      <c r="S96" s="364"/>
      <c r="Z96" s="609" t="s">
        <v>108</v>
      </c>
      <c r="AA96" s="609" t="s">
        <v>5650</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5650</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5650</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5650</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5650</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5650</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5650</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5650</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4"/>
      <c r="B107" s="371"/>
      <c r="C107" s="371" t="s">
        <v>2755</v>
      </c>
      <c r="D107" s="371"/>
      <c r="F107" s="294"/>
      <c r="G107" s="301"/>
      <c r="H107" s="315"/>
      <c r="I107" s="315"/>
      <c r="J107" s="291"/>
      <c r="K107" s="291"/>
      <c r="L107" s="291"/>
      <c r="M107" s="291"/>
      <c r="S107" s="364"/>
      <c r="Z107" s="609" t="s">
        <v>108</v>
      </c>
      <c r="AA107" s="609" t="s">
        <v>5650</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5651</v>
      </c>
    </row>
    <row r="111" spans="1:27" ht="18">
      <c r="A111" s="2714"/>
      <c r="B111" s="371"/>
      <c r="C111" s="371"/>
      <c r="D111" s="371"/>
      <c r="E111" s="586" t="s">
        <v>2749</v>
      </c>
      <c r="F111" s="363"/>
      <c r="G111" s="2228" t="s">
        <v>47</v>
      </c>
      <c r="H111" s="2225" t="str">
        <f>$V$2</f>
        <v>2019年12月31日</v>
      </c>
      <c r="I111" s="2226" t="str">
        <f>$V$3</f>
        <v>2018年12月31日</v>
      </c>
      <c r="J111" s="355" t="s">
        <v>5268</v>
      </c>
      <c r="K111" s="291"/>
      <c r="L111" s="291"/>
      <c r="M111" s="291"/>
      <c r="O111" s="355" t="s">
        <v>2847</v>
      </c>
      <c r="P111" s="355"/>
      <c r="S111" s="364"/>
      <c r="Z111" s="609" t="s">
        <v>149</v>
      </c>
      <c r="AA111" s="609" t="s">
        <v>5651</v>
      </c>
    </row>
    <row r="112" spans="1:27" ht="18">
      <c r="A112" s="2714"/>
      <c r="B112" s="371">
        <v>101</v>
      </c>
      <c r="C112" s="371" t="s">
        <v>2791</v>
      </c>
      <c r="D112" s="2716">
        <f t="shared" ref="D112:D117" si="6">IF(OR(G112="*",G112="",G112=0),0,COUNTIF($G$112:$G$117,G112))</f>
        <v>1</v>
      </c>
      <c r="E112" s="2721">
        <v>1</v>
      </c>
      <c r="F112" s="294"/>
      <c r="G112" s="2222" t="s">
        <v>5639</v>
      </c>
      <c r="H112" s="309"/>
      <c r="I112" s="346"/>
      <c r="J112" s="291"/>
      <c r="K112" s="291"/>
      <c r="L112" s="291"/>
      <c r="M112" s="291"/>
      <c r="N112" s="291"/>
      <c r="O112" s="291"/>
      <c r="P112" s="291"/>
      <c r="Q112" s="367"/>
      <c r="R112" s="367"/>
      <c r="S112" s="364"/>
      <c r="Z112" s="609" t="s">
        <v>149</v>
      </c>
      <c r="AA112" s="609" t="s">
        <v>5651</v>
      </c>
    </row>
    <row r="113" spans="1:29" ht="18">
      <c r="A113" s="2714"/>
      <c r="B113" s="371">
        <v>102</v>
      </c>
      <c r="C113" s="371" t="s">
        <v>2791</v>
      </c>
      <c r="D113" s="2716">
        <f t="shared" si="6"/>
        <v>1</v>
      </c>
      <c r="E113" s="2721">
        <v>1</v>
      </c>
      <c r="F113" s="294"/>
      <c r="G113" s="2222" t="s">
        <v>5640</v>
      </c>
      <c r="H113" s="309"/>
      <c r="I113" s="346"/>
      <c r="J113" s="355" t="s">
        <v>5642</v>
      </c>
      <c r="K113" s="291"/>
      <c r="L113" s="291"/>
      <c r="M113" s="291"/>
      <c r="N113" s="291"/>
      <c r="O113" s="291"/>
      <c r="P113" s="291"/>
      <c r="Q113" s="367"/>
      <c r="R113" s="367"/>
      <c r="S113" s="364"/>
      <c r="Z113" s="609" t="s">
        <v>149</v>
      </c>
      <c r="AA113" s="609" t="s">
        <v>5651</v>
      </c>
    </row>
    <row r="114" spans="1:29" ht="18">
      <c r="A114" s="2714"/>
      <c r="B114" s="371">
        <v>103</v>
      </c>
      <c r="C114" s="371" t="s">
        <v>2791</v>
      </c>
      <c r="D114" s="2716">
        <f t="shared" si="6"/>
        <v>1</v>
      </c>
      <c r="E114" s="2721">
        <v>1</v>
      </c>
      <c r="F114" s="294"/>
      <c r="G114" s="2222" t="s">
        <v>5641</v>
      </c>
      <c r="H114" s="309"/>
      <c r="I114" s="346"/>
      <c r="J114" s="291"/>
      <c r="K114" s="291"/>
      <c r="L114" s="291"/>
      <c r="M114" s="291"/>
      <c r="N114" s="291"/>
      <c r="O114" s="291"/>
      <c r="P114" s="291"/>
      <c r="Q114" s="367"/>
      <c r="R114" s="367"/>
      <c r="S114" s="364"/>
      <c r="Z114" s="609" t="s">
        <v>149</v>
      </c>
      <c r="AA114" s="609" t="s">
        <v>5651</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5651</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5651</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5651</v>
      </c>
    </row>
    <row r="118" spans="1:29" ht="18">
      <c r="A118" s="2714"/>
      <c r="B118" s="371"/>
      <c r="C118" s="371" t="s">
        <v>2755</v>
      </c>
      <c r="D118" s="371"/>
      <c r="F118" s="294"/>
      <c r="G118" s="301"/>
      <c r="H118" s="315"/>
      <c r="I118" s="315"/>
      <c r="J118" s="291"/>
      <c r="K118" s="291"/>
      <c r="L118" s="291"/>
      <c r="M118" s="291"/>
      <c r="S118" s="364"/>
      <c r="Z118" s="609" t="s">
        <v>149</v>
      </c>
      <c r="AA118" s="609" t="s">
        <v>5651</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293" t="s">
        <v>6001</v>
      </c>
      <c r="H123" s="3354" t="str">
        <f>$V$2</f>
        <v>2019年12月31日</v>
      </c>
      <c r="I123" s="3236"/>
      <c r="J123" s="3236"/>
      <c r="K123" s="3355" t="str">
        <f>$V$3</f>
        <v>2018年12月31日</v>
      </c>
      <c r="L123" s="3238"/>
      <c r="M123" s="3303"/>
      <c r="N123" s="355" t="s">
        <v>5269</v>
      </c>
      <c r="O123" s="349"/>
      <c r="P123" s="301"/>
      <c r="S123" s="364"/>
      <c r="Z123" s="609" t="s">
        <v>161</v>
      </c>
      <c r="AA123" s="609" t="s">
        <v>2880</v>
      </c>
    </row>
    <row r="124" spans="1:29" ht="18">
      <c r="A124" s="2714"/>
      <c r="B124" s="371"/>
      <c r="C124" s="371"/>
      <c r="D124" s="2716"/>
      <c r="E124" s="586" t="s">
        <v>2749</v>
      </c>
      <c r="F124" s="586"/>
      <c r="G124" s="3294"/>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6608</v>
      </c>
      <c r="F130" s="294"/>
      <c r="G130" s="307" t="str">
        <f>"("&amp;B130&amp;")"&amp;D130</f>
        <v>(1)应收票据分类</v>
      </c>
      <c r="H130" s="1517" t="str">
        <f>$A130</f>
        <v>1121a</v>
      </c>
      <c r="I130" s="343" t="s">
        <v>6611</v>
      </c>
      <c r="J130" s="301" t="s">
        <v>6609</v>
      </c>
      <c r="K130" s="344">
        <f>H136</f>
        <v>0</v>
      </c>
      <c r="L130" s="345" t="str">
        <f>IF($I130="适用",IF(ROUND($K$119-K130,2)=0,"F/S",ROUND($K$119-K130,2)),"#N/A")</f>
        <v>#N/A</v>
      </c>
      <c r="M130" s="301" t="s">
        <v>6610</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5990</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4"/>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6115</v>
      </c>
      <c r="H140" s="2535" t="s">
        <v>6116</v>
      </c>
      <c r="I140" s="355" t="s">
        <v>5269</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4"/>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5269</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4"/>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5991</v>
      </c>
      <c r="I162" s="355" t="s">
        <v>5269</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293" t="s">
        <v>47</v>
      </c>
      <c r="H173" s="3354" t="str">
        <f>$V$2</f>
        <v>2019年12月31日</v>
      </c>
      <c r="I173" s="3354"/>
      <c r="J173" s="3354"/>
      <c r="K173" s="3354"/>
      <c r="L173" s="3239"/>
      <c r="M173" s="355" t="s">
        <v>5269</v>
      </c>
      <c r="N173" s="426"/>
      <c r="O173" s="427"/>
      <c r="P173" s="425"/>
      <c r="Q173" s="442"/>
      <c r="R173" s="443"/>
      <c r="S173" s="364"/>
      <c r="Z173" s="609" t="s">
        <v>161</v>
      </c>
      <c r="AA173" s="609" t="s">
        <v>2880</v>
      </c>
    </row>
    <row r="174" spans="1:29" ht="18">
      <c r="A174" s="2714"/>
      <c r="B174" s="371"/>
      <c r="C174" s="371"/>
      <c r="D174" s="2716"/>
      <c r="E174" s="586" t="s">
        <v>2749</v>
      </c>
      <c r="F174" s="414"/>
      <c r="G174" s="3294"/>
      <c r="H174" s="2237" t="s">
        <v>5992</v>
      </c>
      <c r="I174" s="2237" t="s">
        <v>2888</v>
      </c>
      <c r="J174" s="2237" t="s">
        <v>5993</v>
      </c>
      <c r="K174" s="2239" t="s">
        <v>2889</v>
      </c>
      <c r="L174" s="2240" t="s">
        <v>5994</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6136</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5367</v>
      </c>
      <c r="H185" s="1551" t="str">
        <f>G120</f>
        <v>(1)应收票据分类列示</v>
      </c>
      <c r="I185" s="1551"/>
      <c r="J185" s="1552"/>
      <c r="K185" s="1551"/>
      <c r="L185" s="1552"/>
      <c r="M185" s="1553" t="s">
        <v>5368</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293" t="s">
        <v>5136</v>
      </c>
      <c r="H195" s="3354" t="str">
        <f>$V$2</f>
        <v>2019年12月31日</v>
      </c>
      <c r="I195" s="3236"/>
      <c r="J195" s="3236"/>
      <c r="K195" s="3252"/>
      <c r="L195" s="355" t="s">
        <v>5269</v>
      </c>
      <c r="M195" s="433"/>
      <c r="N195" s="428"/>
      <c r="O195" s="428"/>
      <c r="P195" s="433"/>
      <c r="Q195" s="442"/>
      <c r="R195" s="443"/>
      <c r="S195" s="364"/>
      <c r="Z195" s="609" t="s">
        <v>161</v>
      </c>
      <c r="AA195" s="609" t="s">
        <v>2880</v>
      </c>
    </row>
    <row r="196" spans="1:27" ht="18">
      <c r="A196" s="2714"/>
      <c r="B196" s="371"/>
      <c r="C196" s="371"/>
      <c r="D196" s="2716"/>
      <c r="E196" s="586" t="s">
        <v>2749</v>
      </c>
      <c r="F196" s="414"/>
      <c r="G196" s="3294"/>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5367</v>
      </c>
      <c r="H207" s="1550" t="str">
        <f>G170</f>
        <v>(5)应收票据按坏账计提方法分类披露</v>
      </c>
      <c r="I207" s="1552"/>
      <c r="J207" s="1551"/>
      <c r="K207" s="1551"/>
      <c r="L207" s="1553" t="s">
        <v>5368</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293" t="s">
        <v>5136</v>
      </c>
      <c r="H217" s="3354" t="str">
        <f>$V$2</f>
        <v>2019年12月31日</v>
      </c>
      <c r="I217" s="3236"/>
      <c r="J217" s="3252"/>
      <c r="K217" s="355" t="s">
        <v>5269</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294"/>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5367</v>
      </c>
      <c r="H229" s="1550" t="str">
        <f>G170</f>
        <v>(5)应收票据按坏账计提方法分类披露</v>
      </c>
      <c r="I229" s="1552"/>
      <c r="J229" s="1551"/>
      <c r="K229" s="1553" t="s">
        <v>5368</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6117</v>
      </c>
      <c r="B236" s="371">
        <v>5.3</v>
      </c>
      <c r="C236" s="371"/>
      <c r="D236" s="2716" t="str">
        <f>VLOOKUP($A236,Sheet_NoteList,2,0)</f>
        <v>期末按按组合2计提坏账准备的应收票据</v>
      </c>
      <c r="E236" s="2716" t="s">
        <v>6533</v>
      </c>
      <c r="F236" s="293"/>
      <c r="G236" s="372" t="str">
        <f>"("&amp;B236&amp;")"&amp;D236</f>
        <v>(5.3)期末按按组合2计提坏账准备的应收票据</v>
      </c>
      <c r="H236" s="1517" t="str">
        <f>$A236</f>
        <v>1121n</v>
      </c>
      <c r="I236" s="343" t="s">
        <v>6119</v>
      </c>
      <c r="J236" s="301" t="s">
        <v>6120</v>
      </c>
      <c r="K236" s="2210">
        <f>H249</f>
        <v>0</v>
      </c>
      <c r="L236" s="349" t="str">
        <f>IF($I236="适用",IF(ROUND(K$119-K236,2)=0,"F/S",ROUND(K$119-K236,2)),"#N/A")</f>
        <v>F/S</v>
      </c>
      <c r="M236" s="301" t="s">
        <v>6121</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333" t="s">
        <v>5948</v>
      </c>
      <c r="H239" s="3356" t="str">
        <f>$V$2</f>
        <v>2019年12月31日</v>
      </c>
      <c r="I239" s="3357"/>
      <c r="J239" s="3358"/>
      <c r="K239" s="355" t="s">
        <v>5949</v>
      </c>
      <c r="L239" s="349"/>
      <c r="M239" s="301"/>
      <c r="N239" s="391"/>
      <c r="O239" s="349"/>
      <c r="P239" s="301"/>
      <c r="S239" s="364"/>
      <c r="Z239" s="609" t="s">
        <v>161</v>
      </c>
      <c r="AA239" s="609" t="s">
        <v>2880</v>
      </c>
    </row>
    <row r="240" spans="1:27" ht="18">
      <c r="A240" s="2714"/>
      <c r="B240" s="371"/>
      <c r="C240" s="371"/>
      <c r="D240" s="2716"/>
      <c r="E240" s="586" t="s">
        <v>2749</v>
      </c>
      <c r="F240" s="414"/>
      <c r="G240" s="3334"/>
      <c r="H240" s="2550" t="s">
        <v>2861</v>
      </c>
      <c r="I240" s="2550" t="s">
        <v>2862</v>
      </c>
      <c r="J240" s="2549" t="s">
        <v>2889</v>
      </c>
      <c r="K240" s="355" t="s">
        <v>6176</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293" t="s">
        <v>5135</v>
      </c>
      <c r="H254" s="3354" t="str">
        <f>$V$3</f>
        <v>2018年12月31日</v>
      </c>
      <c r="I254" s="3236" t="s">
        <v>5209</v>
      </c>
      <c r="J254" s="3354" t="str">
        <f>$X$3</f>
        <v>2019年1月1日</v>
      </c>
      <c r="K254" s="3238" t="s">
        <v>2919</v>
      </c>
      <c r="L254" s="3238"/>
      <c r="M254" s="3238"/>
      <c r="N254" s="3242" t="str">
        <f>$V$2</f>
        <v>2019年12月31日</v>
      </c>
      <c r="O254" s="355" t="s">
        <v>5269</v>
      </c>
      <c r="P254" s="433"/>
      <c r="Q254" s="442"/>
      <c r="R254" s="443"/>
      <c r="S254" s="364"/>
      <c r="Z254" s="609" t="s">
        <v>161</v>
      </c>
      <c r="AA254" s="609" t="s">
        <v>2880</v>
      </c>
    </row>
    <row r="255" spans="1:27" ht="18">
      <c r="A255" s="2714"/>
      <c r="B255" s="371"/>
      <c r="C255" s="371"/>
      <c r="D255" s="2716"/>
      <c r="E255" s="586" t="s">
        <v>2749</v>
      </c>
      <c r="F255" s="414"/>
      <c r="G255" s="3294"/>
      <c r="H255" s="3237"/>
      <c r="I255" s="3237"/>
      <c r="J255" s="3237"/>
      <c r="K255" s="2239" t="s">
        <v>5210</v>
      </c>
      <c r="L255" s="2239" t="s">
        <v>5211</v>
      </c>
      <c r="M255" s="2237" t="s">
        <v>5212</v>
      </c>
      <c r="N255" s="3274"/>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5367</v>
      </c>
      <c r="H266" s="1550" t="str">
        <f>G120</f>
        <v>(1)应收票据分类列示</v>
      </c>
      <c r="I266" s="1551"/>
      <c r="J266" s="1551"/>
      <c r="K266" s="1551"/>
      <c r="L266" s="1551"/>
      <c r="M266" s="1551"/>
      <c r="N266" s="1552"/>
      <c r="O266" s="1553" t="s">
        <v>5368</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5269</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5269</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5995</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5269</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5585</v>
      </c>
      <c r="B306" s="371">
        <v>8</v>
      </c>
      <c r="C306" s="371"/>
      <c r="D306" s="2716" t="str">
        <f>VLOOKUP($A306,Sheet_NoteList,2,0)</f>
        <v>外币应收票据</v>
      </c>
      <c r="E306" s="2716" t="s">
        <v>6531</v>
      </c>
      <c r="F306" s="293"/>
      <c r="G306" s="372" t="str">
        <f>"("&amp;B306&amp;")"&amp;D306</f>
        <v>(8)外币应收票据</v>
      </c>
      <c r="H306" s="1517" t="str">
        <f>$A306</f>
        <v>1121m</v>
      </c>
      <c r="I306" s="343" t="s">
        <v>5591</v>
      </c>
      <c r="J306" s="301" t="s">
        <v>5592</v>
      </c>
      <c r="K306" s="2210">
        <f>H314</f>
        <v>0</v>
      </c>
      <c r="L306" s="349" t="str">
        <f>IF($I306="适用",IF(ROUND(K$119-K306,2)=0,"F/S",ROUND(K$119-K306,2)),"#N/A")</f>
        <v>F/S</v>
      </c>
      <c r="M306" s="301" t="s">
        <v>5593</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5604</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5364</v>
      </c>
      <c r="L309" s="1522" t="s">
        <v>5365</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6176</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1200000</v>
      </c>
      <c r="L316" s="342"/>
      <c r="M316" s="306" t="s">
        <v>2741</v>
      </c>
      <c r="N316" s="341">
        <f>VLOOKUP($A316,Sheet_Trialbal,10,0)</f>
        <v>0</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1200000</v>
      </c>
      <c r="L317" s="349" t="str">
        <f>IF($I317="适用",IF(ROUND(K$316-K317,2)=0,"F/S",ROUND(K$316-K317,2)),"#N/A")</f>
        <v>F/S</v>
      </c>
      <c r="M317" s="301" t="s">
        <v>2745</v>
      </c>
      <c r="N317" s="2210">
        <f>I332</f>
        <v>0</v>
      </c>
      <c r="O317" s="349" t="str">
        <f>IF($I317="适用",IF(ROUND(N$316-N317,2)=0,"F/S",ROUND(N$316-N317,2)),"#N/A")</f>
        <v>F/S</v>
      </c>
      <c r="P317" s="301"/>
      <c r="S317" s="364"/>
      <c r="Z317" s="609" t="s">
        <v>273</v>
      </c>
      <c r="AA317" s="609" t="s">
        <v>2935</v>
      </c>
    </row>
    <row r="318" spans="1:27" ht="0.75" customHeight="1" thickBot="1">
      <c r="A318" s="2714"/>
      <c r="B318" s="371"/>
      <c r="C318" s="371"/>
      <c r="D318" s="2716"/>
      <c r="E318" s="586"/>
      <c r="F318" s="586"/>
      <c r="G318" s="2224"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5270</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6534</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v>1200000</v>
      </c>
      <c r="I321" s="394"/>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1200000</v>
      </c>
      <c r="I323" s="1477">
        <f>SUMIF($E$319:$E$331,$G323,I$319:I$331)</f>
        <v>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1200000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1200000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1200000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293" t="s">
        <v>5135</v>
      </c>
      <c r="H337" s="3354" t="str">
        <f>$V$2</f>
        <v>2019年12月31日</v>
      </c>
      <c r="I337" s="3354"/>
      <c r="J337" s="3354"/>
      <c r="K337" s="3354"/>
      <c r="L337" s="3239"/>
      <c r="M337" s="355" t="s">
        <v>5270</v>
      </c>
      <c r="N337" s="428"/>
      <c r="O337" s="428"/>
      <c r="P337" s="433"/>
      <c r="Q337" s="442"/>
      <c r="R337" s="443"/>
      <c r="S337" s="364"/>
      <c r="Z337" s="609" t="s">
        <v>273</v>
      </c>
      <c r="AA337" s="609" t="s">
        <v>2935</v>
      </c>
    </row>
    <row r="338" spans="1:29" ht="18">
      <c r="A338" s="2714"/>
      <c r="B338" s="371"/>
      <c r="C338" s="371"/>
      <c r="D338" s="2716"/>
      <c r="E338" s="586" t="s">
        <v>2749</v>
      </c>
      <c r="F338" s="414"/>
      <c r="G338" s="3294"/>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6573</v>
      </c>
    </row>
    <row r="340" spans="1:29" ht="18">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6136</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1200000</v>
      </c>
      <c r="I343" s="430"/>
      <c r="J343" s="309">
        <f>SUM(J344:J346)</f>
        <v>0</v>
      </c>
      <c r="K343" s="431"/>
      <c r="L343" s="1477">
        <f t="shared" si="27"/>
        <v>1200000</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6943</v>
      </c>
      <c r="H344" s="309">
        <v>1200000</v>
      </c>
      <c r="I344" s="430"/>
      <c r="J344" s="309"/>
      <c r="K344" s="431"/>
      <c r="L344" s="1477">
        <f t="shared" si="27"/>
        <v>1200000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6573</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1200000</v>
      </c>
      <c r="I347" s="2241"/>
      <c r="J347" s="2235">
        <f>SUMPRODUCT($E338:$E346,J338:J346)</f>
        <v>0</v>
      </c>
      <c r="K347" s="2241"/>
      <c r="L347" s="2236">
        <f>SUMPRODUCT($E338:$E346,L338:L346)</f>
        <v>1200000</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5367</v>
      </c>
      <c r="H349" s="1550" t="str">
        <f>G317</f>
        <v>(1)应收账款按账龄披露</v>
      </c>
      <c r="I349" s="1551"/>
      <c r="J349" s="1552"/>
      <c r="K349" s="1551"/>
      <c r="L349" s="1552"/>
      <c r="M349" s="1553" t="s">
        <v>5368</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1200000</v>
      </c>
      <c r="I350" s="351"/>
      <c r="J350" s="2252">
        <f ca="1">HYPERLINK("#'"&amp;$G$1&amp;"'!"&amp;ADDRESS(ROW(Notes!H331),COLUMN(Notes!H331),4),H331)</f>
        <v>0</v>
      </c>
      <c r="K350" s="351"/>
      <c r="L350" s="2252">
        <f ca="1">HYPERLINK("#'"&amp;$G$1&amp;"'!"&amp;ADDRESS(ROW(Notes!H332),COLUMN(Notes!H332),4),H332)</f>
        <v>1200000</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1200000</v>
      </c>
      <c r="I351" s="351"/>
      <c r="J351" s="456">
        <f>J347</f>
        <v>0</v>
      </c>
      <c r="K351" s="351"/>
      <c r="L351" s="456">
        <f>L347</f>
        <v>1200000</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293" t="s">
        <v>5997</v>
      </c>
      <c r="H359" s="3354" t="str">
        <f>$V$2</f>
        <v>2019年12月31日</v>
      </c>
      <c r="I359" s="3236"/>
      <c r="J359" s="3236"/>
      <c r="K359" s="3252"/>
      <c r="L359" s="355" t="s">
        <v>5270</v>
      </c>
      <c r="M359" s="433"/>
      <c r="N359" s="428"/>
      <c r="O359" s="428"/>
      <c r="P359" s="433"/>
      <c r="Q359" s="442"/>
      <c r="R359" s="443"/>
      <c r="S359" s="364"/>
      <c r="Z359" s="609" t="s">
        <v>273</v>
      </c>
      <c r="AA359" s="609" t="s">
        <v>2935</v>
      </c>
    </row>
    <row r="360" spans="1:27" ht="18">
      <c r="A360" s="2714"/>
      <c r="B360" s="371"/>
      <c r="C360" s="371"/>
      <c r="D360" s="2716"/>
      <c r="E360" s="586" t="s">
        <v>2749</v>
      </c>
      <c r="F360" s="414"/>
      <c r="G360" s="3294"/>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5367</v>
      </c>
      <c r="H371" s="1550" t="str">
        <f>G334</f>
        <v>(2.1)应收账款按坏账计提方法分类披露（按简化模型计提）</v>
      </c>
      <c r="I371" s="1552"/>
      <c r="J371" s="1551"/>
      <c r="K371" s="1551"/>
      <c r="L371" s="1553" t="s">
        <v>5368</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293" t="s">
        <v>5137</v>
      </c>
      <c r="H381" s="3354" t="str">
        <f>$V$2</f>
        <v>2019年12月31日</v>
      </c>
      <c r="I381" s="3236"/>
      <c r="J381" s="3252"/>
      <c r="K381" s="355" t="s">
        <v>5270</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294"/>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5367</v>
      </c>
      <c r="H393" s="1550" t="str">
        <f>G334</f>
        <v>(2.1)应收账款按坏账计提方法分类披露（按简化模型计提）</v>
      </c>
      <c r="I393" s="1552"/>
      <c r="J393" s="1551"/>
      <c r="K393" s="1553" t="s">
        <v>5368</v>
      </c>
      <c r="L393" s="427"/>
      <c r="M393" s="425"/>
      <c r="N393" s="426"/>
      <c r="O393" s="427"/>
      <c r="P393" s="425"/>
      <c r="Q393" s="442"/>
      <c r="R393" s="442"/>
      <c r="S393" s="364"/>
      <c r="Z393" s="609" t="s">
        <v>273</v>
      </c>
      <c r="AA393" s="609" t="s">
        <v>2935</v>
      </c>
    </row>
    <row r="394" spans="1:27" ht="24">
      <c r="A394" s="2714"/>
      <c r="B394" s="371"/>
      <c r="C394" s="371" t="s">
        <v>2565</v>
      </c>
      <c r="D394" s="2716"/>
      <c r="F394" s="293"/>
      <c r="G394" s="604" t="str">
        <f>"注释A:"&amp; G344</f>
        <v>注释A:应收合并范围内关联方</v>
      </c>
      <c r="H394" s="2252">
        <f ca="1">HYPERLINK("#'"&amp;$G$1&amp;"'!"&amp;ADDRESS(ROW(Notes!H344),COLUMN(Notes!H344),4),H344)</f>
        <v>1200000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1200000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1200000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339" t="s">
        <v>5962</v>
      </c>
      <c r="H403" s="3359" t="str">
        <f>$V$2</f>
        <v>2019年12月31日</v>
      </c>
      <c r="I403" s="3281"/>
      <c r="J403" s="3277"/>
      <c r="K403" s="355" t="s">
        <v>5949</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340"/>
      <c r="H404" s="2207" t="s">
        <v>2861</v>
      </c>
      <c r="I404" s="2207" t="s">
        <v>2862</v>
      </c>
      <c r="J404" s="2208" t="s">
        <v>2889</v>
      </c>
      <c r="K404" s="355" t="s">
        <v>6176</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6531</v>
      </c>
      <c r="F415" s="293"/>
      <c r="G415" s="372" t="str">
        <f>"("&amp;B415&amp;")"&amp;D415</f>
        <v>(2.24)期末按组合3计提坏账准备的应收账款（简化模型）</v>
      </c>
      <c r="H415" s="2315">
        <f>$A415</f>
        <v>112202</v>
      </c>
      <c r="I415" s="343" t="s">
        <v>5547</v>
      </c>
      <c r="J415" s="301" t="s">
        <v>5548</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5901</v>
      </c>
      <c r="H416" s="371" t="s">
        <v>5902</v>
      </c>
      <c r="I416" s="371" t="s">
        <v>5903</v>
      </c>
      <c r="J416" s="371" t="s">
        <v>5904</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5560</v>
      </c>
      <c r="I417" s="371" t="s">
        <v>5550</v>
      </c>
      <c r="J417" s="371" t="s">
        <v>5551</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339" t="s">
        <v>5948</v>
      </c>
      <c r="H418" s="3359" t="str">
        <f>$V$2</f>
        <v>2019年12月31日</v>
      </c>
      <c r="I418" s="3281"/>
      <c r="J418" s="3277"/>
      <c r="K418" s="355" t="s">
        <v>5949</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340"/>
      <c r="H419" s="2207" t="s">
        <v>2861</v>
      </c>
      <c r="I419" s="2207" t="s">
        <v>2862</v>
      </c>
      <c r="J419" s="2208" t="s">
        <v>2889</v>
      </c>
      <c r="K419" s="355" t="s">
        <v>6176</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t="str">
        <f>IF($I430="适用",IF(ROUND(N$316-N430,2)=0,"F/S",ROUND(N$316-N430,2)),"#N/A")</f>
        <v>F/S</v>
      </c>
      <c r="P430" s="301"/>
      <c r="S430" s="364"/>
      <c r="Z430" s="609" t="s">
        <v>273</v>
      </c>
      <c r="AA430" s="609" t="s">
        <v>2935</v>
      </c>
    </row>
    <row r="431" spans="1:27" ht="0.75" customHeight="1">
      <c r="A431" s="2714"/>
      <c r="B431" s="371"/>
      <c r="C431" s="371"/>
      <c r="D431" s="2716"/>
      <c r="E431" s="586"/>
      <c r="F431" s="586"/>
      <c r="G431" s="2224"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293" t="s">
        <v>5135</v>
      </c>
      <c r="H433" s="3354" t="str">
        <f>$V$3</f>
        <v>2018年12月31日</v>
      </c>
      <c r="I433" s="3354"/>
      <c r="J433" s="3354"/>
      <c r="K433" s="3354"/>
      <c r="L433" s="3239"/>
      <c r="M433" s="355" t="s">
        <v>5270</v>
      </c>
      <c r="N433" s="428"/>
      <c r="O433" s="428"/>
      <c r="P433" s="433"/>
      <c r="Q433" s="442"/>
      <c r="R433" s="443"/>
      <c r="S433" s="364"/>
      <c r="Z433" s="609" t="s">
        <v>273</v>
      </c>
      <c r="AA433" s="609" t="s">
        <v>2935</v>
      </c>
    </row>
    <row r="434" spans="1:29" ht="18">
      <c r="A434" s="2714"/>
      <c r="B434" s="371"/>
      <c r="C434" s="371"/>
      <c r="D434" s="2716"/>
      <c r="E434" s="586" t="s">
        <v>2749</v>
      </c>
      <c r="F434" s="414"/>
      <c r="G434" s="3294"/>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6573</v>
      </c>
    </row>
    <row r="436" spans="1:29" ht="24">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5367</v>
      </c>
      <c r="H441" s="1550" t="str">
        <f>G317</f>
        <v>(1)应收账款按账龄披露</v>
      </c>
      <c r="I441" s="1551"/>
      <c r="J441" s="1552"/>
      <c r="K441" s="1551"/>
      <c r="L441" s="1552"/>
      <c r="M441" s="1553" t="s">
        <v>5368</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6533</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293" t="s">
        <v>3000</v>
      </c>
      <c r="H451" s="3354" t="str">
        <f>$V$3</f>
        <v>2018年12月31日</v>
      </c>
      <c r="I451" s="3236"/>
      <c r="J451" s="3236"/>
      <c r="K451" s="3252"/>
      <c r="L451" s="355" t="s">
        <v>5270</v>
      </c>
      <c r="M451" s="433"/>
      <c r="N451" s="428"/>
      <c r="O451" s="428"/>
      <c r="P451" s="433"/>
      <c r="Q451" s="442"/>
      <c r="R451" s="443"/>
      <c r="S451" s="364"/>
      <c r="Z451" s="609" t="s">
        <v>273</v>
      </c>
      <c r="AA451" s="609" t="s">
        <v>2935</v>
      </c>
    </row>
    <row r="452" spans="1:27" ht="18">
      <c r="A452" s="2714"/>
      <c r="B452" s="371"/>
      <c r="C452" s="371"/>
      <c r="D452" s="2716"/>
      <c r="E452" s="586" t="s">
        <v>2749</v>
      </c>
      <c r="F452" s="414"/>
      <c r="G452" s="3294"/>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5367</v>
      </c>
      <c r="H461" s="1550" t="str">
        <f>G430</f>
        <v>(2.2)应收账款按坏账计提方法分类披露（按已发生损失模型计提）</v>
      </c>
      <c r="I461" s="1552"/>
      <c r="J461" s="1551"/>
      <c r="K461" s="1551"/>
      <c r="L461" s="1553" t="s">
        <v>5368</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6533</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293" t="s">
        <v>5998</v>
      </c>
      <c r="H471" s="3354" t="str">
        <f>$V$3</f>
        <v>2018年12月31日</v>
      </c>
      <c r="I471" s="3236"/>
      <c r="J471" s="3252"/>
      <c r="K471" s="355" t="s">
        <v>5270</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294"/>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4">IF(OR(G473="*",G473="",G473=0),0,COUNTIF($G$473:$G$483,G473))</f>
        <v>1</v>
      </c>
      <c r="E473" s="2721" t="s">
        <v>6534</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6613</v>
      </c>
      <c r="F485" s="294"/>
      <c r="G485" s="307" t="str">
        <f>"("&amp;B485&amp;")"&amp;D485</f>
        <v>(1)应收账款按种类列示</v>
      </c>
      <c r="H485" s="1517" t="str">
        <f>$A485</f>
        <v>1122a</v>
      </c>
      <c r="I485" s="343" t="s">
        <v>6616</v>
      </c>
      <c r="J485" s="301" t="s">
        <v>6614</v>
      </c>
      <c r="K485" s="344">
        <f>L498</f>
        <v>0</v>
      </c>
      <c r="L485" s="345" t="str">
        <f>IF($I485="适用",IF(ROUND($K$316-K485,2)=0,"F/S",ROUND($K$316-K485,2)),"#N/A")</f>
        <v>#N/A</v>
      </c>
      <c r="M485" s="301" t="s">
        <v>6615</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341" t="s">
        <v>2973</v>
      </c>
      <c r="H488" s="3360" t="str">
        <f>$V$2</f>
        <v>2019年12月31日</v>
      </c>
      <c r="I488" s="3283"/>
      <c r="J488" s="3283"/>
      <c r="K488" s="3283"/>
      <c r="L488" s="3284"/>
      <c r="M488" s="424" t="s">
        <v>5990</v>
      </c>
      <c r="N488" s="291"/>
      <c r="O488" s="291"/>
      <c r="P488" s="291"/>
      <c r="S488" s="364"/>
      <c r="Z488" s="609" t="s">
        <v>273</v>
      </c>
      <c r="AA488" s="609" t="s">
        <v>2935</v>
      </c>
      <c r="AE488" s="369" t="s">
        <v>2761</v>
      </c>
    </row>
    <row r="489" spans="1:31" ht="24.75" hidden="1">
      <c r="A489" s="2714"/>
      <c r="B489" s="371"/>
      <c r="C489" s="371"/>
      <c r="D489" s="371"/>
      <c r="E489" s="2716" t="s">
        <v>2749</v>
      </c>
      <c r="F489" s="294"/>
      <c r="G489" s="3336"/>
      <c r="H489" s="448" t="s">
        <v>2861</v>
      </c>
      <c r="I489" s="2573" t="s">
        <v>6125</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6573</v>
      </c>
      <c r="AE490" s="369" t="s">
        <v>2761</v>
      </c>
    </row>
    <row r="491" spans="1:31" ht="24"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6573</v>
      </c>
      <c r="AE492" s="369" t="s">
        <v>2761</v>
      </c>
    </row>
    <row r="493" spans="1:31" ht="18"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6608</v>
      </c>
      <c r="F500" s="294"/>
      <c r="G500" s="372" t="str">
        <f>"("&amp;B500&amp;")"&amp;D500</f>
        <v>(1)应收账款按种类列示（续）</v>
      </c>
      <c r="H500" s="1517" t="str">
        <f>$A500</f>
        <v>1122b</v>
      </c>
      <c r="I500" s="343" t="s">
        <v>6616</v>
      </c>
      <c r="J500" s="301" t="s">
        <v>6615</v>
      </c>
      <c r="K500" s="423"/>
      <c r="L500" s="315"/>
      <c r="M500" s="301" t="s">
        <v>6618</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335" t="s">
        <v>2973</v>
      </c>
      <c r="H503" s="3360" t="str">
        <f>$V$3</f>
        <v>2018年12月31日</v>
      </c>
      <c r="I503" s="3283"/>
      <c r="J503" s="3283"/>
      <c r="K503" s="3283"/>
      <c r="L503" s="3284"/>
      <c r="M503" s="424" t="s">
        <v>5990</v>
      </c>
      <c r="N503" s="291"/>
      <c r="O503" s="291"/>
      <c r="P503" s="291"/>
      <c r="S503" s="364"/>
      <c r="Z503" s="609" t="s">
        <v>273</v>
      </c>
      <c r="AA503" s="609" t="s">
        <v>2935</v>
      </c>
      <c r="AE503" s="369" t="s">
        <v>2761</v>
      </c>
    </row>
    <row r="504" spans="1:31" ht="24.75" hidden="1">
      <c r="A504" s="2714"/>
      <c r="B504" s="371"/>
      <c r="C504" s="371"/>
      <c r="D504" s="371"/>
      <c r="E504" s="2716" t="s">
        <v>2749</v>
      </c>
      <c r="F504" s="294"/>
      <c r="G504" s="3336"/>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6608</v>
      </c>
      <c r="F515" s="294"/>
      <c r="G515" s="372" t="str">
        <f>"("&amp;B515&amp;")"&amp;D515</f>
        <v>(2)期末单项金额重大并单项计提坏账准备的应收账款</v>
      </c>
      <c r="H515" s="1517" t="str">
        <f>$A515</f>
        <v>1122g</v>
      </c>
      <c r="I515" s="343" t="s">
        <v>6616</v>
      </c>
      <c r="J515" s="301" t="s">
        <v>6614</v>
      </c>
      <c r="K515" s="344">
        <f>H526</f>
        <v>0</v>
      </c>
      <c r="L515" s="345"/>
      <c r="M515" s="301" t="s">
        <v>6615</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341" t="s">
        <v>3000</v>
      </c>
      <c r="H518" s="3361" t="str">
        <f>$V$2</f>
        <v>2019年12月31日</v>
      </c>
      <c r="I518" s="3361"/>
      <c r="J518" s="3361"/>
      <c r="K518" s="3362"/>
      <c r="L518" s="424" t="s">
        <v>5990</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332"/>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5367</v>
      </c>
      <c r="H528" s="1550" t="str">
        <f>G485</f>
        <v>(1)应收账款按种类列示</v>
      </c>
      <c r="I528" s="1552"/>
      <c r="J528" s="1551"/>
      <c r="K528" s="1551"/>
      <c r="L528" s="1553" t="s">
        <v>5368</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6608</v>
      </c>
      <c r="F535" s="294"/>
      <c r="G535" s="372" t="str">
        <f>"("&amp;B535&amp;")"&amp;D535</f>
        <v>(3)组合中按账龄分析法计提坏账准备的应收账款</v>
      </c>
      <c r="H535" s="1517" t="str">
        <f>$A535</f>
        <v>1122d</v>
      </c>
      <c r="I535" s="343" t="s">
        <v>6616</v>
      </c>
      <c r="J535" s="301" t="s">
        <v>6615</v>
      </c>
      <c r="K535" s="344"/>
      <c r="L535" s="345"/>
      <c r="M535" s="301" t="s">
        <v>6618</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341" t="s">
        <v>3005</v>
      </c>
      <c r="H538" s="3364" t="str">
        <f>$V$2</f>
        <v>2019年12月31日</v>
      </c>
      <c r="I538" s="3360"/>
      <c r="J538" s="3365"/>
      <c r="K538" s="424" t="s">
        <v>5990</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336"/>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2">IF(OR(G540="*",G540="",G540=0),0,COUNTIF($G$540:$G$550,G540))</f>
        <v>1</v>
      </c>
      <c r="E540" s="2721" t="s">
        <v>6534</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5367</v>
      </c>
      <c r="H552" s="1550" t="str">
        <f>G485</f>
        <v>(1)应收账款按种类列示</v>
      </c>
      <c r="I552" s="1552"/>
      <c r="J552" s="1551"/>
      <c r="K552" s="1553" t="s">
        <v>5368</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6622</v>
      </c>
      <c r="F559" s="294"/>
      <c r="G559" s="372" t="str">
        <f>"("&amp;B559&amp;")"&amp;D559</f>
        <v>(4)组合中采用余额百分比法计提坏账准备的应收账款</v>
      </c>
      <c r="H559" s="1517" t="str">
        <f>$A559</f>
        <v>1122e</v>
      </c>
      <c r="I559" s="343" t="s">
        <v>6616</v>
      </c>
      <c r="J559" s="301" t="s">
        <v>6614</v>
      </c>
      <c r="K559" s="344">
        <f>H567-I567</f>
        <v>0</v>
      </c>
      <c r="L559" s="345" t="str">
        <f>IF($I559="适用",IF(ROUND(K316-K559,2)&gt;=0,"","#Logical!"),"#N/A")</f>
        <v>#N/A</v>
      </c>
      <c r="M559" s="301" t="s">
        <v>6615</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5990</v>
      </c>
      <c r="M561" s="291"/>
      <c r="N561" s="291"/>
      <c r="O561" s="291"/>
      <c r="Q561" s="497"/>
      <c r="S561" s="364"/>
      <c r="Z561" s="609" t="s">
        <v>273</v>
      </c>
      <c r="AA561" s="609" t="s">
        <v>2935</v>
      </c>
      <c r="AE561" s="369" t="s">
        <v>2761</v>
      </c>
    </row>
    <row r="562" spans="1:31" ht="18"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6176</v>
      </c>
      <c r="M562" s="291"/>
      <c r="N562" s="291"/>
      <c r="O562" s="291"/>
      <c r="Q562" s="497"/>
      <c r="S562" s="364"/>
      <c r="Z562" s="609" t="s">
        <v>273</v>
      </c>
      <c r="AA562" s="609" t="s">
        <v>2935</v>
      </c>
      <c r="AE562" s="369" t="s">
        <v>2761</v>
      </c>
    </row>
    <row r="563" spans="1:31" ht="18"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6613</v>
      </c>
      <c r="F569" s="294"/>
      <c r="G569" s="372" t="str">
        <f>"("&amp;B569&amp;")"&amp;D569</f>
        <v>(5)组合中采用其他方法计提坏账准备的应收账款</v>
      </c>
      <c r="H569" s="1517" t="str">
        <f>$A569</f>
        <v>1122f</v>
      </c>
      <c r="I569" s="343" t="s">
        <v>6616</v>
      </c>
      <c r="J569" s="301" t="s">
        <v>6614</v>
      </c>
      <c r="K569" s="344">
        <f>H577-I577</f>
        <v>0</v>
      </c>
      <c r="L569" s="345" t="str">
        <f>IF($I569="适用",IF(ROUND(K$316-K569,2)&gt;=0,"","#Logical!"),"#N/A")</f>
        <v>#N/A</v>
      </c>
      <c r="M569" s="301" t="s">
        <v>6615</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5990</v>
      </c>
      <c r="N571" s="291"/>
      <c r="Q571" s="497"/>
      <c r="S571" s="364"/>
      <c r="Z571" s="609" t="s">
        <v>273</v>
      </c>
      <c r="AA571" s="609" t="s">
        <v>2935</v>
      </c>
      <c r="AE571" s="369" t="s">
        <v>2761</v>
      </c>
    </row>
    <row r="572" spans="1:31" ht="18"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6176</v>
      </c>
      <c r="N572" s="291"/>
      <c r="S572" s="364"/>
      <c r="Z572" s="609" t="s">
        <v>273</v>
      </c>
      <c r="AA572" s="609" t="s">
        <v>2935</v>
      </c>
      <c r="AE572" s="369" t="s">
        <v>2761</v>
      </c>
    </row>
    <row r="573" spans="1:31" ht="18"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8"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8"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8"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8.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293" t="s">
        <v>5135</v>
      </c>
      <c r="H582" s="3354" t="str">
        <f>$V$3</f>
        <v>2018年12月31日</v>
      </c>
      <c r="I582" s="3236" t="s">
        <v>5209</v>
      </c>
      <c r="J582" s="3354" t="str">
        <f>$X$3</f>
        <v>2019年1月1日</v>
      </c>
      <c r="K582" s="3238" t="s">
        <v>2919</v>
      </c>
      <c r="L582" s="3238"/>
      <c r="M582" s="3238"/>
      <c r="N582" s="3242" t="str">
        <f>$V$2</f>
        <v>2019年12月31日</v>
      </c>
      <c r="O582" s="355" t="s">
        <v>5270</v>
      </c>
      <c r="P582" s="433"/>
      <c r="Q582" s="442"/>
      <c r="R582" s="443"/>
      <c r="S582" s="364"/>
      <c r="Z582" s="609" t="s">
        <v>273</v>
      </c>
      <c r="AA582" s="609" t="s">
        <v>2935</v>
      </c>
    </row>
    <row r="583" spans="1:31" ht="18">
      <c r="A583" s="2714"/>
      <c r="B583" s="371"/>
      <c r="C583" s="371"/>
      <c r="D583" s="2716"/>
      <c r="E583" s="586" t="s">
        <v>2749</v>
      </c>
      <c r="F583" s="414"/>
      <c r="G583" s="3294"/>
      <c r="H583" s="3237"/>
      <c r="I583" s="3237"/>
      <c r="J583" s="3237"/>
      <c r="K583" s="2239" t="s">
        <v>5210</v>
      </c>
      <c r="L583" s="2239" t="s">
        <v>5211</v>
      </c>
      <c r="M583" s="2237" t="s">
        <v>5212</v>
      </c>
      <c r="N583" s="3274"/>
      <c r="O583" s="434"/>
      <c r="P583" s="435"/>
      <c r="Q583" s="442"/>
      <c r="R583" s="443"/>
      <c r="S583" s="364"/>
      <c r="Z583" s="609" t="s">
        <v>273</v>
      </c>
      <c r="AA583" s="609" t="s">
        <v>2935</v>
      </c>
    </row>
    <row r="584" spans="1:31" ht="18">
      <c r="A584" s="2714"/>
      <c r="B584" s="371">
        <v>101</v>
      </c>
      <c r="C584" s="371" t="s">
        <v>2791</v>
      </c>
      <c r="D584" s="2716">
        <f t="shared" ref="D584:D592" si="47">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8">
      <c r="A585" s="2714"/>
      <c r="B585" s="371">
        <v>102</v>
      </c>
      <c r="C585" s="371" t="s">
        <v>2791</v>
      </c>
      <c r="D585" s="2716">
        <f t="shared" si="47"/>
        <v>0</v>
      </c>
      <c r="E585" s="2721">
        <v>1</v>
      </c>
      <c r="F585" s="293"/>
      <c r="G585" s="2222" t="s">
        <v>2792</v>
      </c>
      <c r="H585" s="309"/>
      <c r="I585" s="422"/>
      <c r="J585" s="1476">
        <f t="shared" ref="J585:J591" si="48">SUM(H585:I585)</f>
        <v>0</v>
      </c>
      <c r="K585" s="320"/>
      <c r="L585" s="309"/>
      <c r="M585" s="309"/>
      <c r="N585" s="1477">
        <f t="shared" ref="N585:N591" si="49">SUM(J585:K585,-L585,-M585)</f>
        <v>0</v>
      </c>
      <c r="O585" s="437"/>
      <c r="P585" s="438"/>
      <c r="Q585" s="442"/>
      <c r="R585" s="443"/>
      <c r="S585" s="364"/>
      <c r="Z585" s="609" t="s">
        <v>273</v>
      </c>
      <c r="AA585" s="609" t="s">
        <v>2935</v>
      </c>
    </row>
    <row r="586" spans="1:31" ht="18">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8">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8">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8">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8">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8">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8.75" thickBot="1">
      <c r="A592" s="2714"/>
      <c r="B592" s="371"/>
      <c r="C592" s="371"/>
      <c r="D592" s="2716">
        <f t="shared" si="47"/>
        <v>1</v>
      </c>
      <c r="E592" s="2721" t="s">
        <v>2751</v>
      </c>
      <c r="F592" s="293"/>
      <c r="G592" s="2234" t="s">
        <v>5141</v>
      </c>
      <c r="H592" s="2235">
        <f t="shared" ref="H592:N592" si="50">SUMPRODUCT($E583:$E591,H583:H591)</f>
        <v>0</v>
      </c>
      <c r="I592" s="2235">
        <f t="shared" si="50"/>
        <v>0</v>
      </c>
      <c r="J592" s="2235">
        <f t="shared" si="50"/>
        <v>0</v>
      </c>
      <c r="K592" s="2235">
        <f t="shared" si="50"/>
        <v>0</v>
      </c>
      <c r="L592" s="2235">
        <f t="shared" si="50"/>
        <v>0</v>
      </c>
      <c r="M592" s="2235">
        <f t="shared" si="50"/>
        <v>0</v>
      </c>
      <c r="N592" s="2236">
        <f t="shared" si="50"/>
        <v>0</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5367</v>
      </c>
      <c r="H594" s="1550" t="str">
        <f>G317</f>
        <v>(1)应收账款按账龄披露</v>
      </c>
      <c r="I594" s="1551"/>
      <c r="J594" s="1551"/>
      <c r="K594" s="1551"/>
      <c r="L594" s="1551"/>
      <c r="M594" s="1551"/>
      <c r="N594" s="1552"/>
      <c r="O594" s="1553" t="s">
        <v>5368</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4"/>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5999</v>
      </c>
      <c r="J603" s="355" t="s">
        <v>5270</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6415</v>
      </c>
      <c r="H613" s="2535" t="s">
        <v>2925</v>
      </c>
      <c r="I613" s="355" t="s">
        <v>5270</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6535</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4"/>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5270</v>
      </c>
      <c r="N620" s="291"/>
      <c r="O620" s="291"/>
      <c r="S620" s="364"/>
      <c r="Z620" s="609" t="s">
        <v>273</v>
      </c>
      <c r="AA620" s="609" t="s">
        <v>2935</v>
      </c>
    </row>
    <row r="621" spans="1:27" ht="18">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4"/>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5270</v>
      </c>
      <c r="L631" s="291"/>
      <c r="M631" s="291"/>
      <c r="N631" s="291"/>
      <c r="O631" s="291"/>
      <c r="S631" s="364"/>
      <c r="Z631" s="609" t="s">
        <v>273</v>
      </c>
      <c r="AA631" s="609" t="s">
        <v>2935</v>
      </c>
    </row>
    <row r="632" spans="1:27" ht="24">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6000</v>
      </c>
      <c r="L645" s="291"/>
      <c r="M645" s="291"/>
      <c r="N645" s="291"/>
      <c r="O645" s="291"/>
      <c r="S645" s="364"/>
      <c r="Z645" s="609" t="s">
        <v>273</v>
      </c>
      <c r="AA645" s="609" t="s">
        <v>2935</v>
      </c>
    </row>
    <row r="646" spans="1:27" ht="18.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4"/>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5270</v>
      </c>
      <c r="L650" s="291"/>
      <c r="M650" s="291"/>
      <c r="S650" s="364"/>
      <c r="Z650" s="609" t="s">
        <v>273</v>
      </c>
      <c r="AA650" s="609" t="s">
        <v>2935</v>
      </c>
    </row>
    <row r="651" spans="1:27" ht="18">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4"/>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5270</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6531</v>
      </c>
      <c r="F668" s="294"/>
      <c r="G668" s="372" t="str">
        <f>"("&amp;B668&amp;")"&amp;D668</f>
        <v>(8)外币应收账款</v>
      </c>
      <c r="H668" s="1517" t="str">
        <f>$A668</f>
        <v>1122c</v>
      </c>
      <c r="I668" s="343" t="s">
        <v>5573</v>
      </c>
      <c r="J668" s="301" t="s">
        <v>5572</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5604</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7">IF(OR(G671="*",G671="",G671=0),0,COUNTIF($G$671:$G$676,G671))</f>
        <v>1</v>
      </c>
      <c r="E671" s="2721">
        <v>1</v>
      </c>
      <c r="F671" s="294"/>
      <c r="G671" s="1618" t="s">
        <v>3079</v>
      </c>
      <c r="H671" s="309"/>
      <c r="I671" s="360"/>
      <c r="J671" s="346"/>
      <c r="K671" s="355" t="s">
        <v>5364</v>
      </c>
      <c r="L671" s="1522" t="s">
        <v>5365</v>
      </c>
      <c r="M671" s="291"/>
      <c r="N671" s="291"/>
      <c r="O671" s="291"/>
      <c r="P671" s="291"/>
      <c r="Q671" s="367"/>
      <c r="R671" s="367"/>
      <c r="S671" s="364"/>
      <c r="Z671" s="609" t="s">
        <v>273</v>
      </c>
      <c r="AA671" s="609" t="s">
        <v>2935</v>
      </c>
    </row>
    <row r="672" spans="1:27" ht="18">
      <c r="A672" s="2714"/>
      <c r="B672" s="371">
        <v>102</v>
      </c>
      <c r="C672" s="371" t="s">
        <v>2791</v>
      </c>
      <c r="D672" s="2716">
        <f t="shared" si="57"/>
        <v>1</v>
      </c>
      <c r="E672" s="2721">
        <v>1</v>
      </c>
      <c r="F672" s="294"/>
      <c r="G672" s="1618" t="s">
        <v>3080</v>
      </c>
      <c r="H672" s="309"/>
      <c r="I672" s="360"/>
      <c r="J672" s="346"/>
      <c r="K672" s="355" t="s">
        <v>6176</v>
      </c>
      <c r="L672" s="291"/>
      <c r="M672" s="291"/>
      <c r="N672" s="291"/>
      <c r="O672" s="291"/>
      <c r="P672" s="291"/>
      <c r="Q672" s="367"/>
      <c r="R672" s="367"/>
      <c r="S672" s="364"/>
      <c r="Z672" s="609" t="s">
        <v>273</v>
      </c>
      <c r="AA672" s="609" t="s">
        <v>2935</v>
      </c>
    </row>
    <row r="673" spans="1:27" ht="18">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6531</v>
      </c>
      <c r="F678" s="294"/>
      <c r="G678" s="372" t="str">
        <f>"("&amp;B678&amp;")"&amp;D678</f>
        <v>(9)关联方应收应付款项——应收账款</v>
      </c>
      <c r="H678" s="1517" t="str">
        <f>$A678</f>
        <v>1122l</v>
      </c>
      <c r="I678" s="343" t="s">
        <v>5602</v>
      </c>
      <c r="J678" s="301" t="s">
        <v>5600</v>
      </c>
      <c r="K678" s="2210">
        <f>H686-I686</f>
        <v>0</v>
      </c>
      <c r="L678" s="345"/>
      <c r="M678" s="301" t="s">
        <v>5601</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5603</v>
      </c>
      <c r="M680" s="291"/>
      <c r="N680" s="291"/>
      <c r="S680" s="364"/>
      <c r="Z680" s="609" t="s">
        <v>273</v>
      </c>
      <c r="AA680" s="609" t="s">
        <v>2935</v>
      </c>
    </row>
    <row r="681" spans="1:27" ht="18">
      <c r="A681" s="2714"/>
      <c r="B681" s="371">
        <v>101</v>
      </c>
      <c r="C681" s="371" t="s">
        <v>2791</v>
      </c>
      <c r="D681" s="2716">
        <f t="shared" ref="D681:D686" si="58">IF(OR(G681="*",G681="",G681=0),0,COUNTIF($G$681:$G$686,G681))</f>
        <v>0</v>
      </c>
      <c r="E681" s="2721">
        <v>1</v>
      </c>
      <c r="F681" s="294"/>
      <c r="G681" s="1634" t="s">
        <v>2792</v>
      </c>
      <c r="H681" s="309"/>
      <c r="I681" s="309"/>
      <c r="J681" s="309"/>
      <c r="K681" s="346"/>
      <c r="L681" s="355" t="s">
        <v>5364</v>
      </c>
      <c r="M681" s="1522" t="s">
        <v>5605</v>
      </c>
      <c r="N681" s="291"/>
      <c r="S681" s="364"/>
      <c r="Z681" s="609" t="s">
        <v>273</v>
      </c>
      <c r="AA681" s="609" t="s">
        <v>2935</v>
      </c>
    </row>
    <row r="682" spans="1:27" ht="18">
      <c r="A682" s="2714"/>
      <c r="B682" s="371">
        <v>102</v>
      </c>
      <c r="C682" s="371" t="s">
        <v>2791</v>
      </c>
      <c r="D682" s="2716">
        <f t="shared" si="58"/>
        <v>0</v>
      </c>
      <c r="E682" s="2721">
        <v>1</v>
      </c>
      <c r="F682" s="294"/>
      <c r="G682" s="1634" t="s">
        <v>2792</v>
      </c>
      <c r="H682" s="309"/>
      <c r="I682" s="309"/>
      <c r="J682" s="309"/>
      <c r="K682" s="346"/>
      <c r="L682" s="355" t="s">
        <v>6176</v>
      </c>
      <c r="M682" s="291"/>
      <c r="N682" s="291"/>
      <c r="S682" s="364"/>
      <c r="Z682" s="609" t="s">
        <v>273</v>
      </c>
      <c r="AA682" s="609" t="s">
        <v>2935</v>
      </c>
    </row>
    <row r="683" spans="1:27" ht="18">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6531</v>
      </c>
      <c r="F688" s="294"/>
      <c r="G688" s="483" t="str">
        <f>"("&amp;B688&amp;")"&amp;D688</f>
        <v>(10)应收账款补充资料</v>
      </c>
      <c r="H688" s="1517" t="str">
        <f>$A688</f>
        <v>1122x</v>
      </c>
      <c r="I688" s="343" t="s">
        <v>5965</v>
      </c>
      <c r="J688" s="301" t="s">
        <v>5963</v>
      </c>
      <c r="K688" s="2210">
        <f>N695</f>
        <v>0</v>
      </c>
      <c r="L688" s="345"/>
      <c r="M688" s="301" t="s">
        <v>5964</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333" t="s">
        <v>47</v>
      </c>
      <c r="H691" s="3366" t="str">
        <f>$V$3</f>
        <v>2018年12月31日</v>
      </c>
      <c r="I691" s="3281" t="s">
        <v>3027</v>
      </c>
      <c r="J691" s="3281"/>
      <c r="K691" s="3281" t="s">
        <v>3028</v>
      </c>
      <c r="L691" s="3281"/>
      <c r="M691" s="3281"/>
      <c r="N691" s="3275" t="str">
        <f>$V$2</f>
        <v>2019年12月31日</v>
      </c>
      <c r="O691" s="355" t="s">
        <v>6176</v>
      </c>
      <c r="P691" s="291"/>
      <c r="S691" s="364"/>
      <c r="Z691" s="609" t="s">
        <v>273</v>
      </c>
      <c r="AA691" s="609" t="s">
        <v>2935</v>
      </c>
    </row>
    <row r="692" spans="1:27" ht="18">
      <c r="A692" s="2714"/>
      <c r="B692" s="371"/>
      <c r="C692" s="371"/>
      <c r="D692" s="371"/>
      <c r="E692" s="586" t="s">
        <v>2749</v>
      </c>
      <c r="F692" s="363"/>
      <c r="G692" s="3334"/>
      <c r="H692" s="3367"/>
      <c r="I692" s="2207" t="s">
        <v>2920</v>
      </c>
      <c r="J692" s="2207" t="s">
        <v>932</v>
      </c>
      <c r="K692" s="2207" t="s">
        <v>3029</v>
      </c>
      <c r="L692" s="2207" t="s">
        <v>3030</v>
      </c>
      <c r="M692" s="2207" t="s">
        <v>932</v>
      </c>
      <c r="N692" s="3276"/>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6459</v>
      </c>
      <c r="I707" s="371" t="s">
        <v>6460</v>
      </c>
      <c r="J707" s="371" t="s">
        <v>6461</v>
      </c>
      <c r="K707" s="547" t="s">
        <v>6462</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6463</v>
      </c>
      <c r="I708" s="371" t="s">
        <v>6464</v>
      </c>
      <c r="J708" s="371" t="s">
        <v>6465</v>
      </c>
      <c r="K708" s="547" t="s">
        <v>6466</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293" t="s">
        <v>5135</v>
      </c>
      <c r="H709" s="3363" t="str">
        <f>$V$2</f>
        <v>2019年12月31日</v>
      </c>
      <c r="I709" s="3363"/>
      <c r="J709" s="3363"/>
      <c r="K709" s="3344"/>
      <c r="L709" s="355" t="s">
        <v>5271</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294"/>
      <c r="H710" s="2688" t="s">
        <v>6395</v>
      </c>
      <c r="I710" s="2688" t="s">
        <v>6393</v>
      </c>
      <c r="J710" s="2688" t="s">
        <v>5145</v>
      </c>
      <c r="K710" s="2690" t="s">
        <v>6394</v>
      </c>
      <c r="L710" s="1604"/>
      <c r="M710" s="1604"/>
      <c r="N710" s="1604"/>
      <c r="O710" s="1604"/>
      <c r="P710" s="1604"/>
      <c r="Q710" s="1604"/>
      <c r="R710" s="1604"/>
      <c r="S710" s="364"/>
      <c r="Z710" s="609" t="s">
        <v>448</v>
      </c>
      <c r="AA710" s="609" t="s">
        <v>3090</v>
      </c>
    </row>
    <row r="711" spans="1:29" ht="18">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6573</v>
      </c>
    </row>
    <row r="712" spans="1:29" ht="18">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6573</v>
      </c>
    </row>
    <row r="717" spans="1:29" ht="18">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6573</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6467</v>
      </c>
      <c r="I722" s="371" t="s">
        <v>6468</v>
      </c>
      <c r="J722" s="371" t="s">
        <v>6469</v>
      </c>
      <c r="K722" s="547" t="s">
        <v>6470</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6471</v>
      </c>
      <c r="I723" s="371" t="s">
        <v>6472</v>
      </c>
      <c r="J723" s="371" t="s">
        <v>6473</v>
      </c>
      <c r="K723" s="547" t="s">
        <v>6474</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293" t="s">
        <v>6396</v>
      </c>
      <c r="H724" s="3363" t="str">
        <f>$V$2</f>
        <v>2019年12月31日</v>
      </c>
      <c r="I724" s="3363"/>
      <c r="J724" s="3363"/>
      <c r="K724" s="3344"/>
      <c r="L724" s="355" t="s">
        <v>5271</v>
      </c>
      <c r="M724" s="433"/>
      <c r="N724" s="428"/>
      <c r="O724" s="428"/>
      <c r="P724" s="433"/>
      <c r="Q724" s="442"/>
      <c r="R724" s="443"/>
      <c r="S724" s="364"/>
      <c r="Z724" s="609" t="s">
        <v>448</v>
      </c>
      <c r="AA724" s="609" t="s">
        <v>3090</v>
      </c>
    </row>
    <row r="725" spans="1:27" ht="36">
      <c r="A725" s="2714"/>
      <c r="B725" s="371"/>
      <c r="C725" s="371"/>
      <c r="D725" s="2716"/>
      <c r="E725" s="586" t="s">
        <v>2749</v>
      </c>
      <c r="F725" s="414"/>
      <c r="G725" s="3294"/>
      <c r="H725" s="2688" t="s">
        <v>6397</v>
      </c>
      <c r="I725" s="2688" t="s">
        <v>6398</v>
      </c>
      <c r="J725" s="2688" t="s">
        <v>6399</v>
      </c>
      <c r="K725" s="2690" t="s">
        <v>6400</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5367</v>
      </c>
      <c r="H733" s="1550" t="str">
        <f>G706</f>
        <v>(2)应收款项融资——应收票据按减值计提方法分类</v>
      </c>
      <c r="I733" s="1551"/>
      <c r="J733" s="1552"/>
      <c r="K733" s="1551"/>
      <c r="L733" s="1553" t="s">
        <v>5368</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6475</v>
      </c>
      <c r="I741" s="371" t="s">
        <v>6476</v>
      </c>
      <c r="J741" s="371" t="s">
        <v>6477</v>
      </c>
      <c r="K741" s="547" t="s">
        <v>6478</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6479</v>
      </c>
      <c r="I742" s="371" t="s">
        <v>6480</v>
      </c>
      <c r="J742" s="371" t="s">
        <v>6481</v>
      </c>
      <c r="K742" s="547" t="s">
        <v>6482</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293" t="s">
        <v>5136</v>
      </c>
      <c r="H743" s="3363" t="str">
        <f>$V$2</f>
        <v>2019年12月31日</v>
      </c>
      <c r="I743" s="3363"/>
      <c r="J743" s="3363"/>
      <c r="K743" s="3344"/>
      <c r="L743" s="355" t="s">
        <v>5271</v>
      </c>
      <c r="M743" s="433"/>
      <c r="N743" s="428"/>
      <c r="O743" s="428"/>
      <c r="P743" s="433"/>
      <c r="Q743" s="442"/>
      <c r="R743" s="443"/>
      <c r="S743" s="364"/>
      <c r="Z743" s="609" t="s">
        <v>448</v>
      </c>
      <c r="AA743" s="609" t="s">
        <v>3090</v>
      </c>
    </row>
    <row r="744" spans="1:27" ht="36">
      <c r="A744" s="2714"/>
      <c r="B744" s="371"/>
      <c r="C744" s="371"/>
      <c r="D744" s="2716"/>
      <c r="E744" s="586" t="s">
        <v>2749</v>
      </c>
      <c r="F744" s="414"/>
      <c r="G744" s="3294"/>
      <c r="H744" s="2688" t="s">
        <v>6395</v>
      </c>
      <c r="I744" s="2688" t="s">
        <v>6393</v>
      </c>
      <c r="J744" s="2688" t="s">
        <v>5145</v>
      </c>
      <c r="K744" s="2690" t="s">
        <v>6394</v>
      </c>
      <c r="L744" s="355" t="s">
        <v>6391</v>
      </c>
      <c r="M744" s="435"/>
      <c r="N744" s="434"/>
      <c r="O744" s="434"/>
      <c r="P744" s="435"/>
      <c r="Q744" s="442"/>
      <c r="R744" s="443"/>
      <c r="S744" s="364"/>
      <c r="Z744" s="609" t="s">
        <v>448</v>
      </c>
      <c r="AA744" s="609" t="s">
        <v>3090</v>
      </c>
    </row>
    <row r="745" spans="1:27" ht="18">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5367</v>
      </c>
      <c r="H755" s="1550" t="str">
        <f>G706</f>
        <v>(2)应收款项融资——应收票据按减值计提方法分类</v>
      </c>
      <c r="I755" s="1551"/>
      <c r="J755" s="1552"/>
      <c r="K755" s="1551"/>
      <c r="L755" s="1553" t="s">
        <v>5368</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6533</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5468</v>
      </c>
      <c r="H763" s="371" t="s">
        <v>6483</v>
      </c>
      <c r="I763" s="371" t="s">
        <v>6484</v>
      </c>
      <c r="J763" s="371" t="s">
        <v>6485</v>
      </c>
      <c r="K763" s="547" t="s">
        <v>6486</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6487</v>
      </c>
      <c r="I764" s="371" t="s">
        <v>6488</v>
      </c>
      <c r="J764" s="371" t="s">
        <v>6489</v>
      </c>
      <c r="K764" s="547" t="s">
        <v>6490</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333" t="s">
        <v>5948</v>
      </c>
      <c r="H765" s="3356" t="str">
        <f>$V$2</f>
        <v>2019年12月31日</v>
      </c>
      <c r="I765" s="3356"/>
      <c r="J765" s="3356"/>
      <c r="K765" s="3377"/>
      <c r="L765" s="355" t="s">
        <v>5949</v>
      </c>
      <c r="M765" s="433"/>
      <c r="N765" s="428"/>
      <c r="O765" s="428"/>
      <c r="P765" s="433"/>
      <c r="Q765" s="442"/>
      <c r="R765" s="443"/>
      <c r="S765" s="364"/>
      <c r="Z765" s="609" t="s">
        <v>448</v>
      </c>
      <c r="AA765" s="609" t="s">
        <v>3090</v>
      </c>
    </row>
    <row r="766" spans="1:27" ht="36">
      <c r="A766" s="2714"/>
      <c r="B766" s="371"/>
      <c r="C766" s="371"/>
      <c r="D766" s="2716"/>
      <c r="E766" s="586" t="s">
        <v>2749</v>
      </c>
      <c r="F766" s="414"/>
      <c r="G766" s="3334"/>
      <c r="H766" s="2693" t="s">
        <v>6395</v>
      </c>
      <c r="I766" s="2693" t="s">
        <v>6393</v>
      </c>
      <c r="J766" s="2693" t="s">
        <v>5145</v>
      </c>
      <c r="K766" s="2697" t="s">
        <v>6394</v>
      </c>
      <c r="L766" s="355" t="s">
        <v>6176</v>
      </c>
      <c r="M766" s="1511"/>
      <c r="N766" s="434"/>
      <c r="O766" s="434"/>
      <c r="P766" s="1511"/>
      <c r="Q766" s="442"/>
      <c r="R766" s="443"/>
      <c r="S766" s="364"/>
      <c r="Z766" s="609" t="s">
        <v>448</v>
      </c>
      <c r="AA766" s="609" t="s">
        <v>3090</v>
      </c>
    </row>
    <row r="767" spans="1:27" ht="18">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6370</v>
      </c>
      <c r="B777" s="371">
        <v>3</v>
      </c>
      <c r="C777" s="371"/>
      <c r="D777" s="2716" t="str">
        <f>VLOOKUP($A777,Sheet_NoteList,2,0)</f>
        <v>应收款项融资——应收账款按减值计提方法分类</v>
      </c>
      <c r="E777" s="2716" t="s">
        <v>6531</v>
      </c>
      <c r="F777" s="293"/>
      <c r="G777" s="372" t="str">
        <f>"("&amp;B777&amp;")"&amp;D777</f>
        <v>(3)应收款项融资——应收账款按减值计提方法分类</v>
      </c>
      <c r="H777" s="1517" t="str">
        <f>$A777</f>
        <v>1124g</v>
      </c>
      <c r="I777" s="343" t="s">
        <v>6383</v>
      </c>
      <c r="J777" s="301" t="s">
        <v>6384</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6385</v>
      </c>
      <c r="H778" s="371" t="s">
        <v>6491</v>
      </c>
      <c r="I778" s="371" t="s">
        <v>6492</v>
      </c>
      <c r="J778" s="371" t="s">
        <v>6493</v>
      </c>
      <c r="K778" s="547" t="s">
        <v>6494</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6495</v>
      </c>
      <c r="I779" s="371" t="s">
        <v>6496</v>
      </c>
      <c r="J779" s="371" t="s">
        <v>6497</v>
      </c>
      <c r="K779" s="547" t="s">
        <v>6498</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293" t="s">
        <v>5135</v>
      </c>
      <c r="H780" s="3363" t="str">
        <f>$V$2</f>
        <v>2019年12月31日</v>
      </c>
      <c r="I780" s="3363"/>
      <c r="J780" s="3363"/>
      <c r="K780" s="3344"/>
      <c r="L780" s="355" t="s">
        <v>5271</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294"/>
      <c r="H781" s="2688" t="s">
        <v>6395</v>
      </c>
      <c r="I781" s="2688" t="s">
        <v>6393</v>
      </c>
      <c r="J781" s="2688" t="s">
        <v>5145</v>
      </c>
      <c r="K781" s="2690" t="s">
        <v>6394</v>
      </c>
      <c r="L781" s="1604"/>
      <c r="M781" s="1604"/>
      <c r="N781" s="1604"/>
      <c r="O781" s="1604"/>
      <c r="P781" s="1604"/>
      <c r="Q781" s="1604"/>
      <c r="R781" s="1604"/>
      <c r="S781" s="364"/>
      <c r="Z781" s="609" t="s">
        <v>448</v>
      </c>
      <c r="AA781" s="609" t="s">
        <v>3090</v>
      </c>
    </row>
    <row r="782" spans="1:29" ht="18">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6573</v>
      </c>
    </row>
    <row r="783" spans="1:29" ht="18">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6573</v>
      </c>
    </row>
    <row r="788" spans="1:29" ht="18">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6371</v>
      </c>
      <c r="B792" s="371">
        <v>3.1</v>
      </c>
      <c r="C792" s="371"/>
      <c r="D792" s="2716" t="str">
        <f>VLOOKUP($A792,Sheet_NoteList,2,0)</f>
        <v>期末按单项计提减值准备的应收款项融资——应收账款</v>
      </c>
      <c r="E792" s="2716" t="s">
        <v>6531</v>
      </c>
      <c r="F792" s="293"/>
      <c r="G792" s="372" t="str">
        <f>"("&amp;B792&amp;")"&amp;D792</f>
        <v>(3.1)期末按单项计提减值准备的应收款项融资——应收账款</v>
      </c>
      <c r="H792" s="1517" t="str">
        <f>$A792</f>
        <v>1124h</v>
      </c>
      <c r="I792" s="343" t="s">
        <v>6383</v>
      </c>
      <c r="J792" s="301" t="s">
        <v>6384</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6386</v>
      </c>
      <c r="H793" s="371" t="s">
        <v>6499</v>
      </c>
      <c r="I793" s="371" t="s">
        <v>6500</v>
      </c>
      <c r="J793" s="371" t="s">
        <v>6501</v>
      </c>
      <c r="K793" s="547" t="s">
        <v>6502</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6503</v>
      </c>
      <c r="I794" s="371" t="s">
        <v>6504</v>
      </c>
      <c r="J794" s="371" t="s">
        <v>6505</v>
      </c>
      <c r="K794" s="547" t="s">
        <v>6506</v>
      </c>
      <c r="L794" s="349"/>
      <c r="M794" s="301"/>
      <c r="N794" s="391"/>
      <c r="O794" s="349"/>
      <c r="P794" s="301"/>
      <c r="S794" s="364"/>
      <c r="Z794" s="609" t="s">
        <v>448</v>
      </c>
      <c r="AA794" s="609" t="s">
        <v>3090</v>
      </c>
    </row>
    <row r="795" spans="1:29" ht="18" customHeight="1">
      <c r="A795" s="2714"/>
      <c r="B795" s="371"/>
      <c r="C795" s="371"/>
      <c r="D795" s="2716"/>
      <c r="E795" s="586" t="s">
        <v>2749</v>
      </c>
      <c r="F795" s="414"/>
      <c r="G795" s="3293" t="s">
        <v>5136</v>
      </c>
      <c r="H795" s="3363" t="str">
        <f>$V$2</f>
        <v>2019年12月31日</v>
      </c>
      <c r="I795" s="3363"/>
      <c r="J795" s="3363"/>
      <c r="K795" s="3344"/>
      <c r="L795" s="355" t="s">
        <v>5271</v>
      </c>
      <c r="M795" s="301"/>
      <c r="N795" s="391"/>
      <c r="O795" s="349"/>
      <c r="P795" s="301"/>
      <c r="S795" s="364"/>
      <c r="Z795" s="609" t="s">
        <v>448</v>
      </c>
      <c r="AA795" s="609" t="s">
        <v>3090</v>
      </c>
    </row>
    <row r="796" spans="1:29" ht="36">
      <c r="A796" s="2714"/>
      <c r="B796" s="371"/>
      <c r="C796" s="371"/>
      <c r="D796" s="2716"/>
      <c r="E796" s="586" t="s">
        <v>2749</v>
      </c>
      <c r="F796" s="414"/>
      <c r="G796" s="3294"/>
      <c r="H796" s="2688" t="s">
        <v>6395</v>
      </c>
      <c r="I796" s="2688" t="s">
        <v>6393</v>
      </c>
      <c r="J796" s="2688" t="s">
        <v>5145</v>
      </c>
      <c r="K796" s="2690" t="s">
        <v>6394</v>
      </c>
      <c r="L796" s="349"/>
      <c r="M796" s="301"/>
      <c r="N796" s="391"/>
      <c r="O796" s="349"/>
      <c r="P796" s="301"/>
      <c r="S796" s="364"/>
      <c r="Z796" s="609" t="s">
        <v>448</v>
      </c>
      <c r="AA796" s="609" t="s">
        <v>3090</v>
      </c>
    </row>
    <row r="797" spans="1:29" ht="18">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5367</v>
      </c>
      <c r="H804" s="1550" t="str">
        <f>G777</f>
        <v>(3)应收款项融资——应收账款按减值计提方法分类</v>
      </c>
      <c r="I804" s="1551"/>
      <c r="J804" s="1552"/>
      <c r="K804" s="1551"/>
      <c r="L804" s="1553" t="s">
        <v>5368</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6371</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6372</v>
      </c>
      <c r="B811" s="371">
        <v>3.2</v>
      </c>
      <c r="C811" s="371"/>
      <c r="D811" s="2716" t="str">
        <f>VLOOKUP($A811,Sheet_NoteList,2,0)</f>
        <v>期末按按组合1计提减值准备的应收款项融资——应收账款</v>
      </c>
      <c r="E811" s="2716" t="s">
        <v>6533</v>
      </c>
      <c r="F811" s="293"/>
      <c r="G811" s="372" t="str">
        <f>"("&amp;B811&amp;")"&amp;D811</f>
        <v>(3.2)期末按按组合1计提减值准备的应收款项融资——应收账款</v>
      </c>
      <c r="H811" s="1517" t="str">
        <f>$A811</f>
        <v>1124i</v>
      </c>
      <c r="I811" s="343" t="s">
        <v>6387</v>
      </c>
      <c r="J811" s="301" t="s">
        <v>6388</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6389</v>
      </c>
      <c r="H812" s="371" t="s">
        <v>6507</v>
      </c>
      <c r="I812" s="371" t="s">
        <v>6508</v>
      </c>
      <c r="J812" s="371" t="s">
        <v>6509</v>
      </c>
      <c r="K812" s="547" t="s">
        <v>6510</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6511</v>
      </c>
      <c r="I813" s="371" t="s">
        <v>6512</v>
      </c>
      <c r="J813" s="371" t="s">
        <v>6513</v>
      </c>
      <c r="K813" s="547" t="s">
        <v>6514</v>
      </c>
      <c r="L813" s="349"/>
      <c r="M813" s="301"/>
      <c r="N813" s="391"/>
      <c r="O813" s="349"/>
      <c r="P813" s="301"/>
      <c r="S813" s="364"/>
      <c r="Z813" s="609" t="s">
        <v>448</v>
      </c>
      <c r="AA813" s="609" t="s">
        <v>3090</v>
      </c>
    </row>
    <row r="814" spans="1:27" ht="18" customHeight="1">
      <c r="A814" s="2714"/>
      <c r="B814" s="371"/>
      <c r="C814" s="371"/>
      <c r="D814" s="2716"/>
      <c r="E814" s="586" t="s">
        <v>2749</v>
      </c>
      <c r="F814" s="414"/>
      <c r="G814" s="3293" t="s">
        <v>5136</v>
      </c>
      <c r="H814" s="3363" t="str">
        <f>$V$2</f>
        <v>2019年12月31日</v>
      </c>
      <c r="I814" s="3363"/>
      <c r="J814" s="3363"/>
      <c r="K814" s="3344"/>
      <c r="L814" s="355" t="s">
        <v>5271</v>
      </c>
      <c r="M814" s="301"/>
      <c r="N814" s="391"/>
      <c r="O814" s="349"/>
      <c r="P814" s="301"/>
      <c r="S814" s="364"/>
      <c r="Z814" s="609" t="s">
        <v>448</v>
      </c>
      <c r="AA814" s="609" t="s">
        <v>3090</v>
      </c>
    </row>
    <row r="815" spans="1:27" ht="36">
      <c r="A815" s="2714"/>
      <c r="B815" s="371"/>
      <c r="C815" s="371"/>
      <c r="D815" s="2716"/>
      <c r="E815" s="586" t="s">
        <v>2749</v>
      </c>
      <c r="F815" s="414"/>
      <c r="G815" s="3294"/>
      <c r="H815" s="2688" t="s">
        <v>6395</v>
      </c>
      <c r="I815" s="2688" t="s">
        <v>6393</v>
      </c>
      <c r="J815" s="2688" t="s">
        <v>5145</v>
      </c>
      <c r="K815" s="2690" t="s">
        <v>6394</v>
      </c>
      <c r="L815" s="355" t="s">
        <v>6391</v>
      </c>
      <c r="M815" s="301"/>
      <c r="N815" s="391"/>
      <c r="O815" s="349"/>
      <c r="P815" s="301"/>
      <c r="S815" s="364"/>
      <c r="Z815" s="609" t="s">
        <v>448</v>
      </c>
      <c r="AA815" s="609" t="s">
        <v>3090</v>
      </c>
    </row>
    <row r="816" spans="1:27" ht="18">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5367</v>
      </c>
      <c r="H826" s="1550" t="str">
        <f>G777</f>
        <v>(3)应收款项融资——应收账款按减值计提方法分类</v>
      </c>
      <c r="I826" s="1551"/>
      <c r="J826" s="1552"/>
      <c r="K826" s="1551"/>
      <c r="L826" s="1553" t="s">
        <v>5368</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6372</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6373</v>
      </c>
      <c r="B833" s="371">
        <v>3.3</v>
      </c>
      <c r="C833" s="371"/>
      <c r="D833" s="2716" t="str">
        <f>VLOOKUP($A833,Sheet_NoteList,2,0)</f>
        <v>期末按按组合2计提减值准备的应收款项融资——应收账款</v>
      </c>
      <c r="E833" s="2716" t="s">
        <v>6533</v>
      </c>
      <c r="F833" s="293"/>
      <c r="G833" s="372" t="str">
        <f>"("&amp;B833&amp;")"&amp;D833</f>
        <v>(3.3)期末按按组合2计提减值准备的应收款项融资——应收账款</v>
      </c>
      <c r="H833" s="1517" t="str">
        <f>$A833</f>
        <v>1124j</v>
      </c>
      <c r="I833" s="343" t="s">
        <v>6383</v>
      </c>
      <c r="J833" s="301" t="s">
        <v>6384</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6390</v>
      </c>
      <c r="H834" s="371" t="s">
        <v>6515</v>
      </c>
      <c r="I834" s="371" t="s">
        <v>6516</v>
      </c>
      <c r="J834" s="371" t="s">
        <v>6517</v>
      </c>
      <c r="K834" s="547" t="s">
        <v>6518</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6519</v>
      </c>
      <c r="I835" s="371" t="s">
        <v>6520</v>
      </c>
      <c r="J835" s="371" t="s">
        <v>6521</v>
      </c>
      <c r="K835" s="547" t="s">
        <v>6522</v>
      </c>
      <c r="L835" s="349"/>
      <c r="M835" s="301"/>
      <c r="N835" s="391"/>
      <c r="O835" s="349"/>
      <c r="P835" s="301"/>
      <c r="S835" s="364"/>
      <c r="Z835" s="609" t="s">
        <v>448</v>
      </c>
      <c r="AA835" s="609" t="s">
        <v>3090</v>
      </c>
    </row>
    <row r="836" spans="1:27" ht="18" customHeight="1">
      <c r="A836" s="2714"/>
      <c r="B836" s="371"/>
      <c r="C836" s="371"/>
      <c r="D836" s="2716"/>
      <c r="E836" s="586" t="s">
        <v>2749</v>
      </c>
      <c r="F836" s="414"/>
      <c r="G836" s="3333" t="s">
        <v>5948</v>
      </c>
      <c r="H836" s="3356" t="str">
        <f>$V$2</f>
        <v>2019年12月31日</v>
      </c>
      <c r="I836" s="3356"/>
      <c r="J836" s="3356"/>
      <c r="K836" s="3377"/>
      <c r="L836" s="355" t="s">
        <v>5949</v>
      </c>
      <c r="M836" s="301"/>
      <c r="N836" s="391"/>
      <c r="O836" s="349"/>
      <c r="P836" s="301"/>
      <c r="S836" s="364"/>
      <c r="Z836" s="609" t="s">
        <v>448</v>
      </c>
      <c r="AA836" s="609" t="s">
        <v>3090</v>
      </c>
    </row>
    <row r="837" spans="1:27" ht="36">
      <c r="A837" s="2714"/>
      <c r="B837" s="371"/>
      <c r="C837" s="371"/>
      <c r="D837" s="2716"/>
      <c r="E837" s="586" t="s">
        <v>2749</v>
      </c>
      <c r="F837" s="414"/>
      <c r="G837" s="3334"/>
      <c r="H837" s="2693" t="s">
        <v>6395</v>
      </c>
      <c r="I837" s="2693" t="s">
        <v>6393</v>
      </c>
      <c r="J837" s="2693" t="s">
        <v>5145</v>
      </c>
      <c r="K837" s="2697" t="s">
        <v>6394</v>
      </c>
      <c r="L837" s="355" t="s">
        <v>6176</v>
      </c>
      <c r="M837" s="301"/>
      <c r="N837" s="391"/>
      <c r="O837" s="349"/>
      <c r="P837" s="301"/>
      <c r="S837" s="364"/>
      <c r="Z837" s="609" t="s">
        <v>448</v>
      </c>
      <c r="AA837" s="609" t="s">
        <v>3090</v>
      </c>
    </row>
    <row r="838" spans="1:27" ht="18">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293" t="s">
        <v>5135</v>
      </c>
      <c r="H851" s="3234" t="str">
        <f>$V$3</f>
        <v>2018年12月31日</v>
      </c>
      <c r="I851" s="3236" t="s">
        <v>5209</v>
      </c>
      <c r="J851" s="3234" t="str">
        <f>$X$3</f>
        <v>2019年1月1日</v>
      </c>
      <c r="K851" s="3238" t="s">
        <v>2919</v>
      </c>
      <c r="L851" s="3238"/>
      <c r="M851" s="3238"/>
      <c r="N851" s="3217" t="str">
        <f>$V$2</f>
        <v>2019年12月31日</v>
      </c>
      <c r="O851" s="355" t="s">
        <v>5271</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294"/>
      <c r="H852" s="3235"/>
      <c r="I852" s="3237"/>
      <c r="J852" s="3235"/>
      <c r="K852" s="2239" t="s">
        <v>5210</v>
      </c>
      <c r="L852" s="2239" t="s">
        <v>5211</v>
      </c>
      <c r="M852" s="2271" t="s">
        <v>5212</v>
      </c>
      <c r="N852" s="3218"/>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5495</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0</v>
      </c>
      <c r="O858" s="306"/>
      <c r="P858" s="301"/>
      <c r="S858" s="364"/>
      <c r="Z858" s="609" t="s">
        <v>475</v>
      </c>
      <c r="AA858" s="609" t="s">
        <v>5652</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t="str">
        <f>IF($I859="适用",IF(ROUND(N$858-N859,2)=0,"F/S",ROUND(N$858-N859,2)),"#N/A")</f>
        <v>F/S</v>
      </c>
      <c r="P859" s="301"/>
      <c r="Q859" s="290" t="str">
        <f>IF($I859="不适用","",IF(ROUND(SUM($H$864:$M$869),2)=0,"请输入",""))</f>
        <v>请输入</v>
      </c>
      <c r="S859" s="364"/>
      <c r="Z859" s="609" t="s">
        <v>475</v>
      </c>
      <c r="AA859" s="609" t="s">
        <v>5652</v>
      </c>
    </row>
    <row r="860" spans="1:27" ht="0.75" customHeight="1">
      <c r="A860" s="2714"/>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4"/>
      <c r="B862" s="371"/>
      <c r="C862" s="371"/>
      <c r="D862" s="371"/>
      <c r="E862" s="2716" t="s">
        <v>2749</v>
      </c>
      <c r="F862" s="294"/>
      <c r="G862" s="3327" t="s">
        <v>1439</v>
      </c>
      <c r="H862" s="3221" t="str">
        <f>$V$2</f>
        <v>2019年12月31日</v>
      </c>
      <c r="I862" s="3223"/>
      <c r="J862" s="3221" t="str">
        <f>$V$3</f>
        <v>2018年12月31日</v>
      </c>
      <c r="K862" s="3222"/>
      <c r="L862" s="355" t="s">
        <v>5272</v>
      </c>
      <c r="M862" s="438"/>
      <c r="N862" s="473"/>
      <c r="O862" s="472"/>
      <c r="P862" s="442"/>
      <c r="Q862" s="442"/>
      <c r="R862" s="443"/>
      <c r="S862" s="364"/>
      <c r="Z862" s="609" t="s">
        <v>475</v>
      </c>
      <c r="AA862" s="609" t="s">
        <v>5652</v>
      </c>
    </row>
    <row r="863" spans="1:27" ht="18">
      <c r="A863" s="2714"/>
      <c r="B863" s="371"/>
      <c r="C863" s="371"/>
      <c r="D863" s="371"/>
      <c r="E863" s="2716" t="s">
        <v>2749</v>
      </c>
      <c r="F863" s="294"/>
      <c r="G863" s="3328"/>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4"/>
      <c r="B864" s="371">
        <v>101</v>
      </c>
      <c r="C864" s="371" t="s">
        <v>2791</v>
      </c>
      <c r="D864" s="2716">
        <f t="shared" ref="D864:D869" si="72">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5652</v>
      </c>
    </row>
    <row r="865" spans="1:27" ht="18">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8">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8">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5652</v>
      </c>
    </row>
    <row r="868" spans="1:27" ht="18">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4"/>
      <c r="B869" s="371"/>
      <c r="C869" s="371"/>
      <c r="D869" s="2716">
        <f t="shared" si="72"/>
        <v>1</v>
      </c>
      <c r="E869" s="2721"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5652</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4"/>
      <c r="O871" s="345" t="str">
        <f>IF(ROUND(N$858-N871,2)&gt;=0,"","#Logical!")</f>
        <v/>
      </c>
      <c r="P871" s="301"/>
      <c r="Q871" s="290" t="str">
        <f>IF($I871="不适用","",IF(ROUND(SUM($H$874:$I$888),2)=0,"请输入",""))</f>
        <v>请输入</v>
      </c>
      <c r="S871" s="364"/>
      <c r="Z871" s="609" t="s">
        <v>475</v>
      </c>
      <c r="AA871" s="609" t="s">
        <v>5652</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4"/>
      <c r="B873" s="371"/>
      <c r="C873" s="371"/>
      <c r="D873" s="371"/>
      <c r="E873" s="2716" t="s">
        <v>2749</v>
      </c>
      <c r="F873" s="294"/>
      <c r="G873" s="2482" t="s">
        <v>1465</v>
      </c>
      <c r="H873" s="2483" t="str">
        <f>$W$2&amp;"余额"</f>
        <v>2019年12月31日余额</v>
      </c>
      <c r="I873" s="2484" t="s">
        <v>3114</v>
      </c>
      <c r="J873" s="355" t="s">
        <v>5272</v>
      </c>
      <c r="K873" s="291"/>
      <c r="L873" s="291"/>
      <c r="M873" s="291"/>
      <c r="N873" s="291"/>
      <c r="O873" s="291"/>
      <c r="P873" s="291"/>
      <c r="S873" s="364"/>
      <c r="Z873" s="609" t="s">
        <v>475</v>
      </c>
      <c r="AA873" s="609" t="s">
        <v>5652</v>
      </c>
    </row>
    <row r="874" spans="1:27" ht="24">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5652</v>
      </c>
    </row>
    <row r="875" spans="1:27" ht="18">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5652</v>
      </c>
    </row>
    <row r="876" spans="1:27" ht="18">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5652</v>
      </c>
    </row>
    <row r="877" spans="1:27" ht="18">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5652</v>
      </c>
    </row>
    <row r="878" spans="1:27" ht="18">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5652</v>
      </c>
    </row>
    <row r="879" spans="1:27" ht="18">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5652</v>
      </c>
    </row>
    <row r="880" spans="1:27" ht="24">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5652</v>
      </c>
    </row>
    <row r="882" spans="1:27" ht="18">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5652</v>
      </c>
    </row>
    <row r="883" spans="1:27" ht="18">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5652</v>
      </c>
    </row>
    <row r="884" spans="1:27" ht="18">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5652</v>
      </c>
    </row>
    <row r="885" spans="1:27" ht="18">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5652</v>
      </c>
    </row>
    <row r="886" spans="1:27" ht="18">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5652</v>
      </c>
    </row>
    <row r="887" spans="1:27" ht="18">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5652</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4" t="s">
        <v>482</v>
      </c>
      <c r="B890" s="371">
        <v>3</v>
      </c>
      <c r="C890" s="371"/>
      <c r="D890" s="2716" t="str">
        <f>VLOOKUP($A890,Sheet_NoteList,2,0)</f>
        <v>账龄超过1年的金额重要的预付账款</v>
      </c>
      <c r="E890" s="2716" t="s">
        <v>6531</v>
      </c>
      <c r="F890" s="294"/>
      <c r="G890" s="372" t="str">
        <f>"("&amp;B890&amp;")"&amp;D890</f>
        <v>(3)账龄超过1年的金额重要的预付账款</v>
      </c>
      <c r="H890" s="1517" t="str">
        <f>$A890</f>
        <v>1125d</v>
      </c>
      <c r="I890" s="343" t="s">
        <v>5545</v>
      </c>
      <c r="J890" s="301" t="s">
        <v>5544</v>
      </c>
      <c r="K890" s="2210">
        <f>H898</f>
        <v>0</v>
      </c>
      <c r="L890" s="1535" t="str">
        <f>IF($I890="适用",IF(ROUND(K858-K890,2)&gt;=0,IF(K858&lt;&gt;0,K890/K858,""),"#Logical!"),"#N/A")</f>
        <v/>
      </c>
      <c r="M890" s="301"/>
      <c r="N890" s="3084"/>
      <c r="O890" s="345" t="str">
        <f>IF(ROUND(N$858-N890,2)&gt;=0,"","#Logical!")</f>
        <v/>
      </c>
      <c r="P890" s="301"/>
      <c r="Q890" s="290" t="str">
        <f>IF($I890="不适用","",IF(ROUND(SUM($H$893:$J$898),2)=0,"请输入",""))</f>
        <v>请输入</v>
      </c>
      <c r="S890" s="364"/>
      <c r="Z890" s="609" t="s">
        <v>475</v>
      </c>
      <c r="AA890" s="609" t="s">
        <v>5652</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4"/>
      <c r="B892" s="371"/>
      <c r="C892" s="371"/>
      <c r="D892" s="371"/>
      <c r="E892" s="2716" t="s">
        <v>2749</v>
      </c>
      <c r="F892" s="294"/>
      <c r="G892" s="1609" t="s">
        <v>1465</v>
      </c>
      <c r="H892" s="1607" t="s">
        <v>3086</v>
      </c>
      <c r="I892" s="1607" t="s">
        <v>2961</v>
      </c>
      <c r="J892" s="1608" t="s">
        <v>3112</v>
      </c>
      <c r="K892" s="355" t="s">
        <v>6176</v>
      </c>
      <c r="L892" s="291"/>
      <c r="M892" s="291"/>
      <c r="N892" s="291"/>
      <c r="S892" s="364"/>
      <c r="Z892" s="609" t="s">
        <v>475</v>
      </c>
      <c r="AA892" s="609" t="s">
        <v>5652</v>
      </c>
    </row>
    <row r="893" spans="1:27" ht="18">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5652</v>
      </c>
    </row>
    <row r="894" spans="1:27" ht="18">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5652</v>
      </c>
    </row>
    <row r="895" spans="1:27" ht="18">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5652</v>
      </c>
    </row>
    <row r="896" spans="1:27" ht="18">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5652</v>
      </c>
    </row>
    <row r="897" spans="1:27" ht="18">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5652</v>
      </c>
    </row>
    <row r="898" spans="1:27" ht="18.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5652</v>
      </c>
    </row>
    <row r="899" spans="1:27" ht="18">
      <c r="A899" s="2714"/>
      <c r="B899" s="371"/>
      <c r="C899" s="371" t="s">
        <v>2755</v>
      </c>
      <c r="D899" s="371"/>
      <c r="F899" s="294"/>
      <c r="G899" s="301"/>
      <c r="H899" s="315"/>
      <c r="I899" s="393"/>
      <c r="J899" s="393"/>
      <c r="K899" s="291"/>
      <c r="L899" s="291"/>
      <c r="M899" s="291"/>
      <c r="N899" s="291"/>
      <c r="S899" s="364"/>
      <c r="Z899" s="609" t="s">
        <v>475</v>
      </c>
      <c r="AA899" s="609" t="s">
        <v>5652</v>
      </c>
    </row>
    <row r="900" spans="1:27" ht="18">
      <c r="A900" s="2714" t="s">
        <v>497</v>
      </c>
      <c r="B900" s="371">
        <v>4</v>
      </c>
      <c r="C900" s="371"/>
      <c r="D900" s="2716" t="str">
        <f>VLOOKUP($A900,Sheet_NoteList,2,0)</f>
        <v>预付款项按项目列示</v>
      </c>
      <c r="E900" s="2716" t="s">
        <v>6531</v>
      </c>
      <c r="F900" s="294"/>
      <c r="G900" s="372" t="str">
        <f>"("&amp;B900&amp;")"&amp;D900</f>
        <v>(4)预付款项按项目列示</v>
      </c>
      <c r="H900" s="1517" t="str">
        <f>$A900</f>
        <v>1125f</v>
      </c>
      <c r="I900" s="343" t="s">
        <v>5965</v>
      </c>
      <c r="J900" s="301" t="s">
        <v>5963</v>
      </c>
      <c r="K900" s="2210">
        <f>H908</f>
        <v>0</v>
      </c>
      <c r="L900" s="345"/>
      <c r="M900" s="301" t="s">
        <v>5970</v>
      </c>
      <c r="N900" s="2210">
        <f>I908</f>
        <v>0</v>
      </c>
      <c r="O900" s="345"/>
      <c r="P900" s="301"/>
      <c r="S900" s="364"/>
      <c r="Z900" s="609" t="s">
        <v>475</v>
      </c>
      <c r="AA900" s="609" t="s">
        <v>5652</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5652</v>
      </c>
    </row>
    <row r="902" spans="1:27" ht="18">
      <c r="A902" s="2714"/>
      <c r="B902" s="371"/>
      <c r="C902" s="371"/>
      <c r="D902" s="371"/>
      <c r="E902" s="586" t="s">
        <v>2749</v>
      </c>
      <c r="F902" s="363"/>
      <c r="G902" s="2272" t="s">
        <v>47</v>
      </c>
      <c r="H902" s="2270" t="s">
        <v>3086</v>
      </c>
      <c r="I902" s="2273" t="s">
        <v>3087</v>
      </c>
      <c r="J902" s="355" t="s">
        <v>6176</v>
      </c>
      <c r="K902" s="1604"/>
      <c r="L902" s="1604"/>
      <c r="M902" s="1604"/>
      <c r="N902" s="1604"/>
      <c r="O902" s="1604"/>
      <c r="P902" s="1604"/>
      <c r="Q902" s="1604"/>
      <c r="R902" s="1604"/>
      <c r="S902" s="364"/>
      <c r="Z902" s="609" t="s">
        <v>475</v>
      </c>
      <c r="AA902" s="609" t="s">
        <v>5652</v>
      </c>
    </row>
    <row r="903" spans="1:27" ht="18">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5652</v>
      </c>
    </row>
    <row r="904" spans="1:27" ht="18">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5652</v>
      </c>
    </row>
    <row r="905" spans="1:27" ht="18">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5652</v>
      </c>
    </row>
    <row r="906" spans="1:27" ht="18">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5652</v>
      </c>
    </row>
    <row r="907" spans="1:27" ht="18">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5652</v>
      </c>
    </row>
    <row r="908" spans="1:27" ht="18.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5652</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5652</v>
      </c>
    </row>
    <row r="910" spans="1:27" ht="24">
      <c r="A910" s="2714" t="s">
        <v>492</v>
      </c>
      <c r="B910" s="371">
        <v>5</v>
      </c>
      <c r="C910" s="371"/>
      <c r="D910" s="2716" t="str">
        <f>VLOOKUP($A910,Sheet_NoteList,2,0)</f>
        <v>关联方应收应付款项——预付款项</v>
      </c>
      <c r="E910" s="2716" t="s">
        <v>6531</v>
      </c>
      <c r="F910" s="294"/>
      <c r="G910" s="372" t="str">
        <f>"("&amp;B910&amp;")"&amp;D910</f>
        <v>(5)关联方应收应付款项——预付款项</v>
      </c>
      <c r="H910" s="1517" t="str">
        <f>$A910</f>
        <v>1125e</v>
      </c>
      <c r="I910" s="343" t="s">
        <v>5608</v>
      </c>
      <c r="J910" s="301" t="s">
        <v>5606</v>
      </c>
      <c r="K910" s="2210">
        <f>H918</f>
        <v>0</v>
      </c>
      <c r="L910" s="345"/>
      <c r="M910" s="301" t="s">
        <v>5607</v>
      </c>
      <c r="N910" s="2210">
        <f>I918</f>
        <v>0</v>
      </c>
      <c r="O910" s="345"/>
      <c r="P910" s="301"/>
      <c r="Q910" s="290" t="str">
        <f>IF($I910="不适用","",IF(ROUND(SUM($H$913:$K$918),2)=0,"请输入",""))</f>
        <v>请输入</v>
      </c>
      <c r="S910" s="364"/>
      <c r="Z910" s="609" t="s">
        <v>475</v>
      </c>
      <c r="AA910" s="609" t="s">
        <v>5652</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5652</v>
      </c>
    </row>
    <row r="913" spans="1:27" ht="18">
      <c r="A913" s="2714"/>
      <c r="B913" s="371">
        <v>101</v>
      </c>
      <c r="C913" s="371" t="s">
        <v>2791</v>
      </c>
      <c r="D913" s="2716">
        <f t="shared" ref="D913:D918" si="77">IF(OR(G913="*",G913="",G913=0),0,COUNTIF($G$913:$G$918,G913))</f>
        <v>0</v>
      </c>
      <c r="E913" s="2721">
        <v>1</v>
      </c>
      <c r="F913" s="294"/>
      <c r="G913" s="2274" t="s">
        <v>2792</v>
      </c>
      <c r="H913" s="2275"/>
      <c r="I913" s="2296"/>
      <c r="J913" s="355" t="s">
        <v>5364</v>
      </c>
      <c r="K913" s="1522" t="s">
        <v>5605</v>
      </c>
      <c r="L913" s="291"/>
      <c r="O913" s="291"/>
      <c r="S913" s="364"/>
      <c r="Z913" s="609" t="s">
        <v>475</v>
      </c>
      <c r="AA913" s="609" t="s">
        <v>5652</v>
      </c>
    </row>
    <row r="914" spans="1:27" ht="18">
      <c r="A914" s="2714"/>
      <c r="B914" s="371">
        <v>102</v>
      </c>
      <c r="C914" s="371" t="s">
        <v>2791</v>
      </c>
      <c r="D914" s="2716">
        <f t="shared" si="77"/>
        <v>0</v>
      </c>
      <c r="E914" s="2721">
        <v>1</v>
      </c>
      <c r="F914" s="294"/>
      <c r="G914" s="2274" t="s">
        <v>2792</v>
      </c>
      <c r="H914" s="2275"/>
      <c r="I914" s="2296"/>
      <c r="J914" s="355" t="s">
        <v>6176</v>
      </c>
      <c r="K914" s="291"/>
      <c r="L914" s="291"/>
      <c r="O914" s="291"/>
      <c r="S914" s="364"/>
      <c r="Z914" s="609" t="s">
        <v>475</v>
      </c>
      <c r="AA914" s="609" t="s">
        <v>5652</v>
      </c>
    </row>
    <row r="915" spans="1:27" ht="18">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5652</v>
      </c>
    </row>
    <row r="916" spans="1:27" ht="18">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5652</v>
      </c>
    </row>
    <row r="917" spans="1:27" ht="18">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5652</v>
      </c>
    </row>
    <row r="918" spans="1:27" ht="18.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5652</v>
      </c>
    </row>
    <row r="919" spans="1:27" ht="18">
      <c r="A919" s="2714"/>
      <c r="B919" s="371"/>
      <c r="C919" s="371" t="s">
        <v>2755</v>
      </c>
      <c r="D919" s="371"/>
      <c r="F919" s="294"/>
      <c r="G919" s="301"/>
      <c r="H919" s="315"/>
      <c r="I919" s="315"/>
      <c r="K919" s="293"/>
      <c r="L919" s="291"/>
      <c r="M919" s="291"/>
      <c r="N919" s="291"/>
      <c r="O919" s="291"/>
      <c r="S919" s="364"/>
      <c r="Z919" s="609" t="s">
        <v>475</v>
      </c>
      <c r="AA919" s="609" t="s">
        <v>5652</v>
      </c>
    </row>
    <row r="920" spans="1:27" ht="18">
      <c r="A920" s="2714" t="s">
        <v>505</v>
      </c>
      <c r="B920" s="371">
        <v>6</v>
      </c>
      <c r="C920" s="371"/>
      <c r="D920" s="2716" t="str">
        <f>VLOOKUP($A920,Sheet_NoteList,2,0)</f>
        <v>预付款项补充资料</v>
      </c>
      <c r="E920" s="2716" t="s">
        <v>6531</v>
      </c>
      <c r="F920" s="293"/>
      <c r="G920" s="372" t="str">
        <f>"("&amp;B920&amp;")"&amp;D920</f>
        <v>(6)预付款项补充资料</v>
      </c>
      <c r="H920" s="1517" t="str">
        <f>$A920</f>
        <v>1125x</v>
      </c>
      <c r="I920" s="343" t="s">
        <v>6036</v>
      </c>
      <c r="J920" s="301" t="s">
        <v>6037</v>
      </c>
      <c r="K920" s="2210">
        <f>H931</f>
        <v>0</v>
      </c>
      <c r="L920" s="349"/>
      <c r="M920" s="301" t="s">
        <v>6038</v>
      </c>
      <c r="N920" s="2210">
        <f>I931</f>
        <v>0</v>
      </c>
      <c r="O920" s="349"/>
      <c r="P920" s="301"/>
      <c r="S920" s="364"/>
      <c r="Z920" s="609" t="s">
        <v>475</v>
      </c>
      <c r="AA920" s="609" t="s">
        <v>5652</v>
      </c>
    </row>
    <row r="921" spans="1:27" ht="0.75" customHeight="1" thickBot="1">
      <c r="A921" s="2714"/>
      <c r="B921" s="371"/>
      <c r="C921" s="371"/>
      <c r="D921" s="2716"/>
      <c r="E921" s="586"/>
      <c r="F921" s="586"/>
      <c r="G921" s="2224"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4"/>
      <c r="B922" s="371"/>
      <c r="C922" s="371"/>
      <c r="D922" s="2716"/>
      <c r="E922" s="586" t="s">
        <v>2749</v>
      </c>
      <c r="F922" s="414"/>
      <c r="G922" s="2302" t="s">
        <v>47</v>
      </c>
      <c r="H922" s="2360" t="s">
        <v>2560</v>
      </c>
      <c r="I922" s="2300" t="s">
        <v>6039</v>
      </c>
      <c r="J922" s="2300" t="s">
        <v>2544</v>
      </c>
      <c r="K922" s="1643" t="s">
        <v>6040</v>
      </c>
      <c r="L922" s="1643" t="s">
        <v>6041</v>
      </c>
      <c r="M922" s="2300" t="s">
        <v>2549</v>
      </c>
      <c r="N922" s="1643" t="s">
        <v>6042</v>
      </c>
      <c r="O922" s="1643" t="s">
        <v>6043</v>
      </c>
      <c r="P922" s="2301" t="s">
        <v>3277</v>
      </c>
      <c r="Q922" s="355" t="s">
        <v>6176</v>
      </c>
      <c r="S922" s="364"/>
      <c r="Z922" s="609" t="s">
        <v>475</v>
      </c>
      <c r="AA922" s="609" t="s">
        <v>5652</v>
      </c>
    </row>
    <row r="923" spans="1:27" ht="18">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5652</v>
      </c>
    </row>
    <row r="924" spans="1:27" ht="18">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5652</v>
      </c>
    </row>
    <row r="925" spans="1:27" ht="18">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5652</v>
      </c>
    </row>
    <row r="926" spans="1:27" ht="18">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5652</v>
      </c>
    </row>
    <row r="927" spans="1:27" ht="18">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5652</v>
      </c>
    </row>
    <row r="928" spans="1:27" ht="18">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5652</v>
      </c>
    </row>
    <row r="929" spans="1:27" ht="18">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5652</v>
      </c>
    </row>
    <row r="930" spans="1:27" ht="18">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5652</v>
      </c>
    </row>
    <row r="931" spans="1:27" ht="18.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5652</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5652</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50300000</v>
      </c>
      <c r="L933" s="342"/>
      <c r="M933" s="306" t="s">
        <v>2741</v>
      </c>
      <c r="N933" s="341">
        <f>VLOOKUP($A933,Sheet_Trialbal,10,0)</f>
        <v>35000000</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50300000</v>
      </c>
      <c r="L934" s="349"/>
      <c r="M934" s="301" t="s">
        <v>2745</v>
      </c>
      <c r="N934" s="2210">
        <f>I941</f>
        <v>35000000</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5273</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79">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79"/>
        <v>1</v>
      </c>
      <c r="E939" s="2721">
        <v>1</v>
      </c>
      <c r="F939" s="371"/>
      <c r="G939" s="308" t="s">
        <v>201</v>
      </c>
      <c r="H939" s="309">
        <v>50300000</v>
      </c>
      <c r="I939" s="394">
        <v>35000000</v>
      </c>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79"/>
        <v>1</v>
      </c>
      <c r="E941" s="2721" t="s">
        <v>2751</v>
      </c>
      <c r="F941" s="371"/>
      <c r="G941" s="407" t="s">
        <v>2752</v>
      </c>
      <c r="H941" s="1478">
        <f>SUMPRODUCT($E936:$E940,H936:H940)</f>
        <v>50300000</v>
      </c>
      <c r="I941" s="1479">
        <f>SUMPRODUCT($E936:$E940,I936:I940)</f>
        <v>35000000</v>
      </c>
      <c r="J941" s="301"/>
      <c r="K941" s="1531">
        <f t="shared" ref="K941:L941" ca="1" si="80">SUM(K937:K940)</f>
        <v>0</v>
      </c>
      <c r="L941" s="1531">
        <f t="shared" ca="1" si="80"/>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5495</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5654</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5654</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4"/>
      <c r="B946" s="371"/>
      <c r="C946" s="371"/>
      <c r="D946" s="371"/>
      <c r="E946" s="586" t="s">
        <v>2749</v>
      </c>
      <c r="F946" s="363"/>
      <c r="G946" s="2228" t="s">
        <v>47</v>
      </c>
      <c r="H946" s="2225" t="str">
        <f>$V$2</f>
        <v>2019年12月31日</v>
      </c>
      <c r="I946" s="2226" t="str">
        <f>$V$3</f>
        <v>2018年12月31日</v>
      </c>
      <c r="J946" s="355" t="s">
        <v>5273</v>
      </c>
      <c r="K946" s="478"/>
      <c r="L946" s="516"/>
      <c r="M946" s="472"/>
      <c r="N946" s="472"/>
      <c r="O946" s="472"/>
      <c r="P946" s="442"/>
      <c r="Q946" s="442"/>
      <c r="R946" s="443"/>
      <c r="S946" s="364"/>
      <c r="Z946" s="609" t="s">
        <v>518</v>
      </c>
      <c r="AA946" s="609" t="s">
        <v>5654</v>
      </c>
    </row>
    <row r="947" spans="1:29" ht="18">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5654</v>
      </c>
    </row>
    <row r="948" spans="1:29" ht="18">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5654</v>
      </c>
    </row>
    <row r="949" spans="1:29" ht="18">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5654</v>
      </c>
    </row>
    <row r="950" spans="1:29" ht="18">
      <c r="A950" s="2714"/>
      <c r="B950" s="371">
        <v>101.003</v>
      </c>
      <c r="C950" s="371" t="s">
        <v>2791</v>
      </c>
      <c r="D950" s="2716">
        <f t="shared" si="81"/>
        <v>0</v>
      </c>
      <c r="E950" s="2721" t="s">
        <v>2939</v>
      </c>
      <c r="F950" s="294"/>
      <c r="G950" s="2284" t="s">
        <v>2792</v>
      </c>
      <c r="H950" s="2275"/>
      <c r="I950" s="2296"/>
      <c r="J950" s="438"/>
      <c r="K950" s="438"/>
      <c r="L950" s="442"/>
      <c r="M950" s="472"/>
      <c r="N950" s="472"/>
      <c r="O950" s="472"/>
      <c r="P950" s="442"/>
      <c r="Q950" s="442"/>
      <c r="R950" s="443"/>
      <c r="S950" s="364"/>
      <c r="Z950" s="609" t="s">
        <v>518</v>
      </c>
      <c r="AA950" s="609" t="s">
        <v>5654</v>
      </c>
    </row>
    <row r="951" spans="1:29" ht="18">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5654</v>
      </c>
    </row>
    <row r="952" spans="1:29" ht="18">
      <c r="A952" s="2714"/>
      <c r="B952" s="371">
        <v>102</v>
      </c>
      <c r="C952" s="371" t="s">
        <v>2793</v>
      </c>
      <c r="D952" s="2716">
        <f t="shared" si="81"/>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5654</v>
      </c>
    </row>
    <row r="953" spans="1:29" ht="18">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5654</v>
      </c>
    </row>
    <row r="954" spans="1:29" ht="18.75" thickBot="1">
      <c r="A954" s="2714"/>
      <c r="B954" s="371"/>
      <c r="C954" s="371"/>
      <c r="D954" s="2716">
        <f t="shared" si="81"/>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4"/>
      <c r="O956" s="315"/>
      <c r="P956" s="301"/>
      <c r="Q956" s="290" t="str">
        <f>IF($I956="不适用","",IF(ROUND(SUM($H$959:$K$964),2)=0,"请输入",""))</f>
        <v>请输入</v>
      </c>
      <c r="S956" s="364"/>
      <c r="Z956" s="609" t="s">
        <v>518</v>
      </c>
      <c r="AA956" s="609" t="s">
        <v>5654</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6127</v>
      </c>
      <c r="L958" s="355" t="s">
        <v>5273</v>
      </c>
      <c r="M958" s="291"/>
      <c r="S958" s="364"/>
      <c r="Z958" s="609" t="s">
        <v>518</v>
      </c>
      <c r="AA958" s="609" t="s">
        <v>5654</v>
      </c>
    </row>
    <row r="959" spans="1:29" ht="18">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5654</v>
      </c>
    </row>
    <row r="960" spans="1:29" ht="18">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5654</v>
      </c>
    </row>
    <row r="961" spans="1:29" ht="18">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5654</v>
      </c>
    </row>
    <row r="962" spans="1:29" ht="18">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5654</v>
      </c>
    </row>
    <row r="963" spans="1:29" ht="18">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5654</v>
      </c>
    </row>
    <row r="964" spans="1:29" ht="18.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5654</v>
      </c>
    </row>
    <row r="965" spans="1:29" ht="18">
      <c r="A965" s="2714"/>
      <c r="B965" s="371"/>
      <c r="C965" s="371" t="s">
        <v>2755</v>
      </c>
      <c r="D965" s="2716"/>
      <c r="E965" s="2721"/>
      <c r="F965" s="294"/>
      <c r="G965" s="301"/>
      <c r="H965" s="315"/>
      <c r="I965" s="393"/>
      <c r="J965" s="393"/>
      <c r="K965" s="393"/>
      <c r="L965" s="291"/>
      <c r="M965" s="291"/>
      <c r="S965" s="364"/>
      <c r="Z965" s="609" t="s">
        <v>518</v>
      </c>
      <c r="AA965" s="609" t="s">
        <v>5654</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4"/>
      <c r="B969" s="371"/>
      <c r="C969" s="371"/>
      <c r="D969" s="371"/>
      <c r="E969" s="586" t="s">
        <v>2749</v>
      </c>
      <c r="F969" s="363"/>
      <c r="G969" s="2228" t="s">
        <v>5143</v>
      </c>
      <c r="H969" s="2225" t="str">
        <f>$V$2</f>
        <v>2019年12月31日</v>
      </c>
      <c r="I969" s="2226" t="str">
        <f>$V$3</f>
        <v>2018年12月31日</v>
      </c>
      <c r="J969" s="355" t="s">
        <v>5273</v>
      </c>
      <c r="K969" s="520"/>
      <c r="L969" s="472"/>
      <c r="M969" s="472"/>
      <c r="N969" s="472"/>
      <c r="O969" s="472"/>
      <c r="P969" s="442"/>
      <c r="Q969" s="442"/>
      <c r="R969" s="443"/>
      <c r="S969" s="364"/>
      <c r="Z969" s="609" t="s">
        <v>528</v>
      </c>
      <c r="AA969" s="609" t="s">
        <v>5655</v>
      </c>
    </row>
    <row r="970" spans="1:29" ht="18">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5655</v>
      </c>
    </row>
    <row r="971" spans="1:29" ht="18">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5655</v>
      </c>
    </row>
    <row r="972" spans="1:29" ht="18">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5655</v>
      </c>
    </row>
    <row r="973" spans="1:29" ht="18">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5655</v>
      </c>
    </row>
    <row r="974" spans="1:29" ht="18">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5655</v>
      </c>
    </row>
    <row r="975" spans="1:29" ht="18.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5273</v>
      </c>
      <c r="N979" s="291"/>
      <c r="O979" s="291"/>
      <c r="S979" s="364"/>
      <c r="Z979" s="609" t="s">
        <v>528</v>
      </c>
      <c r="AA979" s="609" t="s">
        <v>5655</v>
      </c>
    </row>
    <row r="980" spans="1:27" ht="18">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5655</v>
      </c>
    </row>
    <row r="981" spans="1:27" ht="18">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5655</v>
      </c>
    </row>
    <row r="982" spans="1:27" ht="18">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5655</v>
      </c>
    </row>
    <row r="983" spans="1:27" ht="18">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5655</v>
      </c>
    </row>
    <row r="984" spans="1:27" ht="18">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5655</v>
      </c>
    </row>
    <row r="985" spans="1:27" ht="18.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5655</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50300000</v>
      </c>
      <c r="L987" s="342"/>
      <c r="M987" s="306" t="s">
        <v>2741</v>
      </c>
      <c r="N987" s="341">
        <f>VLOOKUP($A987,Sheet_Trialbal,10,0)</f>
        <v>35000000</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50300000</v>
      </c>
      <c r="L988" s="349" t="str">
        <f>IF($I988="适用",IF(ROUND(K$987-K988,2)=0,"F/S",ROUND(K$987-K988,2)),"#N/A")</f>
        <v>F/S</v>
      </c>
      <c r="M988" s="301" t="s">
        <v>2745</v>
      </c>
      <c r="N988" s="2210">
        <f>I1004</f>
        <v>35000000</v>
      </c>
      <c r="O988" s="349" t="str">
        <f>IF($I988="适用",IF(ROUND(N$987-N988,2)=0,"F/S",ROUND(N$987-N988,2)),"#N/A")</f>
        <v>F/S</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5273</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5">IF(OR(G991="*",G991="",G991=0),0,COUNTIF($G$991:$G$1004,G991))</f>
        <v>1</v>
      </c>
      <c r="E991" s="2721" t="s">
        <v>6534</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5"/>
        <v>1</v>
      </c>
      <c r="E992" s="2721" t="s">
        <v>2937</v>
      </c>
      <c r="F992" s="293"/>
      <c r="G992" s="2284" t="s">
        <v>5132</v>
      </c>
      <c r="H992" s="2275">
        <v>50300000</v>
      </c>
      <c r="I992" s="2296">
        <v>35000000</v>
      </c>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5"/>
        <v>1</v>
      </c>
      <c r="E995" s="2721" t="s">
        <v>2939</v>
      </c>
      <c r="F995" s="293"/>
      <c r="G995" s="1474" t="s">
        <v>2937</v>
      </c>
      <c r="H995" s="1476">
        <f>SUMIF($E$990:$E$1003,$G995,H$990:H$1003)</f>
        <v>50300000</v>
      </c>
      <c r="I995" s="1477">
        <f>SUMIF($E$990:$E$1003,$G995,I$990:I$1003)</f>
        <v>35000000</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5"/>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6532</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5"/>
        <v>1</v>
      </c>
      <c r="E1002" s="2721">
        <v>1</v>
      </c>
      <c r="F1002" s="293"/>
      <c r="G1002" s="1474" t="s">
        <v>2939</v>
      </c>
      <c r="H1002" s="1476">
        <f>SUMIF($E$990:$E$1003,$G1002,H$990:H$1003)</f>
        <v>50300000</v>
      </c>
      <c r="I1002" s="1477">
        <f>SUMIF($E$990:$E$1003,$G1002,I$990:I$1003)</f>
        <v>35000000</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5"/>
        <v>1</v>
      </c>
      <c r="E1004" s="2721" t="s">
        <v>2751</v>
      </c>
      <c r="F1004" s="293"/>
      <c r="G1004" s="2234" t="s">
        <v>5141</v>
      </c>
      <c r="H1004" s="2235">
        <f>SUMPRODUCT($E990:$E1003,H990:H1003)</f>
        <v>50300000</v>
      </c>
      <c r="I1004" s="2236">
        <f>SUMPRODUCT($E990:$E1003,I990:I1003)</f>
        <v>35000000</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5367</v>
      </c>
      <c r="H1006" s="1550" t="str">
        <f>G1013</f>
        <v>(2)其他应收款按款项性质分类情况</v>
      </c>
      <c r="I1006" s="1552"/>
      <c r="J1006" s="1553" t="s">
        <v>5368</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50300000</v>
      </c>
      <c r="I1007" s="2252">
        <f ca="1">HYPERLINK("#'"&amp;$G$1&amp;"'!"&amp;ADDRESS(ROW(Notes!I1025),COLUMN(Notes!I1025),4),I1025)</f>
        <v>35000000</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50300000</v>
      </c>
      <c r="I1008" s="456">
        <f>I1004</f>
        <v>35000000</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50300000</v>
      </c>
      <c r="L1013" s="345">
        <f>IF($I1013="适用",IF(ROUND($H1378-K1013,2)=0,"F/S",ROUND($H1378-K1013,2)),"#N/A")</f>
        <v>-50300000</v>
      </c>
      <c r="M1013" s="301" t="s">
        <v>2745</v>
      </c>
      <c r="N1013" s="2210">
        <f>I1025</f>
        <v>35000000</v>
      </c>
      <c r="O1013" s="345">
        <f>IF($I1013="适用",IF(ROUND(H1400-N1013,2)=0,"F/S",ROUND(H1400-N1013,2)),"#N/A")</f>
        <v>-35000000</v>
      </c>
      <c r="P1013" s="301"/>
      <c r="Q1013" s="290" t="str">
        <f>IF($I1013="不适用","",IF(ROUND(SUM($H$1016:$I$1025),2)=0,"请输入",""))</f>
        <v/>
      </c>
      <c r="S1013" s="364"/>
      <c r="Z1013" s="609" t="s">
        <v>540</v>
      </c>
      <c r="AA1013" s="609" t="s">
        <v>3137</v>
      </c>
    </row>
    <row r="1014" spans="1:29" ht="0.75" customHeight="1" thickBot="1">
      <c r="A1014" s="2714"/>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5485</v>
      </c>
      <c r="H1015" s="2553" t="str">
        <f>$V$2</f>
        <v>2019年12月31日</v>
      </c>
      <c r="I1015" s="2554" t="str">
        <f>$V$3</f>
        <v>2018年12月31日</v>
      </c>
      <c r="J1015" s="355" t="s">
        <v>5273</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6">IF(OR(G1016="*",G1016="",G1016=0),0,COUNTIF($G$1016:$G$1025,G1016))</f>
        <v>1</v>
      </c>
      <c r="E1016" s="2721" t="s">
        <v>2939</v>
      </c>
      <c r="F1016" s="294"/>
      <c r="G1016" s="2538" t="s">
        <v>6895</v>
      </c>
      <c r="H1016" s="2275">
        <v>50300000</v>
      </c>
      <c r="I1016" s="2296">
        <v>35000000</v>
      </c>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6"/>
        <v>0</v>
      </c>
      <c r="E1017" s="2721" t="s">
        <v>2939</v>
      </c>
      <c r="F1017" s="294"/>
      <c r="G1017" s="2538"/>
      <c r="H1017" s="2275"/>
      <c r="I1017" s="2296"/>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6532</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6"/>
        <v>1</v>
      </c>
      <c r="E1023" s="2721">
        <v>1</v>
      </c>
      <c r="F1023" s="294"/>
      <c r="G1023" s="1474" t="s">
        <v>2939</v>
      </c>
      <c r="H1023" s="1476">
        <f>SUMIF($E$1015:$E$1024,$G1023,H$1015:H$1024)</f>
        <v>50300000</v>
      </c>
      <c r="I1023" s="1477">
        <f>SUMIF($E$1015:$E$1024,$G1023,I$1015:I$1024)</f>
        <v>35000000</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6"/>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6"/>
        <v>1</v>
      </c>
      <c r="E1025" s="2721" t="s">
        <v>3032</v>
      </c>
      <c r="F1025" s="294"/>
      <c r="G1025" s="374" t="s">
        <v>2752</v>
      </c>
      <c r="H1025" s="1478">
        <f>SUMPRODUCT($E1015:$E1024,H1015:H1024)</f>
        <v>50300000</v>
      </c>
      <c r="I1025" s="1479">
        <f>SUMPRODUCT($E1015:$E1024,I1015:I1024)</f>
        <v>35000000</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6536</v>
      </c>
      <c r="C1027" s="371"/>
      <c r="D1027" s="2716" t="str">
        <f>VLOOKUP($A1027,Sheet_NoteList,2,0)</f>
        <v>其他应收款按坏账计提方法分类披露（三阶段模型）</v>
      </c>
      <c r="E1027" s="2716" t="s">
        <v>6531</v>
      </c>
      <c r="F1027" s="293"/>
      <c r="G1027" s="372" t="str">
        <f>"("&amp;B1027&amp;")"&amp;D1027</f>
        <v>(3A)其他应收款按坏账计提方法分类披露（三阶段模型）</v>
      </c>
      <c r="H1027" s="2315">
        <f>$A1027</f>
        <v>122100</v>
      </c>
      <c r="I1027" s="343" t="s">
        <v>5923</v>
      </c>
      <c r="J1027" s="301" t="s">
        <v>5924</v>
      </c>
      <c r="K1027" s="2210">
        <f>J1034</f>
        <v>50300000</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5925</v>
      </c>
      <c r="H1028" s="1617" t="s">
        <v>5388</v>
      </c>
      <c r="I1028" s="371" t="s">
        <v>5926</v>
      </c>
      <c r="J1028" s="371" t="s">
        <v>5932</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5930</v>
      </c>
      <c r="H1029" s="2310" t="s">
        <v>5130</v>
      </c>
      <c r="I1029" s="2310" t="s">
        <v>5131</v>
      </c>
      <c r="J1029" s="2293" t="s">
        <v>2863</v>
      </c>
      <c r="K1029" s="355" t="s">
        <v>5273</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7">IF(OR(G1030="*",G1030="",G1030=0),0,COUNTIF($G$1030:$G$1034,G1030))</f>
        <v>1</v>
      </c>
      <c r="E1030" s="2721">
        <v>1</v>
      </c>
      <c r="F1030" s="293"/>
      <c r="G1030" s="1474" t="s">
        <v>5927</v>
      </c>
      <c r="H1030" s="2275">
        <v>50300000</v>
      </c>
      <c r="I1030" s="2275"/>
      <c r="J1030" s="2296">
        <v>50300000</v>
      </c>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7"/>
        <v>1</v>
      </c>
      <c r="E1031" s="2721">
        <v>1</v>
      </c>
      <c r="F1031" s="293"/>
      <c r="G1031" s="1474" t="s">
        <v>5928</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7"/>
        <v>1</v>
      </c>
      <c r="E1032" s="2721">
        <v>1</v>
      </c>
      <c r="F1032" s="293"/>
      <c r="G1032" s="1474" t="s">
        <v>5929</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7"/>
        <v>1</v>
      </c>
      <c r="E1034" s="2721" t="s">
        <v>2751</v>
      </c>
      <c r="F1034" s="293"/>
      <c r="G1034" s="2234" t="s">
        <v>5141</v>
      </c>
      <c r="H1034" s="2235">
        <f>SUMPRODUCT($E1029:$E1033,H1029:H1033)</f>
        <v>50300000</v>
      </c>
      <c r="I1034" s="2235">
        <f>SUMPRODUCT($E1029:$E1033,I1029:I1033)</f>
        <v>0</v>
      </c>
      <c r="J1034" s="2236">
        <f>SUMPRODUCT($E1029:$E1033,J1029:J1033)</f>
        <v>50300000</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5495</v>
      </c>
      <c r="M1035" s="354"/>
      <c r="N1035" s="317"/>
      <c r="O1035" s="349"/>
      <c r="P1035" s="301"/>
      <c r="S1035" s="364"/>
      <c r="Z1035" s="609" t="s">
        <v>540</v>
      </c>
      <c r="AA1035" s="609" t="s">
        <v>3137</v>
      </c>
    </row>
    <row r="1036" spans="1:29" ht="18.75" thickTop="1">
      <c r="A1036" s="2714"/>
      <c r="B1036" s="371"/>
      <c r="C1036" s="371" t="s">
        <v>2565</v>
      </c>
      <c r="D1036" s="2716"/>
      <c r="F1036" s="293"/>
      <c r="G1036" s="1549" t="s">
        <v>5367</v>
      </c>
      <c r="H1036" s="1550" t="str">
        <f>G988</f>
        <v>(1)其他应收款按账龄披露</v>
      </c>
      <c r="I1036" s="1552"/>
      <c r="J1036" s="1552"/>
      <c r="K1036" s="1553" t="s">
        <v>6355</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50300000</v>
      </c>
      <c r="I1037" s="2252">
        <f ca="1">HYPERLINK("#'"&amp;$G$1&amp;"'!"&amp;ADDRESS(ROW(Notes!H1003),COLUMN(Notes!H1003),4),H1003)</f>
        <v>0</v>
      </c>
      <c r="J1037" s="2252">
        <f ca="1">HYPERLINK("#'"&amp;$G$1&amp;"'!"&amp;ADDRESS(ROW(Notes!H1004),COLUMN(Notes!H1004),4),H1004)</f>
        <v>50300000</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50300000</v>
      </c>
      <c r="I1038" s="456">
        <f t="shared" ref="I1038:J1038" si="89">I1034</f>
        <v>0</v>
      </c>
      <c r="J1038" s="456">
        <f t="shared" si="89"/>
        <v>50300000</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0</v>
      </c>
      <c r="I1039" s="1531">
        <f ca="1">IF(AND(I1037="",I1038=""),"",ROUND(I1037-I1038,2))</f>
        <v>0</v>
      </c>
      <c r="J1039" s="1531">
        <f ca="1">IF(AND(J1037="",J1038=""),"",ROUND(J1037-J1038,2))</f>
        <v>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0</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6537</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50300000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6128</v>
      </c>
      <c r="I1045" s="2291" t="s">
        <v>3146</v>
      </c>
      <c r="J1045" s="2291" t="s">
        <v>2862</v>
      </c>
      <c r="K1045" s="2311" t="s">
        <v>2863</v>
      </c>
      <c r="L1045" s="2312" t="s">
        <v>3147</v>
      </c>
      <c r="M1045" s="355" t="s">
        <v>5273</v>
      </c>
      <c r="N1045" s="434"/>
      <c r="O1045" s="434"/>
      <c r="P1045" s="435"/>
      <c r="Q1045" s="442"/>
      <c r="R1045" s="443"/>
      <c r="S1045" s="364"/>
      <c r="Z1045" s="609" t="s">
        <v>540</v>
      </c>
      <c r="AA1045" s="609" t="s">
        <v>3137</v>
      </c>
    </row>
    <row r="1046" spans="1:29" ht="18">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6573</v>
      </c>
    </row>
    <row r="1047" spans="1:29" ht="18">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6136</v>
      </c>
      <c r="O1047" s="437"/>
      <c r="P1047" s="438"/>
      <c r="Q1047" s="442"/>
      <c r="R1047" s="443"/>
      <c r="S1047" s="364"/>
      <c r="Z1047" s="609" t="s">
        <v>540</v>
      </c>
      <c r="AA1047" s="609" t="s">
        <v>3137</v>
      </c>
    </row>
    <row r="1048" spans="1:29" ht="18">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8">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8">
      <c r="A1050" s="2714"/>
      <c r="B1050" s="371">
        <v>105</v>
      </c>
      <c r="C1050" s="371"/>
      <c r="D1050" s="2716">
        <f t="shared" si="90"/>
        <v>1</v>
      </c>
      <c r="E1050" s="2721">
        <v>1</v>
      </c>
      <c r="F1050" s="293"/>
      <c r="G1050" s="1474" t="s">
        <v>2892</v>
      </c>
      <c r="H1050" s="1476">
        <f>SUM(H1051:H1054)</f>
        <v>50300000</v>
      </c>
      <c r="I1050" s="2298"/>
      <c r="J1050" s="1476">
        <f>SUM(J1051:J1054)</f>
        <v>0</v>
      </c>
      <c r="K1050" s="1476">
        <f t="shared" si="91"/>
        <v>50300000</v>
      </c>
      <c r="L1050" s="2276"/>
      <c r="M1050" s="438"/>
      <c r="O1050" s="437"/>
      <c r="P1050" s="438"/>
      <c r="Q1050" s="442"/>
      <c r="R1050" s="443"/>
      <c r="S1050" s="364"/>
      <c r="Z1050" s="609" t="s">
        <v>540</v>
      </c>
      <c r="AA1050" s="609" t="s">
        <v>3137</v>
      </c>
    </row>
    <row r="1051" spans="1:29" ht="18">
      <c r="A1051" s="2714"/>
      <c r="B1051" s="371">
        <v>106</v>
      </c>
      <c r="C1051" s="371" t="s">
        <v>2791</v>
      </c>
      <c r="D1051" s="2716">
        <f t="shared" si="90"/>
        <v>1</v>
      </c>
      <c r="E1051" s="2721">
        <v>0</v>
      </c>
      <c r="F1051" s="293"/>
      <c r="G1051" s="2284" t="s">
        <v>5945</v>
      </c>
      <c r="H1051" s="2275">
        <v>50300000</v>
      </c>
      <c r="I1051" s="2298"/>
      <c r="J1051" s="2275"/>
      <c r="K1051" s="1476">
        <f t="shared" si="91"/>
        <v>50300000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6573</v>
      </c>
    </row>
    <row r="1052" spans="1:29" ht="18">
      <c r="A1052" s="2714"/>
      <c r="B1052" s="371">
        <v>107</v>
      </c>
      <c r="C1052" s="371" t="s">
        <v>2791</v>
      </c>
      <c r="D1052" s="2716">
        <f t="shared" si="90"/>
        <v>1</v>
      </c>
      <c r="E1052" s="2721">
        <v>0</v>
      </c>
      <c r="F1052" s="293"/>
      <c r="G1052" s="2284" t="s">
        <v>2894</v>
      </c>
      <c r="H1052" s="2275"/>
      <c r="I1052" s="2298"/>
      <c r="J1052" s="2275"/>
      <c r="K1052" s="1476">
        <f t="shared" si="91"/>
        <v>0</v>
      </c>
      <c r="L1052" s="2276"/>
      <c r="M1052" s="438"/>
      <c r="N1052" s="439"/>
      <c r="O1052" s="437"/>
      <c r="P1052" s="438"/>
      <c r="Q1052" s="442"/>
      <c r="R1052" s="443"/>
      <c r="S1052" s="364"/>
      <c r="Z1052" s="609" t="s">
        <v>540</v>
      </c>
      <c r="AA1052" s="609" t="s">
        <v>3137</v>
      </c>
    </row>
    <row r="1053" spans="1:29" ht="18">
      <c r="A1053" s="2714"/>
      <c r="B1053" s="371">
        <v>108</v>
      </c>
      <c r="C1053" s="371" t="s">
        <v>6532</v>
      </c>
      <c r="D1053" s="2716">
        <f t="shared" si="90"/>
        <v>1</v>
      </c>
      <c r="E1053" s="2721">
        <v>0</v>
      </c>
      <c r="F1053" s="293"/>
      <c r="G1053" s="2284" t="s">
        <v>5946</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0"/>
        <v>1</v>
      </c>
      <c r="E1055" s="2721" t="s">
        <v>2751</v>
      </c>
      <c r="F1055" s="293"/>
      <c r="G1055" s="2234" t="s">
        <v>5141</v>
      </c>
      <c r="H1055" s="2235">
        <f>SUMPRODUCT($E1045:$E1054,H1045:H1054)</f>
        <v>50300000</v>
      </c>
      <c r="I1055" s="2242"/>
      <c r="J1055" s="2235">
        <f>SUMPRODUCT($E1045:$E1054,J1045:J1054)</f>
        <v>0</v>
      </c>
      <c r="K1055" s="2235">
        <f>SUMPRODUCT($E1045:$E1054,K1045:K1054)</f>
        <v>50300000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6573</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6538</v>
      </c>
      <c r="C1057" s="371"/>
      <c r="D1057" s="2716" t="str">
        <f>VLOOKUP($A1057,Sheet_NoteList,2,0)</f>
        <v>期末按单项计提坏账准备的其他应收款（第一阶段）</v>
      </c>
      <c r="E1057" s="2716" t="s">
        <v>6531</v>
      </c>
      <c r="F1057" s="293"/>
      <c r="G1057" s="372" t="str">
        <f>"("&amp;B1057&amp;")"&amp;D1057</f>
        <v>(3A1.1)期末按单项计提坏账准备的其他应收款（第一阶段）</v>
      </c>
      <c r="H1057" s="2315">
        <f>$A1057</f>
        <v>122111</v>
      </c>
      <c r="I1057" s="343" t="s">
        <v>5469</v>
      </c>
      <c r="J1057" s="301" t="s">
        <v>5470</v>
      </c>
      <c r="K1057" s="2210">
        <f>H1070</f>
        <v>0</v>
      </c>
      <c r="L1057" s="349">
        <f>IF($I1057="适用",IF(ROUND(K$987-K1057,2)=0,"F/S",ROUND(K$987-K1057,2)),"#N/A")</f>
        <v>50300000</v>
      </c>
      <c r="M1057" s="301" t="s">
        <v>5471</v>
      </c>
      <c r="N1057" s="2210">
        <f>I1070</f>
        <v>0</v>
      </c>
      <c r="O1057" s="349">
        <f>IF($I1057="适用",IF(ROUND(N$987-N1057,2)=0,"F/S",ROUND(N$987-N1057,2)),"#N/A")</f>
        <v>35000000</v>
      </c>
      <c r="P1057" s="301"/>
      <c r="S1057" s="364"/>
      <c r="Z1057" s="609" t="s">
        <v>540</v>
      </c>
      <c r="AA1057" s="609" t="s">
        <v>3137</v>
      </c>
    </row>
    <row r="1058" spans="1:27" ht="0.75" customHeight="1">
      <c r="A1058" s="2714"/>
      <c r="B1058" s="371"/>
      <c r="C1058" s="371"/>
      <c r="D1058" s="2716"/>
      <c r="E1058" s="586"/>
      <c r="F1058" s="586"/>
      <c r="G1058" s="2224"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293" t="s">
        <v>5136</v>
      </c>
      <c r="H1060" s="3239" t="str">
        <f>$V$2</f>
        <v>2019年12月31日</v>
      </c>
      <c r="I1060" s="3240"/>
      <c r="J1060" s="3240"/>
      <c r="K1060" s="3240"/>
      <c r="L1060" s="355" t="s">
        <v>5273</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294"/>
      <c r="H1061" s="2545" t="s">
        <v>6128</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5367</v>
      </c>
      <c r="H1072" s="1550" t="str">
        <f>G1043</f>
        <v>(3A1)期末处于第一阶段的其他应收款坏账准备（三阶段模型）</v>
      </c>
      <c r="I1072" s="1552"/>
      <c r="J1072" s="1551"/>
      <c r="K1072" s="1551"/>
      <c r="L1072" s="1553" t="s">
        <v>5368</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6539</v>
      </c>
      <c r="C1079" s="371"/>
      <c r="D1079" s="2716" t="str">
        <f>VLOOKUP($A1079,Sheet_NoteList,2,0)</f>
        <v>期末按组合1计提坏账准备的其他应收款（第一阶段）</v>
      </c>
      <c r="E1079" s="2716" t="s">
        <v>6533</v>
      </c>
      <c r="F1079" s="293"/>
      <c r="G1079" s="372" t="str">
        <f>"("&amp;B1079&amp;")"&amp;D1079</f>
        <v>(3A1.2)期末按组合1计提坏账准备的其他应收款（第一阶段）</v>
      </c>
      <c r="H1079" s="2315">
        <f>$A1079</f>
        <v>122112</v>
      </c>
      <c r="I1079" s="343" t="s">
        <v>5124</v>
      </c>
      <c r="J1079" s="301" t="s">
        <v>5546</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5472</v>
      </c>
      <c r="I1081" s="371" t="s">
        <v>5377</v>
      </c>
      <c r="J1081" s="371" t="s">
        <v>5378</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293" t="s">
        <v>5137</v>
      </c>
      <c r="H1082" s="3239" t="str">
        <f>$V$2</f>
        <v>2019年12月31日</v>
      </c>
      <c r="I1082" s="3240"/>
      <c r="J1082" s="3240"/>
      <c r="K1082" s="355" t="s">
        <v>5273</v>
      </c>
      <c r="L1082" s="349"/>
      <c r="M1082" s="301"/>
      <c r="N1082" s="391"/>
      <c r="O1082" s="349"/>
      <c r="P1082" s="301"/>
      <c r="S1082" s="364"/>
      <c r="Z1082" s="609" t="s">
        <v>540</v>
      </c>
      <c r="AA1082" s="609" t="s">
        <v>3137</v>
      </c>
    </row>
    <row r="1083" spans="1:27" ht="18">
      <c r="A1083" s="2714"/>
      <c r="B1083" s="371"/>
      <c r="C1083" s="371"/>
      <c r="D1083" s="2716"/>
      <c r="E1083" s="586" t="s">
        <v>2749</v>
      </c>
      <c r="F1083" s="414"/>
      <c r="G1083" s="3294"/>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5367</v>
      </c>
      <c r="H1094" s="1550" t="str">
        <f>G1043</f>
        <v>(3A1)期末处于第一阶段的其他应收款坏账准备（三阶段模型）</v>
      </c>
      <c r="I1094" s="1552"/>
      <c r="J1094" s="1551"/>
      <c r="K1094" s="1553" t="s">
        <v>5368</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v>
      </c>
      <c r="H1095" s="2252">
        <f ca="1">HYPERLINK("#'"&amp;$G$1&amp;"'!"&amp;ADDRESS(ROW(Notes!H1051),COLUMN(Notes!H1051),4),H1051)</f>
        <v>50300000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50300000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50300000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6540</v>
      </c>
      <c r="C1101" s="371"/>
      <c r="D1101" s="2716" t="str">
        <f>VLOOKUP($A1101,Sheet_NoteList,2,0)</f>
        <v>期末按组合2计提坏账准备的其他应收款（第一阶段）</v>
      </c>
      <c r="E1101" s="2716" t="s">
        <v>6533</v>
      </c>
      <c r="F1101" s="293"/>
      <c r="G1101" s="372" t="str">
        <f>"("&amp;B1101&amp;")"&amp;D1101</f>
        <v>(3A1.3)期末按组合2计提坏账准备的其他应收款（第一阶段）</v>
      </c>
      <c r="H1101" s="2315">
        <f>$A1101</f>
        <v>122113</v>
      </c>
      <c r="I1101" s="343" t="s">
        <v>5547</v>
      </c>
      <c r="J1101" s="301" t="s">
        <v>5548</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5549</v>
      </c>
      <c r="I1103" s="371" t="s">
        <v>5550</v>
      </c>
      <c r="J1103" s="371" t="s">
        <v>5551</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333" t="s">
        <v>5948</v>
      </c>
      <c r="H1104" s="3212" t="str">
        <f>$V$2</f>
        <v>2019年12月31日</v>
      </c>
      <c r="I1104" s="3213"/>
      <c r="J1104" s="3213"/>
      <c r="K1104" s="355" t="s">
        <v>5949</v>
      </c>
      <c r="L1104" s="349"/>
      <c r="M1104" s="301"/>
      <c r="N1104" s="391"/>
      <c r="O1104" s="349"/>
      <c r="P1104" s="301"/>
      <c r="S1104" s="364"/>
      <c r="Z1104" s="609" t="s">
        <v>540</v>
      </c>
      <c r="AA1104" s="609" t="s">
        <v>3137</v>
      </c>
    </row>
    <row r="1105" spans="1:27" ht="18">
      <c r="A1105" s="2714"/>
      <c r="B1105" s="371"/>
      <c r="C1105" s="371"/>
      <c r="D1105" s="2716"/>
      <c r="E1105" s="2716" t="s">
        <v>2749</v>
      </c>
      <c r="F1105" s="293"/>
      <c r="G1105" s="3334"/>
      <c r="H1105" s="2207" t="s">
        <v>2861</v>
      </c>
      <c r="I1105" s="2207" t="s">
        <v>2862</v>
      </c>
      <c r="J1105" s="2208" t="s">
        <v>2889</v>
      </c>
      <c r="K1105" s="355" t="s">
        <v>6176</v>
      </c>
      <c r="L1105" s="349"/>
      <c r="M1105" s="301"/>
      <c r="N1105" s="391"/>
      <c r="O1105" s="349"/>
      <c r="P1105" s="301"/>
      <c r="S1105" s="364"/>
      <c r="Z1105" s="609" t="s">
        <v>540</v>
      </c>
      <c r="AA1105" s="609" t="s">
        <v>3137</v>
      </c>
    </row>
    <row r="1106" spans="1:27" ht="18">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6541</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333" t="s">
        <v>5948</v>
      </c>
      <c r="H1119" s="3212" t="str">
        <f>$V$2</f>
        <v>2019年12月31日</v>
      </c>
      <c r="I1119" s="3213"/>
      <c r="J1119" s="3213"/>
      <c r="K1119" s="355" t="s">
        <v>5949</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334"/>
      <c r="H1120" s="2207" t="s">
        <v>2861</v>
      </c>
      <c r="I1120" s="2207" t="s">
        <v>2862</v>
      </c>
      <c r="J1120" s="2208" t="s">
        <v>2889</v>
      </c>
      <c r="K1120" s="355" t="s">
        <v>6176</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6532</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6"/>
        <v>1</v>
      </c>
      <c r="E1129" s="2721" t="s">
        <v>2751</v>
      </c>
      <c r="F1129" s="293"/>
      <c r="G1129" s="1529" t="s">
        <v>5947</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6542</v>
      </c>
      <c r="C1131" s="371"/>
      <c r="D1131" s="2716" t="str">
        <f>VLOOKUP($A1131,Sheet_NoteList,2,0)</f>
        <v>期末处于第二阶段的其他应收款坏账准备（三阶段模型）</v>
      </c>
      <c r="E1131" s="2716" t="s">
        <v>6531</v>
      </c>
      <c r="F1131" s="293"/>
      <c r="G1131" s="372" t="str">
        <f>"("&amp;B1131&amp;")"&amp;D1131</f>
        <v>(3A2)期末处于第二阶段的其他应收款坏账准备（三阶段模型）</v>
      </c>
      <c r="H1131" s="2315">
        <f>$A1131</f>
        <v>122102</v>
      </c>
      <c r="I1131" s="343" t="s">
        <v>5138</v>
      </c>
      <c r="J1131" s="301" t="s">
        <v>5361</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6002</v>
      </c>
      <c r="J1133" s="2291" t="s">
        <v>2862</v>
      </c>
      <c r="K1133" s="2311" t="s">
        <v>2863</v>
      </c>
      <c r="L1133" s="2312" t="s">
        <v>3147</v>
      </c>
      <c r="M1133" s="355" t="s">
        <v>5273</v>
      </c>
      <c r="N1133" s="391"/>
      <c r="O1133" s="349"/>
      <c r="P1133" s="301"/>
      <c r="S1133" s="364"/>
      <c r="Z1133" s="609" t="s">
        <v>540</v>
      </c>
      <c r="AA1133" s="609" t="s">
        <v>3137</v>
      </c>
    </row>
    <row r="1134" spans="1:29" ht="18">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6573</v>
      </c>
    </row>
    <row r="1135" spans="1:29" ht="18">
      <c r="A1135" s="2714"/>
      <c r="B1135" s="371">
        <v>102</v>
      </c>
      <c r="C1135" s="371" t="s">
        <v>2791</v>
      </c>
      <c r="D1135" s="2716">
        <f t="shared" si="97"/>
        <v>0</v>
      </c>
      <c r="E1135" s="2721">
        <v>0</v>
      </c>
      <c r="F1135" s="293"/>
      <c r="G1135" s="2284" t="s">
        <v>2792</v>
      </c>
      <c r="H1135" s="2275"/>
      <c r="I1135" s="2298"/>
      <c r="J1135" s="2275"/>
      <c r="K1135" s="1476">
        <f t="shared" si="98"/>
        <v>0</v>
      </c>
      <c r="L1135" s="2276"/>
      <c r="M1135" s="355" t="s">
        <v>6136</v>
      </c>
      <c r="N1135" s="391"/>
      <c r="O1135" s="349"/>
      <c r="P1135" s="301"/>
      <c r="S1135" s="364"/>
      <c r="Z1135" s="609" t="s">
        <v>540</v>
      </c>
      <c r="AA1135" s="609" t="s">
        <v>3137</v>
      </c>
    </row>
    <row r="1136" spans="1:29" ht="18">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8">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8">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8">
      <c r="A1139" s="2714"/>
      <c r="B1139" s="371">
        <v>106</v>
      </c>
      <c r="C1139" s="371" t="s">
        <v>2791</v>
      </c>
      <c r="D1139" s="2716">
        <f t="shared" si="97"/>
        <v>1</v>
      </c>
      <c r="E1139" s="2721">
        <v>0</v>
      </c>
      <c r="F1139" s="293"/>
      <c r="G1139" s="2284" t="s">
        <v>5945</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6573</v>
      </c>
    </row>
    <row r="1140" spans="1:29" ht="18">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8">
      <c r="A1141" s="2714"/>
      <c r="B1141" s="371">
        <v>108</v>
      </c>
      <c r="C1141" s="371" t="s">
        <v>6532</v>
      </c>
      <c r="D1141" s="2716">
        <f t="shared" si="97"/>
        <v>1</v>
      </c>
      <c r="E1141" s="2721">
        <v>0</v>
      </c>
      <c r="F1141" s="293"/>
      <c r="G1141" s="2284" t="s">
        <v>5946</v>
      </c>
      <c r="H1141" s="2275"/>
      <c r="I1141" s="2298"/>
      <c r="J1141" s="2275"/>
      <c r="K1141" s="1476">
        <f t="shared" ref="K1141" si="99">H1141-J1141</f>
        <v>0</v>
      </c>
      <c r="L1141" s="2276"/>
      <c r="M1141" s="301"/>
      <c r="N1141" s="391"/>
      <c r="O1141" s="349"/>
      <c r="P1141" s="301"/>
      <c r="S1141" s="364"/>
      <c r="Z1141" s="609" t="s">
        <v>540</v>
      </c>
      <c r="AA1141" s="609" t="s">
        <v>3137</v>
      </c>
    </row>
    <row r="1142" spans="1:29" ht="18">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8.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6573</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6543</v>
      </c>
      <c r="C1145" s="371"/>
      <c r="D1145" s="2716" t="str">
        <f>VLOOKUP($A1145,Sheet_NoteList,2,0)</f>
        <v>期末按单项计提坏账准备的其他应收款（第二阶段）</v>
      </c>
      <c r="E1145" s="2716" t="s">
        <v>6531</v>
      </c>
      <c r="F1145" s="293"/>
      <c r="G1145" s="372" t="str">
        <f>"("&amp;B1145&amp;")"&amp;D1145</f>
        <v>(3A2.1)期末按单项计提坏账准备的其他应收款（第二阶段）</v>
      </c>
      <c r="H1145" s="2315">
        <f>$A1145</f>
        <v>122121</v>
      </c>
      <c r="I1145" s="343" t="s">
        <v>5934</v>
      </c>
      <c r="J1145" s="301" t="s">
        <v>5935</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293" t="s">
        <v>5136</v>
      </c>
      <c r="H1148" s="3239" t="str">
        <f>$V$2</f>
        <v>2019年12月31日</v>
      </c>
      <c r="I1148" s="3240"/>
      <c r="J1148" s="3240"/>
      <c r="K1148" s="3240"/>
      <c r="L1148" s="355" t="s">
        <v>5273</v>
      </c>
      <c r="M1148" s="301"/>
      <c r="N1148" s="391"/>
      <c r="O1148" s="349"/>
      <c r="P1148" s="301"/>
      <c r="S1148" s="364"/>
      <c r="Z1148" s="609" t="s">
        <v>540</v>
      </c>
      <c r="AA1148" s="609" t="s">
        <v>3137</v>
      </c>
    </row>
    <row r="1149" spans="1:29" ht="18">
      <c r="A1149" s="2714"/>
      <c r="B1149" s="371"/>
      <c r="C1149" s="371"/>
      <c r="D1149" s="2716"/>
      <c r="E1149" s="586" t="s">
        <v>2749</v>
      </c>
      <c r="F1149" s="414"/>
      <c r="G1149" s="3294"/>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5367</v>
      </c>
      <c r="H1160" s="1550" t="str">
        <f>G1131</f>
        <v>(3A2)期末处于第二阶段的其他应收款坏账准备（三阶段模型）</v>
      </c>
      <c r="I1160" s="1552"/>
      <c r="J1160" s="1551"/>
      <c r="K1160" s="1551"/>
      <c r="L1160" s="1553" t="s">
        <v>5368</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6544</v>
      </c>
      <c r="C1167" s="371"/>
      <c r="D1167" s="2716" t="str">
        <f>VLOOKUP($A1167,Sheet_NoteList,2,0)</f>
        <v>期末按组合1计提坏账准备的其他应收款（第二阶段）</v>
      </c>
      <c r="E1167" s="2716" t="s">
        <v>6533</v>
      </c>
      <c r="F1167" s="293"/>
      <c r="G1167" s="372" t="str">
        <f>"("&amp;B1167&amp;")"&amp;D1167</f>
        <v>(3A2.2)期末按组合1计提坏账准备的其他应收款（第二阶段）</v>
      </c>
      <c r="H1167" s="2315">
        <f>$A1167</f>
        <v>122122</v>
      </c>
      <c r="I1167" s="343" t="s">
        <v>5934</v>
      </c>
      <c r="J1167" s="301" t="s">
        <v>5935</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5472</v>
      </c>
      <c r="I1169" s="371" t="s">
        <v>5377</v>
      </c>
      <c r="J1169" s="371" t="s">
        <v>5378</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293" t="s">
        <v>5137</v>
      </c>
      <c r="H1170" s="3239" t="str">
        <f>$V$2</f>
        <v>2019年12月31日</v>
      </c>
      <c r="I1170" s="3240"/>
      <c r="J1170" s="3240"/>
      <c r="K1170" s="355" t="s">
        <v>5273</v>
      </c>
      <c r="L1170" s="349"/>
      <c r="M1170" s="301"/>
      <c r="N1170" s="391"/>
      <c r="O1170" s="349"/>
      <c r="P1170" s="301"/>
      <c r="S1170" s="364"/>
      <c r="Z1170" s="609" t="s">
        <v>540</v>
      </c>
      <c r="AA1170" s="609" t="s">
        <v>3137</v>
      </c>
    </row>
    <row r="1171" spans="1:27" ht="18">
      <c r="A1171" s="2714"/>
      <c r="B1171" s="371"/>
      <c r="C1171" s="371"/>
      <c r="D1171" s="2716"/>
      <c r="E1171" s="586" t="s">
        <v>2749</v>
      </c>
      <c r="F1171" s="414"/>
      <c r="G1171" s="3294"/>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5367</v>
      </c>
      <c r="H1182" s="1550" t="str">
        <f>G1131</f>
        <v>(3A2)期末处于第二阶段的其他应收款坏账准备（三阶段模型）</v>
      </c>
      <c r="I1182" s="1552"/>
      <c r="J1182" s="1551"/>
      <c r="K1182" s="1553" t="s">
        <v>5368</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6545</v>
      </c>
      <c r="C1189" s="371"/>
      <c r="D1189" s="2716" t="str">
        <f>VLOOKUP($A1189,Sheet_NoteList,2,0)</f>
        <v>期末按组合2计提坏账准备的其他应收款（第二阶段）</v>
      </c>
      <c r="E1189" s="2716" t="s">
        <v>6533</v>
      </c>
      <c r="F1189" s="293"/>
      <c r="G1189" s="372" t="str">
        <f>"("&amp;B1189&amp;")"&amp;D1189</f>
        <v>(3A2.3)期末按组合2计提坏账准备的其他应收款（第二阶段）</v>
      </c>
      <c r="H1189" s="2315">
        <f>$A1189</f>
        <v>122123</v>
      </c>
      <c r="I1189" s="343" t="s">
        <v>5934</v>
      </c>
      <c r="J1189" s="301" t="s">
        <v>5935</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5472</v>
      </c>
      <c r="I1191" s="371" t="s">
        <v>5377</v>
      </c>
      <c r="J1191" s="371" t="s">
        <v>5378</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333" t="s">
        <v>5948</v>
      </c>
      <c r="H1192" s="3212" t="str">
        <f>$V$2</f>
        <v>2019年12月31日</v>
      </c>
      <c r="I1192" s="3213"/>
      <c r="J1192" s="3213"/>
      <c r="K1192" s="355" t="s">
        <v>5949</v>
      </c>
      <c r="L1192" s="349"/>
      <c r="M1192" s="301"/>
      <c r="N1192" s="391"/>
      <c r="O1192" s="349"/>
      <c r="P1192" s="301"/>
      <c r="S1192" s="364"/>
      <c r="Z1192" s="609" t="s">
        <v>540</v>
      </c>
      <c r="AA1192" s="609" t="s">
        <v>3137</v>
      </c>
    </row>
    <row r="1193" spans="1:27" ht="18">
      <c r="A1193" s="2714"/>
      <c r="B1193" s="371"/>
      <c r="C1193" s="371"/>
      <c r="D1193" s="2716"/>
      <c r="E1193" s="2716" t="s">
        <v>2749</v>
      </c>
      <c r="F1193" s="293"/>
      <c r="G1193" s="3334"/>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6546</v>
      </c>
      <c r="C1204" s="371"/>
      <c r="D1204" s="2716" t="str">
        <f>VLOOKUP($A1204,Sheet_NoteList,2,0)</f>
        <v>期末按组合3计提坏账准备的其他应收款（第二阶段）</v>
      </c>
      <c r="E1204" s="2716" t="s">
        <v>6531</v>
      </c>
      <c r="F1204" s="293"/>
      <c r="G1204" s="372" t="str">
        <f>"("&amp;B1204&amp;")"&amp;D1204</f>
        <v>(3A2.4)期末按组合3计提坏账准备的其他应收款（第二阶段）</v>
      </c>
      <c r="H1204" s="2315">
        <f>$A1204</f>
        <v>122124</v>
      </c>
      <c r="I1204" s="343" t="s">
        <v>5934</v>
      </c>
      <c r="J1204" s="301" t="s">
        <v>5935</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333" t="s">
        <v>5948</v>
      </c>
      <c r="H1207" s="3212" t="str">
        <f>$V$2</f>
        <v>2019年12月31日</v>
      </c>
      <c r="I1207" s="3213"/>
      <c r="J1207" s="3213"/>
      <c r="K1207" s="355" t="s">
        <v>5949</v>
      </c>
      <c r="L1207" s="349"/>
      <c r="M1207" s="301"/>
      <c r="N1207" s="391"/>
      <c r="O1207" s="349"/>
      <c r="P1207" s="301"/>
      <c r="S1207" s="364"/>
      <c r="Z1207" s="609" t="s">
        <v>540</v>
      </c>
      <c r="AA1207" s="609" t="s">
        <v>3137</v>
      </c>
    </row>
    <row r="1208" spans="1:27" ht="18">
      <c r="A1208" s="2714"/>
      <c r="B1208" s="371"/>
      <c r="C1208" s="371"/>
      <c r="D1208" s="2716"/>
      <c r="E1208" s="2716" t="s">
        <v>2749</v>
      </c>
      <c r="F1208" s="293"/>
      <c r="G1208" s="3334"/>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6547</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5273</v>
      </c>
      <c r="N1221" s="434"/>
      <c r="O1221" s="434"/>
      <c r="P1221" s="435"/>
      <c r="Q1221" s="442"/>
      <c r="R1221" s="443"/>
      <c r="S1221" s="364"/>
      <c r="Z1221" s="609" t="s">
        <v>540</v>
      </c>
      <c r="AA1221" s="609" t="s">
        <v>3137</v>
      </c>
    </row>
    <row r="1222" spans="1:29" ht="18">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6573</v>
      </c>
    </row>
    <row r="1223" spans="1:29" ht="18">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6136</v>
      </c>
      <c r="N1223" s="439"/>
      <c r="O1223" s="437"/>
      <c r="P1223" s="438"/>
      <c r="Q1223" s="442"/>
      <c r="R1223" s="443"/>
      <c r="S1223" s="364"/>
      <c r="Z1223" s="609" t="s">
        <v>540</v>
      </c>
      <c r="AA1223" s="609" t="s">
        <v>3137</v>
      </c>
    </row>
    <row r="1224" spans="1:29" ht="18">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4"/>
        <v>1</v>
      </c>
      <c r="E1227" s="2721">
        <v>0</v>
      </c>
      <c r="F1227" s="293"/>
      <c r="G1227" s="2284" t="s">
        <v>5945</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6573</v>
      </c>
    </row>
    <row r="1228" spans="1:29" ht="18">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8">
      <c r="A1229" s="2714"/>
      <c r="B1229" s="371">
        <v>108</v>
      </c>
      <c r="C1229" s="371" t="s">
        <v>6532</v>
      </c>
      <c r="D1229" s="2716">
        <f t="shared" si="104"/>
        <v>1</v>
      </c>
      <c r="E1229" s="2721">
        <v>0</v>
      </c>
      <c r="F1229" s="293"/>
      <c r="G1229" s="2284" t="s">
        <v>5946</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6573</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6548</v>
      </c>
      <c r="C1233" s="371"/>
      <c r="D1233" s="2716" t="str">
        <f>VLOOKUP($A1233,Sheet_NoteList,2,0)</f>
        <v>期末按单项计提坏账准备的其他应收款（第三阶段）</v>
      </c>
      <c r="E1233" s="2716" t="s">
        <v>6531</v>
      </c>
      <c r="F1233" s="293"/>
      <c r="G1233" s="372" t="str">
        <f>"("&amp;B1233&amp;")"&amp;D1233</f>
        <v>(3A3.1)期末按单项计提坏账准备的其他应收款（第三阶段）</v>
      </c>
      <c r="H1233" s="2315">
        <f>$A1233</f>
        <v>122131</v>
      </c>
      <c r="I1233" s="343" t="s">
        <v>5934</v>
      </c>
      <c r="J1233" s="301" t="s">
        <v>5935</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293" t="s">
        <v>6003</v>
      </c>
      <c r="H1236" s="3239" t="str">
        <f>$V$2</f>
        <v>2019年12月31日</v>
      </c>
      <c r="I1236" s="3240"/>
      <c r="J1236" s="3240"/>
      <c r="K1236" s="3240"/>
      <c r="L1236" s="355" t="s">
        <v>5273</v>
      </c>
      <c r="M1236" s="301"/>
      <c r="N1236" s="391"/>
      <c r="O1236" s="349"/>
      <c r="P1236" s="301"/>
      <c r="S1236" s="364"/>
      <c r="Z1236" s="609" t="s">
        <v>540</v>
      </c>
      <c r="AA1236" s="609" t="s">
        <v>3137</v>
      </c>
    </row>
    <row r="1237" spans="1:27" ht="18">
      <c r="A1237" s="2714"/>
      <c r="B1237" s="371"/>
      <c r="C1237" s="371"/>
      <c r="D1237" s="2716"/>
      <c r="E1237" s="586" t="s">
        <v>2749</v>
      </c>
      <c r="F1237" s="414"/>
      <c r="G1237" s="3294"/>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5367</v>
      </c>
      <c r="H1248" s="1550" t="str">
        <f>G1219</f>
        <v>(3A3)期末处于第三阶段的其他应收款坏账准备（三阶段模型）</v>
      </c>
      <c r="I1248" s="1552"/>
      <c r="J1248" s="1551"/>
      <c r="K1248" s="1551"/>
      <c r="L1248" s="1553" t="s">
        <v>5368</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6549</v>
      </c>
      <c r="C1255" s="371"/>
      <c r="D1255" s="2716" t="str">
        <f>VLOOKUP($A1255,Sheet_NoteList,2,0)</f>
        <v>期末按组合1计提坏账准备的其他应收款（第三阶段）</v>
      </c>
      <c r="E1255" s="2716" t="s">
        <v>6533</v>
      </c>
      <c r="F1255" s="293"/>
      <c r="G1255" s="372" t="str">
        <f>"("&amp;B1255&amp;")"&amp;D1255</f>
        <v>(3A3.2)期末按组合1计提坏账准备的其他应收款（第三阶段）</v>
      </c>
      <c r="H1255" s="2315">
        <f>$A1255</f>
        <v>122132</v>
      </c>
      <c r="I1255" s="343" t="s">
        <v>5934</v>
      </c>
      <c r="J1255" s="301" t="s">
        <v>5935</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5472</v>
      </c>
      <c r="I1257" s="371" t="s">
        <v>5377</v>
      </c>
      <c r="J1257" s="371" t="s">
        <v>5378</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293" t="s">
        <v>5137</v>
      </c>
      <c r="H1258" s="3239" t="str">
        <f>$V$2</f>
        <v>2019年12月31日</v>
      </c>
      <c r="I1258" s="3240"/>
      <c r="J1258" s="3240"/>
      <c r="K1258" s="355" t="s">
        <v>5273</v>
      </c>
      <c r="L1258" s="349"/>
      <c r="M1258" s="301"/>
      <c r="N1258" s="391"/>
      <c r="O1258" s="349"/>
      <c r="P1258" s="301"/>
      <c r="S1258" s="364"/>
      <c r="Z1258" s="609" t="s">
        <v>540</v>
      </c>
      <c r="AA1258" s="609" t="s">
        <v>3137</v>
      </c>
    </row>
    <row r="1259" spans="1:27" ht="18">
      <c r="A1259" s="2714"/>
      <c r="B1259" s="371"/>
      <c r="C1259" s="371"/>
      <c r="D1259" s="2716"/>
      <c r="E1259" s="586" t="s">
        <v>2749</v>
      </c>
      <c r="F1259" s="414"/>
      <c r="G1259" s="3294"/>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5367</v>
      </c>
      <c r="H1270" s="1550" t="str">
        <f>G1219</f>
        <v>(3A3)期末处于第三阶段的其他应收款坏账准备（三阶段模型）</v>
      </c>
      <c r="I1270" s="1552"/>
      <c r="J1270" s="1551"/>
      <c r="K1270" s="1553" t="s">
        <v>5368</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6550</v>
      </c>
      <c r="C1277" s="371"/>
      <c r="D1277" s="2716" t="str">
        <f>VLOOKUP($A1277,Sheet_NoteList,2,0)</f>
        <v>期末按组合2计提坏账准备的其他应收款（第三阶段）</v>
      </c>
      <c r="E1277" s="2716" t="s">
        <v>6533</v>
      </c>
      <c r="F1277" s="293"/>
      <c r="G1277" s="372" t="str">
        <f>"("&amp;B1277&amp;")"&amp;D1277</f>
        <v>(3A3.3)期末按组合2计提坏账准备的其他应收款（第三阶段）</v>
      </c>
      <c r="H1277" s="2315">
        <f>$A1277</f>
        <v>122133</v>
      </c>
      <c r="I1277" s="343" t="s">
        <v>5934</v>
      </c>
      <c r="J1277" s="301" t="s">
        <v>5935</v>
      </c>
      <c r="K1277" s="2210">
        <f>H1290</f>
        <v>0</v>
      </c>
      <c r="L1277" s="349">
        <f>IF($I1277="适用",IF(ROUND(K$987-K1277,2)=0,"F/S",ROUND(K$987-K1277,2)),"#N/A")</f>
        <v>50300000</v>
      </c>
      <c r="M1277" s="301" t="s">
        <v>5936</v>
      </c>
      <c r="N1277" s="2210">
        <f>I1290</f>
        <v>0</v>
      </c>
      <c r="O1277" s="349">
        <f>IF($I1277="适用",IF(ROUND(N$987-N1277,2)=0,"F/S",ROUND(N$987-N1277,2)),"#N/A")</f>
        <v>35000000</v>
      </c>
      <c r="P1277" s="301"/>
      <c r="S1277" s="364"/>
      <c r="Z1277" s="609" t="s">
        <v>540</v>
      </c>
      <c r="AA1277" s="609" t="s">
        <v>3137</v>
      </c>
    </row>
    <row r="1278" spans="1:27" ht="0.75" customHeight="1">
      <c r="A1278" s="2714"/>
      <c r="B1278" s="371"/>
      <c r="C1278" s="371"/>
      <c r="D1278" s="2716"/>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5472</v>
      </c>
      <c r="I1279" s="371" t="s">
        <v>5377</v>
      </c>
      <c r="J1279" s="371" t="s">
        <v>5378</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333" t="s">
        <v>5948</v>
      </c>
      <c r="H1280" s="3212" t="str">
        <f>$V$2</f>
        <v>2019年12月31日</v>
      </c>
      <c r="I1280" s="3213"/>
      <c r="J1280" s="3213"/>
      <c r="K1280" s="355" t="s">
        <v>5949</v>
      </c>
      <c r="L1280" s="349"/>
      <c r="M1280" s="301"/>
      <c r="N1280" s="391"/>
      <c r="O1280" s="349"/>
      <c r="P1280" s="301"/>
      <c r="S1280" s="364"/>
      <c r="Z1280" s="609" t="s">
        <v>540</v>
      </c>
      <c r="AA1280" s="609" t="s">
        <v>3137</v>
      </c>
    </row>
    <row r="1281" spans="1:27" ht="18">
      <c r="A1281" s="2714"/>
      <c r="B1281" s="371"/>
      <c r="C1281" s="371"/>
      <c r="D1281" s="2716"/>
      <c r="E1281" s="2716" t="s">
        <v>2749</v>
      </c>
      <c r="F1281" s="293"/>
      <c r="G1281" s="3334"/>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6551</v>
      </c>
      <c r="C1292" s="371"/>
      <c r="D1292" s="2716" t="str">
        <f>VLOOKUP($A1292,Sheet_NoteList,2,0)</f>
        <v>期末按组合3计提坏账准备的其他应收款（第三阶段）</v>
      </c>
      <c r="E1292" s="2716" t="s">
        <v>6531</v>
      </c>
      <c r="F1292" s="293"/>
      <c r="G1292" s="372" t="str">
        <f>"("&amp;B1292&amp;")"&amp;D1292</f>
        <v>(3A3.4)期末按组合3计提坏账准备的其他应收款（第三阶段）</v>
      </c>
      <c r="H1292" s="2315">
        <f>$A1292</f>
        <v>122134</v>
      </c>
      <c r="I1292" s="343" t="s">
        <v>5934</v>
      </c>
      <c r="J1292" s="301" t="s">
        <v>5935</v>
      </c>
      <c r="K1292" s="2210">
        <f>H1305</f>
        <v>0</v>
      </c>
      <c r="L1292" s="349">
        <f>IF($I1292="适用",IF(ROUND(K$987-K1292,2)=0,"F/S",ROUND(K$987-K1292,2)),"#N/A")</f>
        <v>50300000</v>
      </c>
      <c r="M1292" s="301" t="s">
        <v>5936</v>
      </c>
      <c r="N1292" s="2210">
        <f>I1305</f>
        <v>0</v>
      </c>
      <c r="O1292" s="349">
        <f>IF($I1292="适用",IF(ROUND(N$987-N1292,2)=0,"F/S",ROUND(N$987-N1292,2)),"#N/A")</f>
        <v>35000000</v>
      </c>
      <c r="P1292" s="301"/>
      <c r="S1292" s="364"/>
      <c r="Z1292" s="609" t="s">
        <v>540</v>
      </c>
      <c r="AA1292" s="609" t="s">
        <v>3137</v>
      </c>
    </row>
    <row r="1293" spans="1:27" ht="0.75" customHeight="1">
      <c r="A1293" s="2714"/>
      <c r="B1293" s="371"/>
      <c r="C1293" s="371"/>
      <c r="D1293" s="2716"/>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333" t="s">
        <v>5948</v>
      </c>
      <c r="H1295" s="3212" t="str">
        <f>$V$2</f>
        <v>2019年12月31日</v>
      </c>
      <c r="I1295" s="3213"/>
      <c r="J1295" s="3213"/>
      <c r="K1295" s="355" t="s">
        <v>5949</v>
      </c>
      <c r="L1295" s="349"/>
      <c r="M1295" s="301"/>
      <c r="N1295" s="391"/>
      <c r="O1295" s="349"/>
      <c r="P1295" s="301"/>
      <c r="S1295" s="364"/>
      <c r="Z1295" s="609" t="s">
        <v>540</v>
      </c>
      <c r="AA1295" s="609" t="s">
        <v>3137</v>
      </c>
    </row>
    <row r="1296" spans="1:27" ht="18">
      <c r="A1296" s="2714"/>
      <c r="B1296" s="371"/>
      <c r="C1296" s="371"/>
      <c r="D1296" s="2716"/>
      <c r="E1296" s="2716" t="s">
        <v>2749</v>
      </c>
      <c r="F1296" s="293"/>
      <c r="G1296" s="3334"/>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6552</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35000000</v>
      </c>
      <c r="P1307" s="301"/>
      <c r="S1307" s="364"/>
      <c r="Z1307" s="609" t="s">
        <v>540</v>
      </c>
      <c r="AA1307" s="609" t="s">
        <v>3137</v>
      </c>
    </row>
    <row r="1308" spans="1:29" ht="0.75" customHeight="1">
      <c r="A1308" s="2714"/>
      <c r="B1308" s="371"/>
      <c r="C1308" s="371"/>
      <c r="D1308" s="2716"/>
      <c r="E1308" s="586"/>
      <c r="F1308" s="586"/>
      <c r="G1308" s="2224"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293" t="s">
        <v>6004</v>
      </c>
      <c r="H1310" s="3239" t="str">
        <f>$V$3</f>
        <v>2018年12月31日</v>
      </c>
      <c r="I1310" s="3240"/>
      <c r="J1310" s="3240"/>
      <c r="K1310" s="3240"/>
      <c r="L1310" s="3240"/>
      <c r="M1310" s="355" t="s">
        <v>5273</v>
      </c>
      <c r="N1310" s="428"/>
      <c r="O1310" s="428"/>
      <c r="P1310" s="433"/>
      <c r="Q1310" s="442"/>
      <c r="R1310" s="443"/>
      <c r="S1310" s="364"/>
      <c r="Z1310" s="609" t="s">
        <v>540</v>
      </c>
      <c r="AA1310" s="609" t="s">
        <v>3137</v>
      </c>
    </row>
    <row r="1311" spans="1:29" ht="18">
      <c r="A1311" s="2714"/>
      <c r="B1311" s="371"/>
      <c r="C1311" s="371"/>
      <c r="D1311" s="2716"/>
      <c r="E1311" s="586" t="s">
        <v>2749</v>
      </c>
      <c r="F1311" s="414"/>
      <c r="G1311" s="3294"/>
      <c r="H1311" s="2294" t="s">
        <v>6005</v>
      </c>
      <c r="I1311" s="2294" t="s">
        <v>2888</v>
      </c>
      <c r="J1311" s="2294" t="s">
        <v>6006</v>
      </c>
      <c r="K1311" s="2239" t="s">
        <v>2889</v>
      </c>
      <c r="L1311" s="2240" t="s">
        <v>6007</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6573</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8">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8">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8.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5367</v>
      </c>
      <c r="H1319" s="1550" t="str">
        <f>G988</f>
        <v>(1)其他应收款按账龄披露</v>
      </c>
      <c r="I1319" s="1551"/>
      <c r="J1319" s="1552"/>
      <c r="K1319" s="1551"/>
      <c r="L1319" s="1552"/>
      <c r="M1319" s="1553" t="s">
        <v>5368</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35000000</v>
      </c>
      <c r="I1320" s="351"/>
      <c r="J1320" s="2252">
        <f ca="1">HYPERLINK("#'"&amp;$G$1&amp;"'!"&amp;ADDRESS(ROW(Notes!I1003),COLUMN(Notes!I1003),4),I1003)</f>
        <v>0</v>
      </c>
      <c r="K1320" s="351"/>
      <c r="L1320" s="2252">
        <f ca="1">HYPERLINK("#'"&amp;$G$1&amp;"'!"&amp;ADDRESS(ROW(Notes!I1004),COLUMN(Notes!I1004),4),I1004)</f>
        <v>35000000</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35000000</v>
      </c>
      <c r="I1322" s="1555"/>
      <c r="J1322" s="1531">
        <f ca="1">IF(AND(J1320="",J1321=""),"",ROUND(J1320-J1321,2))</f>
        <v>0</v>
      </c>
      <c r="K1322" s="1555"/>
      <c r="L1322" s="1531">
        <f ca="1">IF(AND(L1320="",L1321=""),"",ROUND(L1320-L1321,2))</f>
        <v>35000000</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70000000</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6553</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293" t="s">
        <v>3161</v>
      </c>
      <c r="H1329" s="3239" t="str">
        <f>$V$3</f>
        <v>2018年12月31日</v>
      </c>
      <c r="I1329" s="3240"/>
      <c r="J1329" s="3240"/>
      <c r="K1329" s="3240"/>
      <c r="L1329" s="355" t="s">
        <v>5273</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294"/>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5367</v>
      </c>
      <c r="H1341" s="1550" t="str">
        <f>G1307</f>
        <v>(3B)其他应收款按坏账计提方法分类披露（已发生损失模型）</v>
      </c>
      <c r="I1341" s="1552"/>
      <c r="J1341" s="1551"/>
      <c r="K1341" s="1551"/>
      <c r="L1341" s="1553" t="s">
        <v>5368</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6554</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293" t="s">
        <v>6008</v>
      </c>
      <c r="H1351" s="3239" t="str">
        <f>$V$3</f>
        <v>2018年12月31日</v>
      </c>
      <c r="I1351" s="3240"/>
      <c r="J1351" s="3240"/>
      <c r="K1351" s="355" t="s">
        <v>5273</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294"/>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4">IF(OR(G1353="*",G1353="",G1353=0),0,COUNTIF($G$1353:$G$1363,G1353))</f>
        <v>1</v>
      </c>
      <c r="E1353" s="2721" t="s">
        <v>6534</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6532</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6608</v>
      </c>
      <c r="F1365" s="294"/>
      <c r="G1365" s="307" t="str">
        <f>"("&amp;B1365&amp;")"&amp;D1365</f>
        <v>(1)其他应收款按种类列示</v>
      </c>
      <c r="H1365" s="1517" t="str">
        <f>$A1365</f>
        <v>1221a</v>
      </c>
      <c r="I1365" s="343" t="s">
        <v>6611</v>
      </c>
      <c r="J1365" s="301" t="s">
        <v>6614</v>
      </c>
      <c r="K1365" s="344">
        <f>L1378</f>
        <v>0</v>
      </c>
      <c r="L1365" s="345" t="str">
        <f>IF($I1365="适用",IF(ROUND($K987-K1365,2)=0,"F/S",ROUND($K987-K1365,2)),"#N/A")</f>
        <v>#N/A</v>
      </c>
      <c r="M1365" s="301" t="s">
        <v>6615</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335" t="s">
        <v>2973</v>
      </c>
      <c r="H1368" s="3282" t="s">
        <v>2775</v>
      </c>
      <c r="I1368" s="3283"/>
      <c r="J1368" s="3283"/>
      <c r="K1368" s="3283"/>
      <c r="L1368" s="3284"/>
      <c r="M1368" s="424" t="s">
        <v>5990</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336"/>
      <c r="H1369" s="2574" t="s">
        <v>6128</v>
      </c>
      <c r="I1369" s="2575"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6573</v>
      </c>
      <c r="AE1370" s="369" t="s">
        <v>2761</v>
      </c>
    </row>
    <row r="1371" spans="1:31" ht="24"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6573</v>
      </c>
      <c r="AE1372" s="369" t="s">
        <v>2761</v>
      </c>
    </row>
    <row r="1373" spans="1:31" ht="18"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5367</v>
      </c>
      <c r="H1380" s="1550" t="str">
        <f>G1013</f>
        <v>(2)其他应收款按款项性质分类情况</v>
      </c>
      <c r="I1380" s="1551"/>
      <c r="J1380" s="1552"/>
      <c r="K1380" s="1551"/>
      <c r="L1380" s="1552"/>
      <c r="M1380" s="1553" t="s">
        <v>5368</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50300000</v>
      </c>
      <c r="I1381" s="351"/>
      <c r="J1381" s="2252">
        <f ca="1">HYPERLINK("#'"&amp;$G$1&amp;"'!"&amp;ADDRESS(ROW(Notes!H1024),COLUMN(Notes!H1024),4),H1024)</f>
        <v>0</v>
      </c>
      <c r="K1381" s="351"/>
      <c r="L1381" s="2252">
        <f ca="1">HYPERLINK("#'"&amp;$G$1&amp;"'!"&amp;ADDRESS(ROW(Notes!H1025),COLUMN(Notes!H1025),4),H1025)</f>
        <v>50300000</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50300000</v>
      </c>
      <c r="I1383" s="1555"/>
      <c r="J1383" s="1531">
        <f ca="1">IF(AND(J1381="",J1382=""),"",ROUND(J1381-J1382,2))</f>
        <v>0</v>
      </c>
      <c r="K1383" s="1555"/>
      <c r="L1383" s="1531">
        <f ca="1">IF(AND(L1381="",L1382=""),"",ROUND(L1381-L1382,2))</f>
        <v>50300000</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100600000</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6608</v>
      </c>
      <c r="F1387" s="294"/>
      <c r="G1387" s="372" t="str">
        <f>"("&amp;B1387&amp;")"&amp;D1387</f>
        <v>(3)其他应收款按种类列示（续）</v>
      </c>
      <c r="H1387" s="1517" t="str">
        <f>$A1387</f>
        <v>1221b</v>
      </c>
      <c r="I1387" s="343" t="s">
        <v>6611</v>
      </c>
      <c r="J1387" s="301" t="s">
        <v>6615</v>
      </c>
      <c r="K1387" s="423"/>
      <c r="L1387" s="315"/>
      <c r="M1387" s="301" t="s">
        <v>6623</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335" t="s">
        <v>2973</v>
      </c>
      <c r="H1390" s="3282" t="s">
        <v>2776</v>
      </c>
      <c r="I1390" s="3283"/>
      <c r="J1390" s="3283"/>
      <c r="K1390" s="3283"/>
      <c r="L1390" s="3284"/>
      <c r="M1390" s="424" t="s">
        <v>5990</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336"/>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5367</v>
      </c>
      <c r="H1402" s="1550" t="str">
        <f>G1013</f>
        <v>(2)其他应收款按款项性质分类情况</v>
      </c>
      <c r="I1402" s="2642"/>
      <c r="J1402" s="2643"/>
      <c r="K1402" s="2642"/>
      <c r="L1402" s="2643"/>
      <c r="M1402" s="1553" t="s">
        <v>5368</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35000000</v>
      </c>
      <c r="I1403" s="2644"/>
      <c r="J1403" s="2252">
        <f ca="1">HYPERLINK("#'"&amp;$G$1&amp;"'!"&amp;ADDRESS(ROW(Notes!I1024),COLUMN(Notes!I1024),4),I1024)</f>
        <v>0</v>
      </c>
      <c r="K1403" s="2644"/>
      <c r="L1403" s="2252">
        <f ca="1">HYPERLINK("#'"&amp;$G$1&amp;"'!"&amp;ADDRESS(ROW(Notes!I1025),COLUMN(Notes!I1025),4),I1025)</f>
        <v>35000000</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35000000</v>
      </c>
      <c r="I1405" s="2645"/>
      <c r="J1405" s="1531">
        <f ca="1">IF(AND(J1403="",J1404=""),"",ROUND(J1403-J1404,2))</f>
        <v>0</v>
      </c>
      <c r="K1405" s="2645"/>
      <c r="L1405" s="1531">
        <f ca="1">IF(AND(L1403="",L1404=""),"",ROUND(L1403-L1404,2))</f>
        <v>35000000</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70000000</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6608</v>
      </c>
      <c r="F1409" s="294"/>
      <c r="G1409" s="372" t="str">
        <f>"("&amp;B1409&amp;")"&amp;D1409</f>
        <v>(4)期末单项金额重大并单项计提坏账准备的其他应收款</v>
      </c>
      <c r="H1409" s="1517" t="str">
        <f>$A1409</f>
        <v>1221g</v>
      </c>
      <c r="I1409" s="343" t="s">
        <v>6611</v>
      </c>
      <c r="J1409" s="301" t="s">
        <v>6614</v>
      </c>
      <c r="K1409" s="344">
        <f>H1419</f>
        <v>0</v>
      </c>
      <c r="L1409" s="345"/>
      <c r="M1409" s="301" t="s">
        <v>6615</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331" t="s">
        <v>5479</v>
      </c>
      <c r="H1412" s="3279" t="s">
        <v>5478</v>
      </c>
      <c r="I1412" s="3279"/>
      <c r="J1412" s="3279"/>
      <c r="K1412" s="3280"/>
      <c r="L1412" s="424" t="s">
        <v>5990</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332"/>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5367</v>
      </c>
      <c r="H1421" s="1550" t="str">
        <f>G1365</f>
        <v>(1)其他应收款按种类列示</v>
      </c>
      <c r="I1421" s="1552"/>
      <c r="J1421" s="1551"/>
      <c r="K1421" s="1551"/>
      <c r="L1421" s="1553" t="s">
        <v>5368</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6608</v>
      </c>
      <c r="F1428" s="294"/>
      <c r="G1428" s="372" t="str">
        <f>"("&amp;B1428&amp;")"&amp;D1428</f>
        <v>(5)组合中按账龄分析法计提坏账准备的其他应收款</v>
      </c>
      <c r="H1428" s="1517" t="str">
        <f>$A1428</f>
        <v>1221d</v>
      </c>
      <c r="I1428" s="343" t="s">
        <v>6625</v>
      </c>
      <c r="J1428" s="301" t="s">
        <v>6624</v>
      </c>
      <c r="K1428" s="344">
        <f>L1440</f>
        <v>0</v>
      </c>
      <c r="L1428" s="345" t="str">
        <f>IF($I1428="适用",IF(ROUND(K987-K1428,2)&gt;=0,"","#Logical!"),"#N/A")</f>
        <v>#N/A</v>
      </c>
      <c r="M1428" s="301" t="s">
        <v>6615</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295" t="s">
        <v>6417</v>
      </c>
      <c r="H1431" s="3279" t="s">
        <v>2775</v>
      </c>
      <c r="I1431" s="3279"/>
      <c r="J1431" s="3279"/>
      <c r="K1431" s="3279"/>
      <c r="L1431" s="3280"/>
      <c r="M1431" s="424" t="s">
        <v>5990</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296"/>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1"/>
        <v>1</v>
      </c>
      <c r="E1440" s="2721" t="s">
        <v>2751</v>
      </c>
      <c r="F1440" s="294"/>
      <c r="G1440" s="310" t="s">
        <v>6416</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5367</v>
      </c>
      <c r="H1442" s="1550" t="str">
        <f>G1365</f>
        <v>(1)其他应收款按种类列示</v>
      </c>
      <c r="I1442" s="1551"/>
      <c r="J1442" s="1552"/>
      <c r="K1442" s="1551"/>
      <c r="L1442" s="1551"/>
      <c r="M1442" s="1553" t="s">
        <v>5368</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6622</v>
      </c>
      <c r="F1449" s="294"/>
      <c r="G1449" s="372" t="str">
        <f>"("&amp;B1449&amp;")"&amp;D1449</f>
        <v>(6)组合中采用余额百分比法计提坏账准备的其他应收款</v>
      </c>
      <c r="H1449" s="1517" t="str">
        <f>$A1449</f>
        <v>1221e</v>
      </c>
      <c r="I1449" s="343" t="s">
        <v>6616</v>
      </c>
      <c r="J1449" s="301" t="s">
        <v>6614</v>
      </c>
      <c r="K1449" s="344">
        <f>H1457-I1457</f>
        <v>0</v>
      </c>
      <c r="L1449" s="345" t="str">
        <f>IF($I1449="适用",IF(ROUND(K987-K1449,2)&gt;=0,"","#Logical!"),"#N/A")</f>
        <v>#N/A</v>
      </c>
      <c r="M1449" s="301" t="s">
        <v>6615</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5990</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6176</v>
      </c>
      <c r="M1452" s="291"/>
      <c r="N1452" s="291"/>
      <c r="O1452" s="291"/>
      <c r="S1452" s="364"/>
      <c r="Z1452" s="609" t="s">
        <v>540</v>
      </c>
      <c r="AA1452" s="609" t="s">
        <v>3137</v>
      </c>
      <c r="AE1452" s="369" t="s">
        <v>2761</v>
      </c>
    </row>
    <row r="1453" spans="1:31" ht="18"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6613</v>
      </c>
      <c r="F1459" s="294"/>
      <c r="G1459" s="372" t="str">
        <f>"("&amp;B1459&amp;")"&amp;D1459</f>
        <v>(7)组合中采用其他方法计提坏账准备的其他应收款</v>
      </c>
      <c r="H1459" s="1517" t="str">
        <f>$A1459</f>
        <v>1221f</v>
      </c>
      <c r="I1459" s="343" t="s">
        <v>6611</v>
      </c>
      <c r="J1459" s="301" t="s">
        <v>6609</v>
      </c>
      <c r="K1459" s="344">
        <f>J1467</f>
        <v>0</v>
      </c>
      <c r="L1459" s="345" t="str">
        <f>IF($I1459="适用",IF(ROUND(K$987-K1459,2)&gt;=0,"","#Logical!"),"#N/A")</f>
        <v>#N/A</v>
      </c>
      <c r="M1459" s="301" t="s">
        <v>6615</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5990</v>
      </c>
      <c r="N1461" s="291"/>
      <c r="S1461" s="364"/>
      <c r="Z1461" s="609" t="s">
        <v>540</v>
      </c>
      <c r="AA1461" s="609" t="s">
        <v>3137</v>
      </c>
      <c r="AE1461" s="369" t="s">
        <v>2761</v>
      </c>
    </row>
    <row r="1462" spans="1:31" ht="18"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6176</v>
      </c>
      <c r="N1462" s="291"/>
      <c r="S1462" s="364"/>
      <c r="Z1462" s="609" t="s">
        <v>540</v>
      </c>
      <c r="AA1462" s="609" t="s">
        <v>3137</v>
      </c>
      <c r="AE1462" s="369" t="s">
        <v>2761</v>
      </c>
    </row>
    <row r="1463" spans="1:31" ht="18"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8"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8"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8"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8.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293" t="s">
        <v>6009</v>
      </c>
      <c r="H1472" s="3234" t="str">
        <f>$V$3</f>
        <v>2018年12月31日</v>
      </c>
      <c r="I1472" s="3236" t="s">
        <v>6010</v>
      </c>
      <c r="J1472" s="3234" t="str">
        <f>$X$3</f>
        <v>2019年1月1日</v>
      </c>
      <c r="K1472" s="3238" t="s">
        <v>2919</v>
      </c>
      <c r="L1472" s="3238"/>
      <c r="M1472" s="3238"/>
      <c r="N1472" s="3217" t="str">
        <f>$V$2</f>
        <v>2019年12月31日</v>
      </c>
      <c r="O1472" s="355" t="s">
        <v>5273</v>
      </c>
      <c r="P1472" s="433"/>
      <c r="Q1472" s="442"/>
      <c r="R1472" s="443"/>
      <c r="S1472" s="364"/>
      <c r="Z1472" s="609" t="s">
        <v>540</v>
      </c>
      <c r="AA1472" s="609" t="s">
        <v>3137</v>
      </c>
    </row>
    <row r="1473" spans="1:27" ht="18">
      <c r="A1473" s="2714"/>
      <c r="B1473" s="371"/>
      <c r="C1473" s="371"/>
      <c r="D1473" s="2716"/>
      <c r="E1473" s="586" t="s">
        <v>2749</v>
      </c>
      <c r="F1473" s="414"/>
      <c r="G1473" s="3294"/>
      <c r="H1473" s="3235"/>
      <c r="I1473" s="3237"/>
      <c r="J1473" s="3235"/>
      <c r="K1473" s="2239" t="s">
        <v>6011</v>
      </c>
      <c r="L1473" s="2239" t="s">
        <v>6012</v>
      </c>
      <c r="M1473" s="2294" t="s">
        <v>6013</v>
      </c>
      <c r="N1473" s="3218"/>
      <c r="O1473" s="434"/>
      <c r="P1473" s="435"/>
      <c r="Q1473" s="442"/>
      <c r="R1473" s="443"/>
      <c r="S1473" s="364"/>
      <c r="Z1473" s="609" t="s">
        <v>540</v>
      </c>
      <c r="AA1473" s="609" t="s">
        <v>3137</v>
      </c>
    </row>
    <row r="1474" spans="1:27" ht="18">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8">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8">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8">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8">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8">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8">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8.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5367</v>
      </c>
      <c r="H1484" s="1550" t="str">
        <f>G988</f>
        <v>(1)其他应收款按账龄披露</v>
      </c>
      <c r="I1484" s="1551"/>
      <c r="J1484" s="1551"/>
      <c r="K1484" s="1551"/>
      <c r="L1484" s="1551"/>
      <c r="M1484" s="1551"/>
      <c r="N1484" s="1552"/>
      <c r="O1484" s="1553" t="s">
        <v>5368</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6533</v>
      </c>
      <c r="F1491" s="293"/>
      <c r="G1491" s="372" t="str">
        <f>"("&amp;B1491&amp;")"&amp;D1491</f>
        <v>(4)本期其他应收款坏账准备的变动情况（备选格式）</v>
      </c>
      <c r="H1491" s="2315">
        <f>$A1491</f>
        <v>122104</v>
      </c>
      <c r="I1491" s="343" t="s">
        <v>5626</v>
      </c>
      <c r="J1491" s="301" t="s">
        <v>5627</v>
      </c>
      <c r="K1491" s="2210">
        <f>H1508</f>
        <v>0</v>
      </c>
      <c r="L1491" s="349">
        <f>IF($I1491="适用",IF(ROUND(K$987-K1491,2)=0,"F/S",ROUND(K$987-K1491,2)),"#N/A")</f>
        <v>50300000</v>
      </c>
      <c r="M1491" s="301" t="s">
        <v>5628</v>
      </c>
      <c r="N1491" s="2210">
        <f>I1508</f>
        <v>0</v>
      </c>
      <c r="O1491" s="349">
        <f>IF($I1491="适用",IF(ROUND(N$987-N1491,2)=0,"F/S",ROUND(N$987-N1491,2)),"#N/A")</f>
        <v>35000000</v>
      </c>
      <c r="P1491" s="301"/>
      <c r="S1491" s="364"/>
      <c r="Z1491" s="609" t="s">
        <v>540</v>
      </c>
      <c r="AA1491" s="609" t="s">
        <v>3137</v>
      </c>
    </row>
    <row r="1492" spans="1:27" ht="0.75" customHeight="1">
      <c r="A1492" s="2714"/>
      <c r="B1492" s="371"/>
      <c r="C1492" s="371"/>
      <c r="D1492" s="2716"/>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253" t="s">
        <v>5854</v>
      </c>
      <c r="H1494" s="2291" t="s">
        <v>3348</v>
      </c>
      <c r="I1494" s="2291" t="s">
        <v>3349</v>
      </c>
      <c r="J1494" s="2291" t="s">
        <v>3350</v>
      </c>
      <c r="K1494" s="3303" t="s">
        <v>3351</v>
      </c>
      <c r="L1494" s="355" t="s">
        <v>5273</v>
      </c>
      <c r="M1494" s="301"/>
      <c r="N1494" s="391"/>
      <c r="O1494" s="349"/>
      <c r="P1494" s="301"/>
      <c r="S1494" s="364"/>
      <c r="Z1494" s="609" t="s">
        <v>540</v>
      </c>
      <c r="AA1494" s="609" t="s">
        <v>3137</v>
      </c>
    </row>
    <row r="1495" spans="1:27" ht="36">
      <c r="A1495" s="2714"/>
      <c r="B1495" s="371"/>
      <c r="C1495" s="371"/>
      <c r="D1495" s="2716"/>
      <c r="E1495" s="2716" t="s">
        <v>2749</v>
      </c>
      <c r="F1495" s="293"/>
      <c r="G1495" s="3292"/>
      <c r="H1495" s="2294" t="s">
        <v>3352</v>
      </c>
      <c r="I1495" s="2294" t="s">
        <v>3353</v>
      </c>
      <c r="J1495" s="2294" t="s">
        <v>3354</v>
      </c>
      <c r="K1495" s="3274"/>
      <c r="L1495" s="355" t="s">
        <v>6354</v>
      </c>
      <c r="M1495" s="301"/>
      <c r="N1495" s="391"/>
      <c r="O1495" s="349"/>
      <c r="P1495" s="301"/>
      <c r="S1495" s="364"/>
      <c r="Z1495" s="609" t="s">
        <v>540</v>
      </c>
      <c r="AA1495" s="609" t="s">
        <v>3137</v>
      </c>
    </row>
    <row r="1496" spans="1:27" ht="18">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3"/>
        <v>1</v>
      </c>
      <c r="E1498" s="2721">
        <v>1</v>
      </c>
      <c r="F1498" s="293"/>
      <c r="G1498" s="1474" t="s">
        <v>5860</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3"/>
        <v>1</v>
      </c>
      <c r="E1499" s="2721">
        <v>1</v>
      </c>
      <c r="F1499" s="293"/>
      <c r="G1499" s="1474" t="s">
        <v>5861</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4">
      <c r="A1500" s="2714"/>
      <c r="B1500" s="371">
        <v>105</v>
      </c>
      <c r="C1500" s="371"/>
      <c r="D1500" s="2716">
        <f t="shared" si="133"/>
        <v>1</v>
      </c>
      <c r="E1500" s="2721">
        <v>1</v>
      </c>
      <c r="F1500" s="293"/>
      <c r="G1500" s="1474" t="s">
        <v>5862</v>
      </c>
      <c r="H1500" s="1465">
        <v>0</v>
      </c>
      <c r="I1500" s="1465">
        <v>0</v>
      </c>
      <c r="J1500" s="309"/>
      <c r="K1500" s="1477">
        <f t="shared" si="134"/>
        <v>0</v>
      </c>
      <c r="L1500" s="1493"/>
      <c r="M1500" s="301"/>
      <c r="N1500" s="2193"/>
      <c r="O1500" s="349"/>
      <c r="P1500" s="301"/>
      <c r="S1500" s="364"/>
      <c r="Z1500" s="609" t="s">
        <v>540</v>
      </c>
      <c r="AA1500" s="609" t="s">
        <v>3137</v>
      </c>
    </row>
    <row r="1501" spans="1:27" ht="24">
      <c r="A1501" s="2714"/>
      <c r="B1501" s="371">
        <v>106</v>
      </c>
      <c r="C1501" s="371"/>
      <c r="D1501" s="2716">
        <f t="shared" si="133"/>
        <v>1</v>
      </c>
      <c r="E1501" s="2721">
        <v>1</v>
      </c>
      <c r="F1501" s="293"/>
      <c r="G1501" s="1474" t="s">
        <v>5855</v>
      </c>
      <c r="H1501" s="1465">
        <v>0</v>
      </c>
      <c r="I1501" s="309"/>
      <c r="J1501" s="309"/>
      <c r="K1501" s="1477">
        <f t="shared" si="134"/>
        <v>0</v>
      </c>
      <c r="L1501" s="1493"/>
      <c r="M1501" s="301"/>
      <c r="N1501" s="391"/>
      <c r="O1501" s="349"/>
      <c r="P1501" s="301"/>
      <c r="S1501" s="364"/>
      <c r="Z1501" s="609" t="s">
        <v>540</v>
      </c>
      <c r="AA1501" s="609" t="s">
        <v>3137</v>
      </c>
    </row>
    <row r="1502" spans="1:27" ht="18">
      <c r="A1502" s="2714"/>
      <c r="B1502" s="371">
        <v>107</v>
      </c>
      <c r="C1502" s="371"/>
      <c r="D1502" s="2716">
        <f t="shared" si="133"/>
        <v>1</v>
      </c>
      <c r="E1502" s="2721">
        <v>1</v>
      </c>
      <c r="F1502" s="293"/>
      <c r="G1502" s="1474" t="s">
        <v>5856</v>
      </c>
      <c r="H1502" s="309"/>
      <c r="I1502" s="309"/>
      <c r="J1502" s="309"/>
      <c r="K1502" s="1477">
        <f t="shared" si="134"/>
        <v>0</v>
      </c>
      <c r="L1502" s="349"/>
      <c r="M1502" s="301"/>
      <c r="N1502" s="391"/>
      <c r="O1502" s="349"/>
      <c r="P1502" s="301"/>
      <c r="S1502" s="364"/>
      <c r="Z1502" s="609" t="s">
        <v>540</v>
      </c>
      <c r="AA1502" s="609" t="s">
        <v>3137</v>
      </c>
    </row>
    <row r="1503" spans="1:27" ht="18">
      <c r="A1503" s="2714"/>
      <c r="B1503" s="371">
        <v>108</v>
      </c>
      <c r="C1503" s="371"/>
      <c r="D1503" s="2716">
        <f t="shared" si="133"/>
        <v>1</v>
      </c>
      <c r="E1503" s="2721">
        <v>-1</v>
      </c>
      <c r="F1503" s="293"/>
      <c r="G1503" s="1474" t="s">
        <v>5857</v>
      </c>
      <c r="H1503" s="309"/>
      <c r="I1503" s="309"/>
      <c r="J1503" s="309"/>
      <c r="K1503" s="1477">
        <f t="shared" si="134"/>
        <v>0</v>
      </c>
      <c r="L1503" s="349"/>
      <c r="M1503" s="301"/>
      <c r="N1503" s="391"/>
      <c r="O1503" s="349"/>
      <c r="P1503" s="301"/>
      <c r="S1503" s="364"/>
      <c r="Z1503" s="609" t="s">
        <v>540</v>
      </c>
      <c r="AA1503" s="609" t="s">
        <v>3137</v>
      </c>
    </row>
    <row r="1504" spans="1:27" ht="18">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8">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4">
      <c r="A1506" s="2714"/>
      <c r="B1506" s="371">
        <v>111</v>
      </c>
      <c r="C1506" s="371"/>
      <c r="D1506" s="2716">
        <f t="shared" si="133"/>
        <v>1</v>
      </c>
      <c r="E1506" s="2721">
        <v>1</v>
      </c>
      <c r="F1506" s="293"/>
      <c r="G1506" s="1474" t="s">
        <v>5858</v>
      </c>
      <c r="H1506" s="309"/>
      <c r="I1506" s="309"/>
      <c r="J1506" s="309"/>
      <c r="K1506" s="1477">
        <f t="shared" si="134"/>
        <v>0</v>
      </c>
      <c r="L1506" s="349"/>
      <c r="M1506" s="301"/>
      <c r="N1506" s="391"/>
      <c r="O1506" s="349"/>
      <c r="P1506" s="301"/>
      <c r="S1506" s="364"/>
      <c r="Z1506" s="609" t="s">
        <v>540</v>
      </c>
      <c r="AA1506" s="609" t="s">
        <v>3137</v>
      </c>
    </row>
    <row r="1507" spans="1:27" ht="18">
      <c r="A1507" s="2714"/>
      <c r="B1507" s="371">
        <v>112</v>
      </c>
      <c r="C1507" s="371" t="s">
        <v>2791</v>
      </c>
      <c r="D1507" s="2716">
        <f t="shared" si="133"/>
        <v>0</v>
      </c>
      <c r="E1507" s="2721">
        <v>1</v>
      </c>
      <c r="F1507" s="293"/>
      <c r="G1507" s="2190" t="s">
        <v>5859</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3"/>
        <v>1</v>
      </c>
      <c r="E1508" s="2721" t="s">
        <v>6555</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4"/>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5273</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f>IF($I1520="适用",IF(ROUND(K$987-K1520,2)=0,"F/S",ROUND(K$987-K1520,2)),"#N/A")</f>
        <v>50300000</v>
      </c>
      <c r="M1520" s="301" t="s">
        <v>2745</v>
      </c>
      <c r="N1520" s="2210">
        <f>I1525</f>
        <v>0</v>
      </c>
      <c r="O1520" s="349">
        <f>IF($I1520="适用",IF(ROUND(N$987-N1520,2)=0,"F/S",ROUND(N$987-N1520,2)),"#N/A")</f>
        <v>35000000</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5273</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4"/>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5273</v>
      </c>
      <c r="N1529" s="291"/>
      <c r="O1529" s="291"/>
      <c r="S1529" s="364"/>
      <c r="Z1529" s="609" t="s">
        <v>540</v>
      </c>
      <c r="AA1529" s="609" t="s">
        <v>3137</v>
      </c>
    </row>
    <row r="1530" spans="1:27" ht="18">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4"/>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5273</v>
      </c>
      <c r="N1540" s="291"/>
      <c r="O1540" s="291"/>
      <c r="P1540" s="291"/>
      <c r="S1540" s="364"/>
      <c r="Z1540" s="609" t="s">
        <v>540</v>
      </c>
      <c r="AA1540" s="609" t="s">
        <v>3137</v>
      </c>
    </row>
    <row r="1541" spans="1:27" ht="24">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4"/>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6129</v>
      </c>
      <c r="K1559" s="2535" t="s">
        <v>3200</v>
      </c>
      <c r="L1559" s="355" t="s">
        <v>5273</v>
      </c>
      <c r="M1559" s="291"/>
      <c r="N1559" s="291"/>
      <c r="O1559" s="291"/>
      <c r="S1559" s="364"/>
      <c r="Z1559" s="609" t="s">
        <v>540</v>
      </c>
      <c r="AA1559" s="609" t="s">
        <v>3137</v>
      </c>
    </row>
    <row r="1560" spans="1:27" ht="18">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4"/>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5273</v>
      </c>
      <c r="L1569" s="291"/>
      <c r="M1569" s="291"/>
      <c r="S1569" s="364"/>
      <c r="Z1569" s="609" t="s">
        <v>540</v>
      </c>
      <c r="AA1569" s="609" t="s">
        <v>3137</v>
      </c>
    </row>
    <row r="1570" spans="1:27" ht="18">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4"/>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5273</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6531</v>
      </c>
      <c r="F1587" s="294"/>
      <c r="G1587" s="372" t="str">
        <f>"("&amp;B1587&amp;")"&amp;D1587</f>
        <v>(10)外币其他应收款</v>
      </c>
      <c r="H1587" s="1517" t="str">
        <f>$A1587</f>
        <v>1221c</v>
      </c>
      <c r="I1587" s="343" t="s">
        <v>5608</v>
      </c>
      <c r="J1587" s="301" t="s">
        <v>5606</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5604</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5364</v>
      </c>
      <c r="L1590" s="1522" t="s">
        <v>5365</v>
      </c>
      <c r="M1590" s="291"/>
      <c r="N1590" s="291"/>
      <c r="O1590" s="291"/>
      <c r="P1590" s="291"/>
      <c r="Q1590" s="367"/>
      <c r="R1590" s="367"/>
      <c r="S1590" s="364"/>
      <c r="Z1590" s="609" t="s">
        <v>540</v>
      </c>
      <c r="AA1590" s="609" t="s">
        <v>3137</v>
      </c>
    </row>
    <row r="1591" spans="1:27" ht="18">
      <c r="A1591" s="2714"/>
      <c r="B1591" s="371">
        <v>102</v>
      </c>
      <c r="C1591" s="371" t="s">
        <v>2791</v>
      </c>
      <c r="D1591" s="2716">
        <f t="shared" si="141"/>
        <v>1</v>
      </c>
      <c r="E1591" s="2721">
        <v>1</v>
      </c>
      <c r="F1591" s="294"/>
      <c r="G1591" s="1634"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6531</v>
      </c>
      <c r="F1597" s="294"/>
      <c r="G1597" s="372" t="str">
        <f>"("&amp;B1597&amp;")"&amp;D1597</f>
        <v>(11)关联方应收应付款项——其他应收款</v>
      </c>
      <c r="H1597" s="1517" t="str">
        <f>$A1597</f>
        <v>1221m</v>
      </c>
      <c r="I1597" s="343" t="s">
        <v>5611</v>
      </c>
      <c r="J1597" s="301" t="s">
        <v>5609</v>
      </c>
      <c r="K1597" s="2210">
        <f>H1605-I1605</f>
        <v>0</v>
      </c>
      <c r="L1597" s="345"/>
      <c r="M1597" s="301" t="s">
        <v>5610</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5364</v>
      </c>
      <c r="M1600" s="1522" t="s">
        <v>5605</v>
      </c>
      <c r="N1600" s="291"/>
      <c r="S1600" s="364"/>
      <c r="Z1600" s="609" t="s">
        <v>540</v>
      </c>
      <c r="AA1600" s="609" t="s">
        <v>3137</v>
      </c>
    </row>
    <row r="1601" spans="1:27" ht="18">
      <c r="A1601" s="2714"/>
      <c r="B1601" s="371">
        <v>102</v>
      </c>
      <c r="C1601" s="371" t="s">
        <v>2791</v>
      </c>
      <c r="D1601" s="2716">
        <f t="shared" si="142"/>
        <v>0</v>
      </c>
      <c r="E1601" s="2721">
        <v>1</v>
      </c>
      <c r="F1601" s="294"/>
      <c r="G1601" s="1634" t="s">
        <v>2792</v>
      </c>
      <c r="H1601" s="309"/>
      <c r="I1601" s="309"/>
      <c r="J1601" s="309"/>
      <c r="K1601" s="346"/>
      <c r="L1601" s="355" t="s">
        <v>6176</v>
      </c>
      <c r="M1601" s="291"/>
      <c r="N1601" s="291"/>
      <c r="S1601" s="364"/>
      <c r="Z1601" s="609" t="s">
        <v>540</v>
      </c>
      <c r="AA1601" s="609" t="s">
        <v>3137</v>
      </c>
    </row>
    <row r="1602" spans="1:27" ht="18">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6531</v>
      </c>
      <c r="F1607" s="294"/>
      <c r="G1607" s="483" t="str">
        <f>"("&amp;B1607&amp;")"&amp;D1607</f>
        <v>(12)其他应收款补充资料</v>
      </c>
      <c r="H1607" s="1517" t="str">
        <f>$A1607</f>
        <v>1221x</v>
      </c>
      <c r="I1607" s="343" t="s">
        <v>5965</v>
      </c>
      <c r="J1607" s="301" t="s">
        <v>5963</v>
      </c>
      <c r="K1607" s="2210">
        <f>M1614</f>
        <v>0</v>
      </c>
      <c r="L1607" s="345"/>
      <c r="M1607" s="301" t="s">
        <v>5967</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333" t="s">
        <v>47</v>
      </c>
      <c r="H1610" s="3281" t="s">
        <v>2776</v>
      </c>
      <c r="I1610" s="3281" t="s">
        <v>3027</v>
      </c>
      <c r="J1610" s="3281"/>
      <c r="K1610" s="3281" t="s">
        <v>3028</v>
      </c>
      <c r="L1610" s="3281"/>
      <c r="M1610" s="3281"/>
      <c r="N1610" s="3277" t="s">
        <v>2775</v>
      </c>
      <c r="O1610" s="355" t="s">
        <v>6176</v>
      </c>
      <c r="P1610" s="291"/>
      <c r="S1610" s="364"/>
      <c r="Z1610" s="609" t="s">
        <v>540</v>
      </c>
      <c r="AA1610" s="609" t="s">
        <v>3137</v>
      </c>
    </row>
    <row r="1611" spans="1:27" ht="18">
      <c r="A1611" s="2714"/>
      <c r="B1611" s="371"/>
      <c r="C1611" s="371"/>
      <c r="D1611" s="371"/>
      <c r="E1611" s="586" t="s">
        <v>2749</v>
      </c>
      <c r="F1611" s="363"/>
      <c r="G1611" s="3334"/>
      <c r="H1611" s="3285"/>
      <c r="I1611" s="2295" t="s">
        <v>2920</v>
      </c>
      <c r="J1611" s="2295" t="s">
        <v>932</v>
      </c>
      <c r="K1611" s="2295" t="s">
        <v>3029</v>
      </c>
      <c r="L1611" s="2295" t="s">
        <v>3030</v>
      </c>
      <c r="M1611" s="2295" t="s">
        <v>932</v>
      </c>
      <c r="N1611" s="3278"/>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17540765.449999999</v>
      </c>
      <c r="O1616" s="306"/>
      <c r="P1616" s="301"/>
      <c r="S1616" s="364"/>
      <c r="Z1616" s="609" t="s">
        <v>670</v>
      </c>
      <c r="AA1616" s="609" t="s">
        <v>5656</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17540765.449999999</v>
      </c>
      <c r="O1617" s="345" t="str">
        <f>IF($I1617="适用",IF(ROUND(N$1616-N1617,2)=0,"F/S",ROUND(N$1616-N1617,2)),"#N/A")</f>
        <v>F/S</v>
      </c>
      <c r="P1617" s="301"/>
      <c r="Q1617" s="290" t="str">
        <f>IF($I1617="不适用","",IF(ROUND(SUM($H$1622:$M$1634),2)=0,"请输入",""))</f>
        <v/>
      </c>
      <c r="S1617" s="364"/>
      <c r="Z1617" s="609" t="s">
        <v>670</v>
      </c>
      <c r="AA1617" s="609" t="s">
        <v>5656</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4"/>
      <c r="B1620" s="371"/>
      <c r="C1620" s="371"/>
      <c r="D1620" s="371"/>
      <c r="E1620" s="586" t="s">
        <v>2749</v>
      </c>
      <c r="F1620" s="363"/>
      <c r="G1620" s="3286" t="s">
        <v>3216</v>
      </c>
      <c r="H1620" s="3249" t="str">
        <f>$V$2</f>
        <v>2019年12月31日</v>
      </c>
      <c r="I1620" s="3250"/>
      <c r="J1620" s="3251"/>
      <c r="K1620" s="3249" t="str">
        <f>$V$3</f>
        <v>2018年12月31日</v>
      </c>
      <c r="L1620" s="3250"/>
      <c r="M1620" s="3250"/>
      <c r="N1620" s="355" t="s">
        <v>5274</v>
      </c>
      <c r="O1620" s="291"/>
      <c r="P1620" s="291"/>
      <c r="Q1620" s="367"/>
      <c r="R1620" s="367"/>
      <c r="S1620" s="364"/>
      <c r="Z1620" s="609" t="s">
        <v>670</v>
      </c>
      <c r="AA1620" s="609" t="s">
        <v>5656</v>
      </c>
    </row>
    <row r="1621" spans="1:29" ht="18">
      <c r="A1621" s="2714"/>
      <c r="B1621" s="371"/>
      <c r="C1621" s="371"/>
      <c r="D1621" s="371"/>
      <c r="E1621" s="586" t="s">
        <v>2749</v>
      </c>
      <c r="F1621" s="363"/>
      <c r="G1621" s="3287"/>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5656</v>
      </c>
    </row>
    <row r="1622" spans="1:29" ht="18">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6573</v>
      </c>
    </row>
    <row r="1623" spans="1:29" ht="18">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6573</v>
      </c>
    </row>
    <row r="1624" spans="1:29" ht="18">
      <c r="A1624" s="2714"/>
      <c r="B1624" s="371">
        <v>103</v>
      </c>
      <c r="C1624" s="371"/>
      <c r="D1624" s="2716">
        <f t="shared" si="144"/>
        <v>1</v>
      </c>
      <c r="E1624" s="2721">
        <v>1</v>
      </c>
      <c r="F1624" s="294"/>
      <c r="G1624" s="1474" t="s">
        <v>313</v>
      </c>
      <c r="H1624" s="2275"/>
      <c r="I1624" s="2275"/>
      <c r="J1624" s="1476">
        <f t="shared" si="146"/>
        <v>0</v>
      </c>
      <c r="K1624" s="2275">
        <v>17540765.449999999</v>
      </c>
      <c r="L1624" s="2275"/>
      <c r="M1624" s="1477">
        <f t="shared" si="145"/>
        <v>17540765.449999999</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6573</v>
      </c>
    </row>
    <row r="1625" spans="1:29" ht="18">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6573</v>
      </c>
    </row>
    <row r="1626" spans="1:29" ht="18">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6573</v>
      </c>
    </row>
    <row r="1627" spans="1:29" ht="24">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6573</v>
      </c>
    </row>
    <row r="1628" spans="1:29" ht="18">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6573</v>
      </c>
    </row>
    <row r="1629" spans="1:29" ht="18">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6573</v>
      </c>
    </row>
    <row r="1630" spans="1:29" ht="18">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5656</v>
      </c>
      <c r="AC1630" s="369" t="s">
        <v>2794</v>
      </c>
    </row>
    <row r="1631" spans="1:29" ht="18">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5656</v>
      </c>
    </row>
    <row r="1632" spans="1:29" ht="18">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5656</v>
      </c>
    </row>
    <row r="1633" spans="1:27" ht="18">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5656</v>
      </c>
    </row>
    <row r="1634" spans="1:27" ht="18.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17540765.449999999</v>
      </c>
      <c r="L1634" s="1478">
        <f t="shared" si="147"/>
        <v>0</v>
      </c>
      <c r="M1634" s="1479">
        <f t="shared" si="147"/>
        <v>17540765.449999999</v>
      </c>
      <c r="N1634" s="291"/>
      <c r="O1634" s="291"/>
      <c r="P1634" s="291"/>
      <c r="Q1634" s="367"/>
      <c r="R1634" s="367"/>
      <c r="S1634" s="364"/>
      <c r="Z1634" s="609" t="s">
        <v>670</v>
      </c>
      <c r="AA1634" s="609" t="s">
        <v>5656</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4"/>
      <c r="L1636" s="315"/>
      <c r="M1636" s="301"/>
      <c r="N1636" s="355"/>
      <c r="O1636" s="315"/>
      <c r="P1636" s="301"/>
      <c r="Q1636" s="290" t="str">
        <f>IF($I1636="不适用","",IF(ROUND(SUM($H$1641:$M$1653),2)=0,"请输入",""))</f>
        <v>请输入</v>
      </c>
      <c r="S1636" s="364"/>
      <c r="Z1636" s="609" t="s">
        <v>670</v>
      </c>
      <c r="AA1636" s="609" t="s">
        <v>5656</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4"/>
      <c r="B1639" s="371"/>
      <c r="C1639" s="371"/>
      <c r="D1639" s="371"/>
      <c r="E1639" s="586" t="s">
        <v>2749</v>
      </c>
      <c r="F1639" s="363"/>
      <c r="G1639" s="3286" t="s">
        <v>3216</v>
      </c>
      <c r="H1639" s="3207" t="str">
        <f>$V$3</f>
        <v>2018年12月31日</v>
      </c>
      <c r="I1639" s="3254" t="s">
        <v>5354</v>
      </c>
      <c r="J1639" s="3254"/>
      <c r="K1639" s="3254" t="s">
        <v>5355</v>
      </c>
      <c r="L1639" s="3254"/>
      <c r="M1639" s="3299" t="str">
        <f>$V$2</f>
        <v>2019年12月31日</v>
      </c>
      <c r="N1639" s="423"/>
      <c r="O1639" s="1540" t="str">
        <f>H1617&amp;"&gt;本期:"&amp;""</f>
        <v>1400a&gt;本期:</v>
      </c>
      <c r="P1639" s="1536" t="str">
        <f>""&amp;"&gt;上期:"&amp;""</f>
        <v>&gt;上期:</v>
      </c>
      <c r="S1639" s="364"/>
      <c r="Z1639" s="609" t="s">
        <v>670</v>
      </c>
      <c r="AA1639" s="609" t="s">
        <v>5656</v>
      </c>
    </row>
    <row r="1640" spans="1:27" ht="18">
      <c r="A1640" s="2714"/>
      <c r="B1640" s="371"/>
      <c r="C1640" s="371"/>
      <c r="D1640" s="371"/>
      <c r="E1640" s="586" t="s">
        <v>2749</v>
      </c>
      <c r="F1640" s="363"/>
      <c r="G1640" s="3287"/>
      <c r="H1640" s="3208"/>
      <c r="I1640" s="2283" t="s">
        <v>2920</v>
      </c>
      <c r="J1640" s="2283" t="s">
        <v>932</v>
      </c>
      <c r="K1640" s="2283" t="s">
        <v>3223</v>
      </c>
      <c r="L1640" s="2283" t="s">
        <v>932</v>
      </c>
      <c r="M1640" s="3300"/>
      <c r="N1640" s="423"/>
      <c r="O1640" s="1537" t="str">
        <f>I1621</f>
        <v>跌价准备</v>
      </c>
      <c r="P1640" s="1538" t="str">
        <f>L1621</f>
        <v>跌价准备</v>
      </c>
      <c r="S1640" s="364"/>
      <c r="Z1640" s="609" t="s">
        <v>670</v>
      </c>
      <c r="AA1640" s="609" t="s">
        <v>5656</v>
      </c>
    </row>
    <row r="1641" spans="1:27" ht="18">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5656</v>
      </c>
    </row>
    <row r="1642" spans="1:27" ht="18">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5656</v>
      </c>
    </row>
    <row r="1643" spans="1:27" ht="18">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5656</v>
      </c>
    </row>
    <row r="1644" spans="1:27" ht="18">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5656</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5656</v>
      </c>
    </row>
    <row r="1646" spans="1:27" ht="24">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5656</v>
      </c>
    </row>
    <row r="1647" spans="1:27" ht="18">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5656</v>
      </c>
    </row>
    <row r="1650" spans="1:29" ht="18">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5656</v>
      </c>
    </row>
    <row r="1651" spans="1:29" ht="18">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5656</v>
      </c>
    </row>
    <row r="1652" spans="1:29" ht="18">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5656</v>
      </c>
    </row>
    <row r="1653" spans="1:29" ht="18.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HYPERLINK("#'"&amp;$G$1&amp;"'!"&amp;ADDRESS(ROW(Notes!L4881),COLUMN(Notes!L4881),4),"*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5656</v>
      </c>
      <c r="AC1653" s="369" t="s">
        <v>2794</v>
      </c>
    </row>
    <row r="1654" spans="1:29" ht="18">
      <c r="A1654" s="2714"/>
      <c r="B1654" s="371"/>
      <c r="C1654" s="371" t="s">
        <v>2755</v>
      </c>
      <c r="D1654" s="371"/>
      <c r="F1654" s="294"/>
      <c r="G1654" s="301"/>
      <c r="H1654" s="315"/>
      <c r="I1654" s="315"/>
      <c r="J1654" s="315"/>
      <c r="K1654" s="315"/>
      <c r="L1654" s="315"/>
      <c r="M1654" s="315"/>
      <c r="N1654" s="423"/>
      <c r="O1654" s="1539" t="s">
        <v>5366</v>
      </c>
      <c r="P1654" s="354"/>
      <c r="S1654" s="364"/>
      <c r="Z1654" s="609" t="s">
        <v>670</v>
      </c>
      <c r="AA1654" s="609" t="s">
        <v>5656</v>
      </c>
    </row>
    <row r="1655" spans="1:29" ht="24">
      <c r="A1655" s="2714" t="s">
        <v>678</v>
      </c>
      <c r="B1655" s="371">
        <v>3</v>
      </c>
      <c r="C1655" s="371"/>
      <c r="D1655" s="2716" t="str">
        <f>VLOOKUP($A1655,Sheet_NoteList,2,0)</f>
        <v>存货期末余额中含有借款费用资本化金额的说明</v>
      </c>
      <c r="E1655" s="2716" t="s">
        <v>6531</v>
      </c>
      <c r="F1655" s="294"/>
      <c r="G1655" s="372" t="str">
        <f>"("&amp;B1655&amp;")"&amp;D1655</f>
        <v>(3)存货期末余额中含有借款费用资本化金额的说明</v>
      </c>
      <c r="H1655" s="1517" t="str">
        <f>$A1655</f>
        <v>1400t</v>
      </c>
      <c r="I1655" s="343" t="s">
        <v>5972</v>
      </c>
      <c r="J1655" s="301"/>
      <c r="K1655" s="3084"/>
      <c r="L1655" s="315"/>
      <c r="M1655" s="301"/>
      <c r="N1655" s="3084"/>
      <c r="O1655" s="315"/>
      <c r="P1655" s="301"/>
      <c r="Q1655" s="290" t="str">
        <f>IF($I1655="不适用","",IF(ROUND(SUM($H$1658:$I$1663),2)=0,"请输入",""))</f>
        <v>请输入</v>
      </c>
      <c r="S1655" s="364"/>
      <c r="Z1655" s="609" t="s">
        <v>670</v>
      </c>
      <c r="AA1655" s="609" t="s">
        <v>5656</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5656</v>
      </c>
    </row>
    <row r="1658" spans="1:29" ht="18">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5656</v>
      </c>
    </row>
    <row r="1659" spans="1:29" ht="18">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5656</v>
      </c>
    </row>
    <row r="1660" spans="1:29" ht="18">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5656</v>
      </c>
    </row>
    <row r="1661" spans="1:29" ht="18">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5656</v>
      </c>
    </row>
    <row r="1662" spans="1:29" ht="18">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5656</v>
      </c>
    </row>
    <row r="1663" spans="1:29" ht="18.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5656</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4"/>
      <c r="O1665" s="315"/>
      <c r="P1665" s="301"/>
      <c r="Q1665" s="290" t="str">
        <f>IF($I1665="不适用","",IF(ROUND(SUM($H$1668:$I$1673),2)=0,"请输入",""))</f>
        <v>请输入</v>
      </c>
      <c r="S1665" s="364"/>
      <c r="Z1665" s="609" t="s">
        <v>670</v>
      </c>
      <c r="AA1665" s="609" t="s">
        <v>5656</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4"/>
      <c r="B1667" s="371"/>
      <c r="C1667" s="371"/>
      <c r="D1667" s="371"/>
      <c r="E1667" s="586" t="s">
        <v>2749</v>
      </c>
      <c r="F1667" s="363"/>
      <c r="G1667" s="2540" t="s">
        <v>47</v>
      </c>
      <c r="H1667" s="2578"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5656</v>
      </c>
    </row>
    <row r="1669" spans="1:27" ht="18">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5656</v>
      </c>
    </row>
    <row r="1670" spans="1:27" ht="18">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5656</v>
      </c>
    </row>
    <row r="1671" spans="1:27" ht="18">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5656</v>
      </c>
    </row>
    <row r="1672" spans="1:27" ht="18">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5656</v>
      </c>
    </row>
    <row r="1673" spans="1:27" ht="24.7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4"/>
      <c r="B1675" s="371"/>
      <c r="C1675" s="371" t="s">
        <v>2565</v>
      </c>
      <c r="D1675" s="371"/>
      <c r="F1675" s="294"/>
      <c r="G1675" s="1561" t="s">
        <v>5367</v>
      </c>
      <c r="H1675" s="1550" t="str">
        <f>G1617</f>
        <v>(1)存货分类列示</v>
      </c>
      <c r="I1675" s="1553" t="s">
        <v>5368</v>
      </c>
      <c r="J1675" s="472"/>
      <c r="K1675" s="472"/>
      <c r="L1675" s="472"/>
      <c r="M1675" s="472"/>
      <c r="N1675" s="472"/>
      <c r="O1675" s="472"/>
      <c r="P1675" s="442"/>
      <c r="Q1675" s="442"/>
      <c r="R1675" s="442"/>
      <c r="S1675" s="364"/>
      <c r="Z1675" s="609" t="s">
        <v>670</v>
      </c>
      <c r="AA1675" s="609" t="s">
        <v>5656</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5656</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5656</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5656</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5656</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5656</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5656</v>
      </c>
    </row>
    <row r="1682" spans="1:27" ht="18">
      <c r="A1682" s="2714" t="s">
        <v>691</v>
      </c>
      <c r="B1682" s="371">
        <v>5</v>
      </c>
      <c r="C1682" s="371"/>
      <c r="D1682" s="2716" t="str">
        <f>VLOOKUP($A1682,Sheet_NoteList,2,0)</f>
        <v>开发成本</v>
      </c>
      <c r="E1682" s="2716" t="s">
        <v>6533</v>
      </c>
      <c r="F1682" s="294"/>
      <c r="G1682" s="307" t="str">
        <f>"("&amp;B1682&amp;")"&amp;D1682</f>
        <v>(5)开发成本</v>
      </c>
      <c r="H1682" s="1517" t="str">
        <f>$A1682</f>
        <v>1400d</v>
      </c>
      <c r="I1682" s="343" t="s">
        <v>5966</v>
      </c>
      <c r="J1682" s="301"/>
      <c r="K1682" s="3084"/>
      <c r="L1682" s="315"/>
      <c r="M1682" s="301"/>
      <c r="N1682" s="3084"/>
      <c r="O1682" s="315"/>
      <c r="P1682" s="301"/>
      <c r="Q1682" s="290" t="str">
        <f>IF($I1682="不适用","",IF(ROUND(SUM($H$1685:$M$1690),2)=0,"请输入",""))</f>
        <v>请输入</v>
      </c>
      <c r="S1682" s="364"/>
      <c r="Z1682" s="609" t="s">
        <v>670</v>
      </c>
      <c r="AA1682" s="609" t="s">
        <v>5656</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4"/>
      <c r="B1684" s="371"/>
      <c r="C1684" s="371"/>
      <c r="D1684" s="371"/>
      <c r="E1684" s="2716" t="s">
        <v>2749</v>
      </c>
      <c r="F1684" s="294"/>
      <c r="G1684" s="481" t="s">
        <v>1476</v>
      </c>
      <c r="H1684" s="488" t="s">
        <v>3244</v>
      </c>
      <c r="I1684" s="488" t="s">
        <v>3245</v>
      </c>
      <c r="J1684" s="488" t="s">
        <v>3246</v>
      </c>
      <c r="K1684" s="2579" t="s">
        <v>6130</v>
      </c>
      <c r="L1684" s="2580" t="s">
        <v>6131</v>
      </c>
      <c r="M1684" s="519" t="s">
        <v>3247</v>
      </c>
      <c r="N1684" s="291"/>
      <c r="O1684" s="291"/>
      <c r="P1684" s="291"/>
      <c r="Q1684" s="291"/>
      <c r="S1684" s="364"/>
      <c r="Z1684" s="609" t="s">
        <v>670</v>
      </c>
      <c r="AA1684" s="609" t="s">
        <v>5656</v>
      </c>
    </row>
    <row r="1685" spans="1:27" ht="18">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5656</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4"/>
      <c r="B1692" s="371"/>
      <c r="C1692" s="371" t="s">
        <v>2565</v>
      </c>
      <c r="D1692" s="371"/>
      <c r="F1692" s="294"/>
      <c r="G1692" s="1561" t="s">
        <v>5367</v>
      </c>
      <c r="H1692" s="1550" t="str">
        <f>G1617</f>
        <v>(1)存货分类列示</v>
      </c>
      <c r="I1692" s="1551"/>
      <c r="J1692" s="1551"/>
      <c r="K1692" s="1552"/>
      <c r="L1692" s="1552"/>
      <c r="M1692" s="1552"/>
      <c r="N1692" s="1553" t="s">
        <v>5368</v>
      </c>
      <c r="O1692" s="291"/>
      <c r="P1692" s="291"/>
      <c r="Q1692" s="291"/>
      <c r="S1692" s="364"/>
      <c r="Z1692" s="609" t="s">
        <v>670</v>
      </c>
      <c r="AA1692" s="609" t="s">
        <v>5656</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5656</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5656</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5656</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4" t="s">
        <v>695</v>
      </c>
      <c r="B1699" s="371">
        <v>6</v>
      </c>
      <c r="C1699" s="371"/>
      <c r="D1699" s="2716" t="str">
        <f>VLOOKUP($A1699,Sheet_NoteList,2,0)</f>
        <v>开发产品</v>
      </c>
      <c r="E1699" s="2716" t="s">
        <v>6533</v>
      </c>
      <c r="F1699" s="294"/>
      <c r="G1699" s="307" t="str">
        <f>"("&amp;B1699&amp;")"&amp;D1699</f>
        <v>(6)开发产品</v>
      </c>
      <c r="H1699" s="1517" t="str">
        <f>$A1699</f>
        <v>1400e</v>
      </c>
      <c r="I1699" s="343" t="s">
        <v>5966</v>
      </c>
      <c r="J1699" s="301"/>
      <c r="K1699" s="3084"/>
      <c r="L1699" s="315"/>
      <c r="M1699" s="301"/>
      <c r="N1699" s="3084"/>
      <c r="O1699" s="315"/>
      <c r="P1699" s="301"/>
      <c r="Q1699" s="290" t="str">
        <f>IF($I1699="不适用","",IF(ROUND(SUM($H$1702:$M$1707),2)=0,"请输入",""))</f>
        <v>请输入</v>
      </c>
      <c r="S1699" s="364"/>
      <c r="Z1699" s="609" t="s">
        <v>670</v>
      </c>
      <c r="AA1699" s="609" t="s">
        <v>5656</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4"/>
      <c r="B1701" s="371"/>
      <c r="C1701" s="371"/>
      <c r="D1701" s="371"/>
      <c r="E1701" s="2716" t="s">
        <v>2749</v>
      </c>
      <c r="F1701" s="294"/>
      <c r="G1701" s="481" t="s">
        <v>1476</v>
      </c>
      <c r="H1701" s="488" t="s">
        <v>3253</v>
      </c>
      <c r="I1701" s="2579" t="s">
        <v>6131</v>
      </c>
      <c r="J1701" s="488" t="s">
        <v>3027</v>
      </c>
      <c r="K1701" s="488" t="s">
        <v>3028</v>
      </c>
      <c r="L1701" s="2579" t="s">
        <v>6130</v>
      </c>
      <c r="M1701" s="519" t="s">
        <v>3247</v>
      </c>
      <c r="N1701" s="291"/>
      <c r="O1701" s="291"/>
      <c r="P1701" s="291"/>
      <c r="S1701" s="364"/>
      <c r="Z1701" s="609" t="s">
        <v>670</v>
      </c>
      <c r="AA1701" s="609" t="s">
        <v>5656</v>
      </c>
    </row>
    <row r="1702" spans="1:27" ht="18">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4"/>
      <c r="B1709" s="371"/>
      <c r="C1709" s="371" t="s">
        <v>2565</v>
      </c>
      <c r="D1709" s="371"/>
      <c r="F1709" s="294"/>
      <c r="G1709" s="1561" t="s">
        <v>5367</v>
      </c>
      <c r="H1709" s="1550" t="str">
        <f>G1617</f>
        <v>(1)存货分类列示</v>
      </c>
      <c r="I1709" s="1552"/>
      <c r="J1709" s="1551"/>
      <c r="K1709" s="1551"/>
      <c r="L1709" s="1552"/>
      <c r="M1709" s="1552"/>
      <c r="N1709" s="1553" t="s">
        <v>5368</v>
      </c>
      <c r="O1709" s="291"/>
      <c r="P1709" s="291"/>
      <c r="S1709" s="364"/>
      <c r="Z1709" s="609" t="s">
        <v>670</v>
      </c>
      <c r="AA1709" s="609" t="s">
        <v>5656</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5656</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5656</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5656</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4" t="s">
        <v>699</v>
      </c>
      <c r="B1716" s="371">
        <v>7</v>
      </c>
      <c r="C1716" s="371"/>
      <c r="D1716" s="2716" t="str">
        <f>VLOOKUP($A1716,Sheet_NoteList,2,0)</f>
        <v>周转房</v>
      </c>
      <c r="E1716" s="2716" t="s">
        <v>6533</v>
      </c>
      <c r="F1716" s="294"/>
      <c r="G1716" s="307" t="str">
        <f>"("&amp;B1716&amp;")"&amp;D1716</f>
        <v>(7)周转房</v>
      </c>
      <c r="H1716" s="1517" t="str">
        <f>$A1716</f>
        <v>1400g</v>
      </c>
      <c r="I1716" s="343" t="s">
        <v>5965</v>
      </c>
      <c r="J1716" s="301"/>
      <c r="K1716" s="3084"/>
      <c r="L1716" s="315"/>
      <c r="M1716" s="301"/>
      <c r="N1716" s="3084"/>
      <c r="O1716" s="315"/>
      <c r="P1716" s="301"/>
      <c r="Q1716" s="290" t="str">
        <f>IF($I1716="不适用","",IF(ROUND(SUM($H$1719:$K$1724),2)=0,"请输入",""))</f>
        <v>请输入</v>
      </c>
      <c r="S1716" s="364"/>
      <c r="Z1716" s="609" t="s">
        <v>670</v>
      </c>
      <c r="AA1716" s="609" t="s">
        <v>5656</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5656</v>
      </c>
    </row>
    <row r="1719" spans="1:27" ht="18">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5656</v>
      </c>
    </row>
    <row r="1720" spans="1:27" ht="18">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5656</v>
      </c>
    </row>
    <row r="1721" spans="1:27" ht="18">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5656</v>
      </c>
    </row>
    <row r="1722" spans="1:27" ht="18">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5656</v>
      </c>
    </row>
    <row r="1723" spans="1:27" ht="18">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5656</v>
      </c>
    </row>
    <row r="1724" spans="1:27" ht="18.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5656</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4" t="s">
        <v>703</v>
      </c>
      <c r="B1726" s="371">
        <v>8</v>
      </c>
      <c r="C1726" s="371"/>
      <c r="D1726" s="2716" t="str">
        <f>VLOOKUP($A1726,Sheet_NoteList,2,0)</f>
        <v>期末用于债务担保的存货</v>
      </c>
      <c r="E1726" s="2716" t="s">
        <v>6531</v>
      </c>
      <c r="F1726" s="294"/>
      <c r="G1726" s="307" t="str">
        <f>"("&amp;B1726&amp;")"&amp;D1726</f>
        <v>(8)期末用于债务担保的存货</v>
      </c>
      <c r="H1726" s="1517" t="str">
        <f>$A1726</f>
        <v>1400s</v>
      </c>
      <c r="I1726" s="343" t="s">
        <v>5966</v>
      </c>
      <c r="J1726" s="301"/>
      <c r="K1726" s="3084"/>
      <c r="L1726" s="315"/>
      <c r="M1726" s="301"/>
      <c r="N1726" s="3084"/>
      <c r="O1726" s="315"/>
      <c r="P1726" s="301"/>
      <c r="S1726" s="364"/>
      <c r="Z1726" s="609" t="s">
        <v>670</v>
      </c>
      <c r="AA1726" s="609" t="s">
        <v>5656</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5656</v>
      </c>
    </row>
    <row r="1729" spans="1:27" ht="18">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5656</v>
      </c>
    </row>
    <row r="1730" spans="1:27" ht="18">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5656</v>
      </c>
    </row>
    <row r="1731" spans="1:27" ht="18">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5656</v>
      </c>
    </row>
    <row r="1732" spans="1:27" ht="18">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5656</v>
      </c>
    </row>
    <row r="1733" spans="1:27" ht="18">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5656</v>
      </c>
    </row>
    <row r="1734" spans="1:27" ht="18.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5656</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4" t="s">
        <v>687</v>
      </c>
      <c r="B1736" s="371">
        <v>9</v>
      </c>
      <c r="C1736" s="371"/>
      <c r="D1736" s="2716" t="str">
        <f>VLOOKUP($A1736,Sheet_NoteList,2,0)</f>
        <v>存货跌价准备计提依据与转回情况</v>
      </c>
      <c r="E1736" s="2716" t="s">
        <v>6531</v>
      </c>
      <c r="F1736" s="294"/>
      <c r="G1736" s="372" t="str">
        <f>"("&amp;B1736&amp;")"&amp;D1736</f>
        <v>(9)存货跌价准备计提依据与转回情况</v>
      </c>
      <c r="H1736" s="1517" t="str">
        <f>$A1736</f>
        <v>1400c</v>
      </c>
      <c r="I1736" s="343" t="s">
        <v>5965</v>
      </c>
      <c r="J1736" s="301"/>
      <c r="K1736" s="3084"/>
      <c r="L1736" s="315"/>
      <c r="M1736" s="301"/>
      <c r="N1736" s="3084"/>
      <c r="O1736" s="315"/>
      <c r="P1736" s="301"/>
      <c r="Q1736" s="290" t="str">
        <f>IF($I1736="不适用","",IF(ROUND(SUM($H$1739:$I$1751),2)=0,"请输入",""))</f>
        <v>请输入</v>
      </c>
      <c r="S1736" s="364"/>
      <c r="Z1736" s="609" t="s">
        <v>670</v>
      </c>
      <c r="AA1736" s="609" t="s">
        <v>5656</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5656</v>
      </c>
    </row>
    <row r="1739" spans="1:27" ht="18">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5656</v>
      </c>
    </row>
    <row r="1740" spans="1:27" ht="18">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5656</v>
      </c>
    </row>
    <row r="1741" spans="1:27" ht="18">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5656</v>
      </c>
    </row>
    <row r="1742" spans="1:27" ht="18">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5656</v>
      </c>
    </row>
    <row r="1743" spans="1:27" ht="24">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5656</v>
      </c>
    </row>
    <row r="1744" spans="1:27" ht="18">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5656</v>
      </c>
    </row>
    <row r="1745" spans="1:27" ht="18">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5656</v>
      </c>
    </row>
    <row r="1746" spans="1:27" ht="18">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5656</v>
      </c>
    </row>
    <row r="1747" spans="1:27" ht="18">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5656</v>
      </c>
    </row>
    <row r="1748" spans="1:27" ht="18">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5656</v>
      </c>
    </row>
    <row r="1749" spans="1:27" ht="18">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5656</v>
      </c>
    </row>
    <row r="1750" spans="1:27" ht="18">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5656</v>
      </c>
    </row>
    <row r="1751" spans="1:27" ht="18.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5656</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4" t="s">
        <v>709</v>
      </c>
      <c r="B1753" s="371">
        <v>10</v>
      </c>
      <c r="C1753" s="371"/>
      <c r="D1753" s="2716" t="str">
        <f>VLOOKUP($A1753,Sheet_NoteList,2,0)</f>
        <v>存货补充资料</v>
      </c>
      <c r="E1753" s="2716" t="s">
        <v>6531</v>
      </c>
      <c r="F1753" s="294"/>
      <c r="G1753" s="372" t="str">
        <f>"("&amp;B1753&amp;")"&amp;D1753</f>
        <v>(10)存货补充资料</v>
      </c>
      <c r="H1753" s="1517" t="str">
        <f>$A1753</f>
        <v>1400x</v>
      </c>
      <c r="I1753" s="343" t="s">
        <v>5966</v>
      </c>
      <c r="J1753" s="301"/>
      <c r="K1753" s="391"/>
      <c r="L1753" s="315"/>
      <c r="M1753" s="301"/>
      <c r="N1753" s="3084"/>
      <c r="O1753" s="315"/>
      <c r="P1753" s="301"/>
      <c r="Q1753" s="290" t="str">
        <f>IF($I1753="不适用","",IF(ROUND(SUM($H$1756:$Q$1761),2)=0,"请输入",""))</f>
        <v>请输入</v>
      </c>
      <c r="S1753" s="364"/>
      <c r="Z1753" s="609" t="s">
        <v>670</v>
      </c>
      <c r="AA1753" s="609" t="s">
        <v>5656</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5656</v>
      </c>
    </row>
    <row r="1756" spans="1:27" ht="18">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5656</v>
      </c>
    </row>
    <row r="1757" spans="1:27" ht="18">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5656</v>
      </c>
    </row>
    <row r="1758" spans="1:27" ht="18">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5656</v>
      </c>
    </row>
    <row r="1759" spans="1:27" ht="18">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5656</v>
      </c>
    </row>
    <row r="1760" spans="1:27" ht="18">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5656</v>
      </c>
    </row>
    <row r="1761" spans="1:27" ht="18.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5656</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6531</v>
      </c>
      <c r="F1764" s="294"/>
      <c r="G1764" s="372" t="str">
        <f>"("&amp;B1764&amp;")"&amp;D1764</f>
        <v>(1)期末持有待售的非流动资产或处置组</v>
      </c>
      <c r="H1764" s="1517" t="str">
        <f>$A1764</f>
        <v>1315b</v>
      </c>
      <c r="I1764" s="343" t="s">
        <v>5966</v>
      </c>
      <c r="J1764" s="301" t="s">
        <v>5971</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293" t="s">
        <v>47</v>
      </c>
      <c r="H1777" s="3234" t="str">
        <f>$V$3</f>
        <v>2018年12月31日</v>
      </c>
      <c r="I1777" s="3236" t="s">
        <v>3027</v>
      </c>
      <c r="J1777" s="3236" t="s">
        <v>3028</v>
      </c>
      <c r="K1777" s="3236"/>
      <c r="L1777" s="3217" t="str">
        <f>$V$2</f>
        <v>2019年12月31日</v>
      </c>
      <c r="M1777" s="355" t="s">
        <v>5275</v>
      </c>
      <c r="N1777" s="391"/>
      <c r="O1777" s="349"/>
      <c r="P1777" s="301"/>
      <c r="S1777" s="364"/>
      <c r="Z1777" s="609" t="s">
        <v>716</v>
      </c>
      <c r="AA1777" s="609" t="s">
        <v>3283</v>
      </c>
    </row>
    <row r="1778" spans="1:29" ht="18">
      <c r="A1778" s="2714"/>
      <c r="B1778" s="371"/>
      <c r="C1778" s="371"/>
      <c r="D1778" s="2716"/>
      <c r="E1778" s="586" t="s">
        <v>2749</v>
      </c>
      <c r="F1778" s="586"/>
      <c r="G1778" s="3294"/>
      <c r="H1778" s="3235"/>
      <c r="I1778" s="3237"/>
      <c r="J1778" s="2294" t="s">
        <v>3299</v>
      </c>
      <c r="K1778" s="2239" t="s">
        <v>6132</v>
      </c>
      <c r="L1778" s="3218"/>
      <c r="M1778" s="301"/>
      <c r="N1778" s="391"/>
      <c r="O1778" s="349"/>
      <c r="P1778" s="301"/>
      <c r="S1778" s="364"/>
      <c r="Z1778" s="609" t="s">
        <v>716</v>
      </c>
      <c r="AA1778" s="609" t="s">
        <v>3283</v>
      </c>
    </row>
    <row r="1779" spans="1:29" ht="18">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8">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8">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8">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8">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8">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8">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8.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HYPERLINK("#'"&amp;$G$1&amp;"'!"&amp;ADDRESS(ROW(Notes!L4893),COLUMN(Notes!L4893),4),"*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5276</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5">SUM(K1793:K1796)</f>
        <v>0</v>
      </c>
      <c r="L1797" s="1531">
        <f t="shared" ca="1" si="165"/>
        <v>0</v>
      </c>
      <c r="M1797" s="1531">
        <f t="shared" si="165"/>
        <v>0</v>
      </c>
      <c r="S1797" s="364"/>
      <c r="Z1797" s="609" t="s">
        <v>749</v>
      </c>
      <c r="AA1797" s="609" t="s">
        <v>3305</v>
      </c>
    </row>
    <row r="1798" spans="1:27" ht="18">
      <c r="A1798" s="2714"/>
      <c r="B1798" s="371"/>
      <c r="C1798" s="371" t="s">
        <v>2755</v>
      </c>
      <c r="D1798" s="2716"/>
      <c r="E1798" s="2721"/>
      <c r="F1798" s="294"/>
      <c r="G1798" s="301"/>
      <c r="H1798" s="315"/>
      <c r="I1798" s="315"/>
      <c r="J1798" s="291"/>
      <c r="K1798" s="1539" t="s">
        <v>5505</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373" t="s">
        <v>5486</v>
      </c>
      <c r="H1802" s="3239" t="str">
        <f>$V$2</f>
        <v>2019年12月31日</v>
      </c>
      <c r="I1802" s="3240"/>
      <c r="J1802" s="3240"/>
      <c r="K1802" s="3241"/>
      <c r="L1802" s="3242" t="str">
        <f>$V$3</f>
        <v>2018年12月31日</v>
      </c>
      <c r="M1802" s="3243"/>
      <c r="N1802" s="3243"/>
      <c r="O1802" s="3243"/>
      <c r="P1802" s="355" t="s">
        <v>5276</v>
      </c>
      <c r="Q1802" s="442"/>
      <c r="R1802" s="443"/>
      <c r="S1802" s="364"/>
      <c r="Z1802" s="609" t="s">
        <v>749</v>
      </c>
      <c r="AA1802" s="609" t="s">
        <v>3305</v>
      </c>
    </row>
    <row r="1803" spans="1:27" ht="18">
      <c r="A1803" s="2714"/>
      <c r="B1803" s="371"/>
      <c r="C1803" s="371"/>
      <c r="D1803" s="2716"/>
      <c r="E1803" s="2716" t="s">
        <v>2749</v>
      </c>
      <c r="F1803" s="293"/>
      <c r="G1803" s="3374"/>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6"/>
        <v>1</v>
      </c>
      <c r="E1809" s="2721" t="s">
        <v>2751</v>
      </c>
      <c r="F1809" s="293"/>
      <c r="G1809" s="2234" t="s">
        <v>5484</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2966551.07</v>
      </c>
      <c r="O1811" s="306"/>
      <c r="P1811" s="301"/>
      <c r="S1811" s="364"/>
      <c r="Z1811" s="609" t="s">
        <v>758</v>
      </c>
      <c r="AA1811" s="609" t="s">
        <v>5658</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2966551.07</v>
      </c>
      <c r="O1812" s="345" t="str">
        <f>IF($I1812="适用",IF(ROUND(N1811-N1812,2)=0,"F/S",ROUND(N1811-N1812,2)),"#N/A")</f>
        <v>F/S</v>
      </c>
      <c r="P1812" s="301"/>
      <c r="Q1812" s="290" t="str">
        <f>IF($I1812="不适用","",IF(ROUND(SUM($H$1815:$I$1820),2)=0,"请输入",""))</f>
        <v/>
      </c>
      <c r="S1812" s="364"/>
      <c r="Z1812" s="609" t="s">
        <v>758</v>
      </c>
      <c r="AA1812" s="609" t="s">
        <v>5658</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4"/>
      <c r="B1814" s="371"/>
      <c r="C1814" s="371"/>
      <c r="D1814" s="371"/>
      <c r="E1814" s="2716" t="s">
        <v>2749</v>
      </c>
      <c r="F1814" s="294"/>
      <c r="G1814" s="410" t="s">
        <v>47</v>
      </c>
      <c r="H1814" s="1454" t="str">
        <f>$V$2</f>
        <v>2019年12月31日</v>
      </c>
      <c r="I1814" s="1455" t="str">
        <f>$V$3</f>
        <v>2018年12月31日</v>
      </c>
      <c r="J1814" s="355" t="s">
        <v>5277</v>
      </c>
      <c r="K1814" s="291"/>
      <c r="L1814" s="291"/>
      <c r="M1814" s="291"/>
      <c r="S1814" s="364"/>
      <c r="Z1814" s="609" t="s">
        <v>758</v>
      </c>
      <c r="AA1814" s="609" t="s">
        <v>5658</v>
      </c>
    </row>
    <row r="1815" spans="1:27" ht="18">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5658</v>
      </c>
    </row>
    <row r="1816" spans="1:27" ht="18">
      <c r="A1816" s="2714"/>
      <c r="B1816" s="371">
        <v>102</v>
      </c>
      <c r="C1816" s="371"/>
      <c r="D1816" s="2716">
        <f t="shared" si="167"/>
        <v>1</v>
      </c>
      <c r="E1816" s="2721">
        <v>1</v>
      </c>
      <c r="F1816" s="294"/>
      <c r="G1816" s="308" t="s">
        <v>3325</v>
      </c>
      <c r="H1816" s="309"/>
      <c r="I1816" s="346"/>
      <c r="J1816" s="291"/>
      <c r="K1816" s="291"/>
      <c r="L1816" s="291"/>
      <c r="M1816" s="291"/>
      <c r="S1816" s="364"/>
      <c r="Z1816" s="609" t="s">
        <v>758</v>
      </c>
      <c r="AA1816" s="609" t="s">
        <v>5658</v>
      </c>
    </row>
    <row r="1817" spans="1:27" ht="18">
      <c r="A1817" s="2714"/>
      <c r="B1817" s="371">
        <v>103</v>
      </c>
      <c r="C1817" s="371" t="s">
        <v>2791</v>
      </c>
      <c r="D1817" s="2716">
        <f t="shared" si="167"/>
        <v>1</v>
      </c>
      <c r="E1817" s="2721">
        <v>1</v>
      </c>
      <c r="F1817" s="294"/>
      <c r="G1817" s="319" t="s">
        <v>6896</v>
      </c>
      <c r="H1817" s="309"/>
      <c r="I1817" s="346">
        <v>2920431.6</v>
      </c>
      <c r="J1817" s="291"/>
      <c r="K1817" s="291"/>
      <c r="L1817" s="291"/>
      <c r="M1817" s="291"/>
      <c r="S1817" s="364"/>
      <c r="Z1817" s="609" t="s">
        <v>758</v>
      </c>
      <c r="AA1817" s="609" t="s">
        <v>5658</v>
      </c>
    </row>
    <row r="1818" spans="1:27" ht="18">
      <c r="A1818" s="2714"/>
      <c r="B1818" s="371">
        <v>104</v>
      </c>
      <c r="C1818" s="371" t="s">
        <v>2791</v>
      </c>
      <c r="D1818" s="2716">
        <f t="shared" si="167"/>
        <v>1</v>
      </c>
      <c r="E1818" s="2721">
        <v>1</v>
      </c>
      <c r="F1818" s="294"/>
      <c r="G1818" s="319" t="s">
        <v>6897</v>
      </c>
      <c r="H1818" s="309"/>
      <c r="I1818" s="346">
        <v>46119.47</v>
      </c>
      <c r="J1818" s="291"/>
      <c r="K1818" s="291"/>
      <c r="L1818" s="291"/>
      <c r="M1818" s="291"/>
      <c r="S1818" s="364"/>
      <c r="Z1818" s="609" t="s">
        <v>758</v>
      </c>
      <c r="AA1818" s="609" t="s">
        <v>5658</v>
      </c>
    </row>
    <row r="1819" spans="1:27" ht="18">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5658</v>
      </c>
    </row>
    <row r="1820" spans="1:27" ht="18.75" thickBot="1">
      <c r="A1820" s="2714"/>
      <c r="B1820" s="371"/>
      <c r="C1820" s="371"/>
      <c r="D1820" s="2716">
        <f t="shared" si="167"/>
        <v>1</v>
      </c>
      <c r="E1820" s="2721" t="s">
        <v>2751</v>
      </c>
      <c r="F1820" s="294"/>
      <c r="G1820" s="374" t="s">
        <v>2752</v>
      </c>
      <c r="H1820" s="375">
        <f>SUMPRODUCT($E1814:$E1819,H1814:H1819)</f>
        <v>0</v>
      </c>
      <c r="I1820" s="395">
        <f>SUMPRODUCT($E1814:$E1819,I1814:I1819)</f>
        <v>2966551.07</v>
      </c>
      <c r="J1820" s="291"/>
      <c r="K1820" s="291"/>
      <c r="L1820" s="291"/>
      <c r="M1820" s="291"/>
      <c r="S1820" s="364"/>
      <c r="Z1820" s="609" t="s">
        <v>758</v>
      </c>
      <c r="AA1820" s="609" t="s">
        <v>5658</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5658</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253" t="s">
        <v>47</v>
      </c>
      <c r="H1826" s="3239" t="str">
        <f>$V$2</f>
        <v>2019年12月31日</v>
      </c>
      <c r="I1826" s="3240"/>
      <c r="J1826" s="3241"/>
      <c r="K1826" s="3242" t="str">
        <f>$V$3</f>
        <v>2018年12月31日</v>
      </c>
      <c r="L1826" s="3243"/>
      <c r="M1826" s="3243"/>
      <c r="N1826" s="355" t="s">
        <v>5278</v>
      </c>
      <c r="O1826" s="428"/>
      <c r="P1826" s="433"/>
      <c r="Q1826" s="442"/>
      <c r="R1826" s="443"/>
      <c r="S1826" s="364"/>
      <c r="Z1826" s="609" t="s">
        <v>764</v>
      </c>
      <c r="AA1826" s="609" t="s">
        <v>3326</v>
      </c>
    </row>
    <row r="1827" spans="1:29" ht="18">
      <c r="A1827" s="2714"/>
      <c r="B1827" s="371"/>
      <c r="C1827" s="371"/>
      <c r="D1827" s="2716"/>
      <c r="E1827" s="2716" t="s">
        <v>2749</v>
      </c>
      <c r="F1827" s="293"/>
      <c r="G1827" s="3292"/>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6573</v>
      </c>
    </row>
    <row r="1836" spans="1:29" ht="18.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6573</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253" t="s">
        <v>5134</v>
      </c>
      <c r="H1841" s="3239" t="str">
        <f>$V$2</f>
        <v>2019年12月31日</v>
      </c>
      <c r="I1841" s="3240"/>
      <c r="J1841" s="3240"/>
      <c r="K1841" s="3241"/>
      <c r="L1841" s="3242" t="str">
        <f>$V$3</f>
        <v>2018年12月31日</v>
      </c>
      <c r="M1841" s="3243"/>
      <c r="N1841" s="3243"/>
      <c r="O1841" s="3243"/>
      <c r="P1841" s="355" t="s">
        <v>5278</v>
      </c>
      <c r="Q1841" s="442"/>
      <c r="R1841" s="443"/>
      <c r="S1841" s="364"/>
      <c r="Z1841" s="609" t="s">
        <v>764</v>
      </c>
      <c r="AA1841" s="609" t="s">
        <v>3326</v>
      </c>
    </row>
    <row r="1842" spans="1:27" ht="18">
      <c r="A1842" s="2714"/>
      <c r="B1842" s="371"/>
      <c r="C1842" s="371"/>
      <c r="D1842" s="2716"/>
      <c r="E1842" s="2716" t="s">
        <v>2749</v>
      </c>
      <c r="F1842" s="293"/>
      <c r="G1842" s="3292"/>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6207</v>
      </c>
      <c r="I1854" s="371" t="s">
        <v>6214</v>
      </c>
      <c r="J1854" s="371" t="s">
        <v>6215</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5930</v>
      </c>
      <c r="H1855" s="2310" t="s">
        <v>5130</v>
      </c>
      <c r="I1855" s="2310" t="s">
        <v>5145</v>
      </c>
      <c r="J1855" s="2293" t="s">
        <v>2863</v>
      </c>
      <c r="K1855" s="355" t="s">
        <v>5278</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3">IF(OR(G1856="*",G1856="",G1856=0),0,COUNTIF($G$1856:$G$1860,G1856))</f>
        <v>1</v>
      </c>
      <c r="E1856" s="2721">
        <v>1</v>
      </c>
      <c r="F1856" s="293"/>
      <c r="G1856" s="1474" t="s">
        <v>5927</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3"/>
        <v>1</v>
      </c>
      <c r="E1857" s="2721">
        <v>1</v>
      </c>
      <c r="F1857" s="293"/>
      <c r="G1857" s="1474" t="s">
        <v>5928</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3"/>
        <v>1</v>
      </c>
      <c r="E1858" s="2721">
        <v>1</v>
      </c>
      <c r="F1858" s="293"/>
      <c r="G1858" s="1474" t="s">
        <v>5929</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5505</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5367</v>
      </c>
      <c r="H1862" s="1550" t="str">
        <f>G1823</f>
        <v>(1)债权投资情况</v>
      </c>
      <c r="I1862" s="1552"/>
      <c r="J1862" s="1552"/>
      <c r="K1862" s="1553" t="s">
        <v>5368</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5278</v>
      </c>
      <c r="N1871" s="434"/>
      <c r="O1871" s="434"/>
      <c r="P1871" s="435"/>
      <c r="Q1871" s="442"/>
      <c r="R1871" s="443"/>
      <c r="S1871" s="364"/>
      <c r="Z1871" s="609" t="s">
        <v>764</v>
      </c>
      <c r="AA1871" s="609" t="s">
        <v>3326</v>
      </c>
    </row>
    <row r="1872" spans="1:27" ht="18">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6136</v>
      </c>
      <c r="N1873" s="439"/>
      <c r="O1873" s="437"/>
      <c r="P1873" s="438"/>
      <c r="Q1873" s="442"/>
      <c r="R1873" s="443"/>
      <c r="S1873" s="364"/>
      <c r="Z1873" s="609" t="s">
        <v>764</v>
      </c>
      <c r="AA1873" s="609" t="s">
        <v>3326</v>
      </c>
    </row>
    <row r="1874" spans="1:29" ht="18">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6573</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6014</v>
      </c>
      <c r="H1884" s="2291" t="s">
        <v>2861</v>
      </c>
      <c r="I1884" s="2291" t="s">
        <v>3148</v>
      </c>
      <c r="J1884" s="2291" t="s">
        <v>3097</v>
      </c>
      <c r="K1884" s="2311" t="s">
        <v>2863</v>
      </c>
      <c r="L1884" s="2312" t="s">
        <v>3147</v>
      </c>
      <c r="M1884" s="355" t="s">
        <v>5278</v>
      </c>
      <c r="N1884" s="434"/>
      <c r="O1884" s="434"/>
      <c r="P1884" s="435"/>
      <c r="Q1884" s="442"/>
      <c r="R1884" s="443"/>
      <c r="S1884" s="364"/>
      <c r="Z1884" s="609" t="s">
        <v>764</v>
      </c>
      <c r="AA1884" s="609" t="s">
        <v>3326</v>
      </c>
    </row>
    <row r="1885" spans="1:29" ht="18">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6136</v>
      </c>
      <c r="N1886" s="439"/>
      <c r="O1886" s="437"/>
      <c r="P1886" s="438"/>
      <c r="Q1886" s="442"/>
      <c r="R1886" s="443"/>
      <c r="S1886" s="364"/>
      <c r="Z1886" s="609" t="s">
        <v>764</v>
      </c>
      <c r="AA1886" s="609" t="s">
        <v>3326</v>
      </c>
    </row>
    <row r="1887" spans="1:29" ht="18">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8">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6573</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6014</v>
      </c>
      <c r="H1897" s="2291" t="s">
        <v>2861</v>
      </c>
      <c r="I1897" s="2291" t="s">
        <v>3148</v>
      </c>
      <c r="J1897" s="2291" t="s">
        <v>3097</v>
      </c>
      <c r="K1897" s="2311" t="s">
        <v>2863</v>
      </c>
      <c r="L1897" s="2312" t="s">
        <v>3147</v>
      </c>
      <c r="M1897" s="355" t="s">
        <v>5278</v>
      </c>
      <c r="N1897" s="434"/>
      <c r="O1897" s="434"/>
      <c r="P1897" s="435"/>
      <c r="Q1897" s="442"/>
      <c r="R1897" s="443"/>
      <c r="S1897" s="364"/>
      <c r="Z1897" s="609" t="s">
        <v>764</v>
      </c>
      <c r="AA1897" s="609" t="s">
        <v>3326</v>
      </c>
    </row>
    <row r="1898" spans="1:29" ht="18">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6136</v>
      </c>
      <c r="N1899" s="439"/>
      <c r="O1899" s="437"/>
      <c r="P1899" s="438"/>
      <c r="Q1899" s="442"/>
      <c r="R1899" s="443"/>
      <c r="S1899" s="364"/>
      <c r="Z1899" s="609" t="s">
        <v>764</v>
      </c>
      <c r="AA1899" s="609" t="s">
        <v>3326</v>
      </c>
    </row>
    <row r="1900" spans="1:29" ht="18">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6573</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293" t="s">
        <v>6015</v>
      </c>
      <c r="H1911" s="3234" t="str">
        <f>$V$3</f>
        <v>2018年12月31日</v>
      </c>
      <c r="I1911" s="3236" t="s">
        <v>6016</v>
      </c>
      <c r="J1911" s="3234" t="str">
        <f>$X$3</f>
        <v>2019年1月1日</v>
      </c>
      <c r="K1911" s="3238" t="s">
        <v>2919</v>
      </c>
      <c r="L1911" s="3238"/>
      <c r="M1911" s="3238"/>
      <c r="N1911" s="3217" t="str">
        <f>$V$2</f>
        <v>2019年12月31日</v>
      </c>
      <c r="O1911" s="355" t="s">
        <v>5278</v>
      </c>
      <c r="P1911" s="433"/>
      <c r="Q1911" s="442"/>
      <c r="R1911" s="443"/>
      <c r="S1911" s="364"/>
      <c r="Z1911" s="609" t="s">
        <v>764</v>
      </c>
      <c r="AA1911" s="609" t="s">
        <v>3326</v>
      </c>
    </row>
    <row r="1912" spans="1:29" ht="18">
      <c r="A1912" s="2714"/>
      <c r="B1912" s="371"/>
      <c r="C1912" s="371"/>
      <c r="D1912" s="2716"/>
      <c r="E1912" s="586" t="s">
        <v>2749</v>
      </c>
      <c r="F1912" s="414"/>
      <c r="G1912" s="3294"/>
      <c r="H1912" s="3235"/>
      <c r="I1912" s="3237"/>
      <c r="J1912" s="3235"/>
      <c r="K1912" s="2239" t="s">
        <v>6017</v>
      </c>
      <c r="L1912" s="2239" t="s">
        <v>6018</v>
      </c>
      <c r="M1912" s="2294" t="s">
        <v>6019</v>
      </c>
      <c r="N1912" s="3218"/>
      <c r="O1912" s="434"/>
      <c r="P1912" s="435"/>
      <c r="Q1912" s="442"/>
      <c r="R1912" s="443"/>
      <c r="S1912" s="364"/>
      <c r="Z1912" s="609" t="s">
        <v>764</v>
      </c>
      <c r="AA1912" s="609" t="s">
        <v>3326</v>
      </c>
    </row>
    <row r="1913" spans="1:29" ht="18">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8">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8">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8">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8.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5367</v>
      </c>
      <c r="H1920" s="1550" t="str">
        <f>G1823</f>
        <v>(1)债权投资情况</v>
      </c>
      <c r="I1920" s="1551"/>
      <c r="J1920" s="1551"/>
      <c r="K1920" s="1551"/>
      <c r="L1920" s="1551"/>
      <c r="M1920" s="1551"/>
      <c r="N1920" s="1552"/>
      <c r="O1920" s="1553" t="s">
        <v>5368</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293" t="s">
        <v>3097</v>
      </c>
      <c r="H1930" s="2291" t="s">
        <v>3348</v>
      </c>
      <c r="I1930" s="2291" t="s">
        <v>3349</v>
      </c>
      <c r="J1930" s="2291" t="s">
        <v>3350</v>
      </c>
      <c r="K1930" s="3303" t="s">
        <v>3351</v>
      </c>
      <c r="L1930" s="355" t="s">
        <v>5278</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294"/>
      <c r="H1931" s="2294" t="s">
        <v>3352</v>
      </c>
      <c r="I1931" s="2294" t="s">
        <v>3353</v>
      </c>
      <c r="J1931" s="2294" t="s">
        <v>3354</v>
      </c>
      <c r="K1931" s="3274"/>
      <c r="L1931" s="1532" t="s">
        <v>6354</v>
      </c>
      <c r="M1931" s="435"/>
      <c r="N1931" s="434"/>
      <c r="O1931" s="434"/>
      <c r="P1931" s="435"/>
      <c r="Q1931" s="442"/>
      <c r="R1931" s="443"/>
      <c r="S1931" s="364"/>
      <c r="Z1931" s="609" t="s">
        <v>764</v>
      </c>
      <c r="AA1931" s="609" t="s">
        <v>3326</v>
      </c>
    </row>
    <row r="1932" spans="1:27" ht="18">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6"/>
        <v>1</v>
      </c>
      <c r="E1934" s="2721">
        <v>1</v>
      </c>
      <c r="F1934" s="293"/>
      <c r="G1934" s="1474" t="s">
        <v>6022</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6"/>
        <v>1</v>
      </c>
      <c r="E1935" s="2721">
        <v>1</v>
      </c>
      <c r="F1935" s="293"/>
      <c r="G1935" s="1474" t="s">
        <v>6020</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6"/>
        <v>1</v>
      </c>
      <c r="E1936" s="2721">
        <v>1</v>
      </c>
      <c r="F1936" s="293"/>
      <c r="G1936" s="1474" t="s">
        <v>6021</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6"/>
        <v>1</v>
      </c>
      <c r="E1937" s="2721">
        <v>1</v>
      </c>
      <c r="F1937" s="293"/>
      <c r="G1937" s="1474" t="s">
        <v>6023</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6"/>
        <v>1</v>
      </c>
      <c r="E1938" s="2721">
        <v>1</v>
      </c>
      <c r="F1938" s="293"/>
      <c r="G1938" s="1474" t="s">
        <v>6024</v>
      </c>
      <c r="H1938" s="2275"/>
      <c r="I1938" s="2275"/>
      <c r="J1938" s="2275"/>
      <c r="K1938" s="1477">
        <f t="shared" si="187"/>
        <v>0</v>
      </c>
      <c r="L1938" s="437"/>
      <c r="M1938" s="438"/>
      <c r="N1938" s="439"/>
      <c r="O1938" s="437"/>
      <c r="P1938" s="438"/>
      <c r="Q1938" s="442"/>
      <c r="R1938" s="443"/>
      <c r="S1938" s="364"/>
      <c r="Z1938" s="609" t="s">
        <v>764</v>
      </c>
      <c r="AA1938" s="609" t="s">
        <v>3326</v>
      </c>
    </row>
    <row r="1939" spans="1:27" ht="18">
      <c r="A1939" s="2714"/>
      <c r="B1939" s="371">
        <v>108</v>
      </c>
      <c r="C1939" s="371"/>
      <c r="D1939" s="2716">
        <f t="shared" si="186"/>
        <v>1</v>
      </c>
      <c r="E1939" s="2721">
        <v>-1</v>
      </c>
      <c r="F1939" s="293"/>
      <c r="G1939" s="1474" t="s">
        <v>6025</v>
      </c>
      <c r="H1939" s="2275"/>
      <c r="I1939" s="2275"/>
      <c r="J1939" s="2275"/>
      <c r="K1939" s="1477">
        <f t="shared" si="187"/>
        <v>0</v>
      </c>
      <c r="L1939" s="355" t="s">
        <v>6137</v>
      </c>
      <c r="M1939" s="438"/>
      <c r="N1939" s="439"/>
      <c r="O1939" s="437"/>
      <c r="P1939" s="438"/>
      <c r="Q1939" s="442"/>
      <c r="R1939" s="443"/>
      <c r="S1939" s="364"/>
      <c r="Z1939" s="609" t="s">
        <v>764</v>
      </c>
      <c r="AA1939" s="609" t="s">
        <v>3326</v>
      </c>
    </row>
    <row r="1940" spans="1:27" ht="18">
      <c r="A1940" s="2714"/>
      <c r="B1940" s="371">
        <v>109</v>
      </c>
      <c r="C1940" s="371"/>
      <c r="D1940" s="2716">
        <f t="shared" si="186"/>
        <v>1</v>
      </c>
      <c r="E1940" s="2721">
        <v>-1</v>
      </c>
      <c r="F1940" s="293"/>
      <c r="G1940" s="603" t="s">
        <v>3356</v>
      </c>
      <c r="H1940" s="2275"/>
      <c r="I1940" s="2275"/>
      <c r="J1940" s="2275"/>
      <c r="K1940" s="1477">
        <f t="shared" si="187"/>
        <v>0</v>
      </c>
      <c r="L1940" s="355" t="s">
        <v>6137</v>
      </c>
      <c r="M1940" s="438"/>
      <c r="N1940" s="439"/>
      <c r="O1940" s="437"/>
      <c r="P1940" s="438"/>
      <c r="Q1940" s="442"/>
      <c r="R1940" s="443"/>
      <c r="S1940" s="364"/>
      <c r="Z1940" s="609" t="s">
        <v>764</v>
      </c>
      <c r="AA1940" s="609" t="s">
        <v>3326</v>
      </c>
    </row>
    <row r="1941" spans="1:27" ht="18">
      <c r="A1941" s="2714"/>
      <c r="B1941" s="371">
        <v>110</v>
      </c>
      <c r="C1941" s="371"/>
      <c r="D1941" s="2716">
        <f t="shared" si="186"/>
        <v>1</v>
      </c>
      <c r="E1941" s="2721">
        <v>-1</v>
      </c>
      <c r="F1941" s="293"/>
      <c r="G1941" s="603" t="s">
        <v>3357</v>
      </c>
      <c r="H1941" s="2275"/>
      <c r="I1941" s="2275"/>
      <c r="J1941" s="2275"/>
      <c r="K1941" s="1477">
        <f t="shared" si="187"/>
        <v>0</v>
      </c>
      <c r="L1941" s="355" t="s">
        <v>6137</v>
      </c>
      <c r="M1941" s="438"/>
      <c r="N1941" s="439"/>
      <c r="O1941" s="437"/>
      <c r="P1941" s="438"/>
      <c r="Q1941" s="442"/>
      <c r="R1941" s="443"/>
      <c r="S1941" s="364"/>
      <c r="Z1941" s="609" t="s">
        <v>764</v>
      </c>
      <c r="AA1941" s="609" t="s">
        <v>3326</v>
      </c>
    </row>
    <row r="1942" spans="1:27" ht="24">
      <c r="A1942" s="2714"/>
      <c r="B1942" s="371">
        <v>111</v>
      </c>
      <c r="C1942" s="371"/>
      <c r="D1942" s="2716">
        <f t="shared" si="186"/>
        <v>1</v>
      </c>
      <c r="E1942" s="2721">
        <v>1</v>
      </c>
      <c r="F1942" s="293"/>
      <c r="G1942" s="1474" t="s">
        <v>6026</v>
      </c>
      <c r="H1942" s="2275"/>
      <c r="I1942" s="2275"/>
      <c r="J1942" s="2275"/>
      <c r="K1942" s="1477">
        <f t="shared" si="187"/>
        <v>0</v>
      </c>
      <c r="L1942" s="355" t="s">
        <v>6134</v>
      </c>
      <c r="M1942" s="438"/>
      <c r="N1942" s="439"/>
      <c r="O1942" s="437"/>
      <c r="P1942" s="438"/>
      <c r="Q1942" s="442"/>
      <c r="R1942" s="443"/>
      <c r="S1942" s="364"/>
      <c r="Z1942" s="609" t="s">
        <v>764</v>
      </c>
      <c r="AA1942" s="609" t="s">
        <v>3326</v>
      </c>
    </row>
    <row r="1943" spans="1:27" ht="18">
      <c r="A1943" s="2714"/>
      <c r="B1943" s="371">
        <v>112</v>
      </c>
      <c r="C1943" s="371" t="s">
        <v>2791</v>
      </c>
      <c r="D1943" s="2716">
        <f t="shared" si="186"/>
        <v>0</v>
      </c>
      <c r="E1943" s="2721">
        <v>1</v>
      </c>
      <c r="F1943" s="293"/>
      <c r="G1943" s="2284" t="s">
        <v>2792</v>
      </c>
      <c r="H1943" s="2275"/>
      <c r="I1943" s="2275"/>
      <c r="J1943" s="2275"/>
      <c r="K1943" s="1477">
        <f t="shared" si="187"/>
        <v>0</v>
      </c>
      <c r="L1943" s="355" t="s">
        <v>6134</v>
      </c>
      <c r="M1943" s="438"/>
      <c r="N1943" s="439"/>
      <c r="O1943" s="437"/>
      <c r="P1943" s="438"/>
      <c r="Q1943" s="442"/>
      <c r="R1943" s="443"/>
      <c r="S1943" s="364"/>
      <c r="Z1943" s="609" t="s">
        <v>764</v>
      </c>
      <c r="AA1943" s="609" t="s">
        <v>3326</v>
      </c>
    </row>
    <row r="1944" spans="1:27" ht="18.75" thickBot="1">
      <c r="A1944" s="2714"/>
      <c r="B1944" s="371"/>
      <c r="C1944" s="371"/>
      <c r="D1944" s="2716">
        <f t="shared" si="186"/>
        <v>1</v>
      </c>
      <c r="E1944" s="2721" t="s">
        <v>6555</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375" t="s">
        <v>47</v>
      </c>
      <c r="H1950" s="3246" t="str">
        <f>$V$2</f>
        <v>2019年12月31日</v>
      </c>
      <c r="I1950" s="3247"/>
      <c r="J1950" s="3248"/>
      <c r="K1950" s="3301" t="str">
        <f>$V$3</f>
        <v>2018年12月31日</v>
      </c>
      <c r="L1950" s="3247"/>
      <c r="M1950" s="3247"/>
      <c r="N1950" s="355" t="s">
        <v>5279</v>
      </c>
      <c r="S1950" s="364"/>
      <c r="Z1950" s="609" t="s">
        <v>806</v>
      </c>
      <c r="AA1950" s="609" t="s">
        <v>3380</v>
      </c>
    </row>
    <row r="1951" spans="1:27" ht="18">
      <c r="A1951" s="2714"/>
      <c r="B1951" s="371"/>
      <c r="C1951" s="371"/>
      <c r="D1951" s="371"/>
      <c r="E1951" s="2716" t="s">
        <v>2749</v>
      </c>
      <c r="F1951" s="294"/>
      <c r="G1951" s="3376"/>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8">
      <c r="A1954" s="2714"/>
      <c r="B1954" s="371">
        <v>102.001</v>
      </c>
      <c r="C1954" s="371"/>
      <c r="D1954" s="2716">
        <f t="shared" si="188"/>
        <v>1</v>
      </c>
      <c r="E1954" s="2721">
        <v>0</v>
      </c>
      <c r="F1954" s="294"/>
      <c r="G1954" s="382" t="s">
        <v>6133</v>
      </c>
      <c r="H1954" s="2329">
        <v>0</v>
      </c>
      <c r="I1954" s="2329">
        <v>0</v>
      </c>
      <c r="J1954" s="2329">
        <v>0</v>
      </c>
      <c r="K1954" s="383"/>
      <c r="L1954" s="383"/>
      <c r="M1954" s="401">
        <f t="shared" ref="M1954:M1958" si="190">K1954-L1954</f>
        <v>0</v>
      </c>
      <c r="N1954" s="355" t="s">
        <v>6136</v>
      </c>
      <c r="S1954" s="364"/>
      <c r="Z1954" s="609" t="s">
        <v>806</v>
      </c>
      <c r="AA1954" s="609" t="s">
        <v>3380</v>
      </c>
    </row>
    <row r="1955" spans="1:29" ht="18">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6136</v>
      </c>
      <c r="S1955" s="364"/>
      <c r="Z1955" s="609" t="s">
        <v>806</v>
      </c>
      <c r="AA1955" s="609" t="s">
        <v>3380</v>
      </c>
      <c r="AC1955" s="369" t="s">
        <v>2794</v>
      </c>
    </row>
    <row r="1956" spans="1:29" ht="18">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8">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8">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8.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6531</v>
      </c>
      <c r="F1961" s="294"/>
      <c r="G1961" s="372" t="str">
        <f>"("&amp;B1961&amp;")"&amp;D1961</f>
        <v>(2)按公允价值计量的可供出售金融资产</v>
      </c>
      <c r="H1961" s="1517" t="str">
        <f>$A1961</f>
        <v>1503e</v>
      </c>
      <c r="I1961" s="343" t="s">
        <v>5965</v>
      </c>
      <c r="J1961" s="301"/>
      <c r="K1961" s="3084"/>
      <c r="L1961" s="315"/>
      <c r="M1961" s="301"/>
      <c r="N1961" s="3084"/>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6523</v>
      </c>
      <c r="I1962" s="371" t="s">
        <v>6524</v>
      </c>
      <c r="J1962" s="371" t="s">
        <v>6525</v>
      </c>
      <c r="K1962" s="371" t="s">
        <v>6526</v>
      </c>
      <c r="L1962" s="291"/>
      <c r="M1962" s="301"/>
      <c r="S1962" s="364"/>
      <c r="Z1962" s="609" t="s">
        <v>806</v>
      </c>
      <c r="AA1962" s="609" t="s">
        <v>3380</v>
      </c>
    </row>
    <row r="1963" spans="1:29" ht="0.75" customHeight="1" thickBot="1">
      <c r="A1963" s="2714"/>
      <c r="B1963" s="371"/>
      <c r="C1963" s="371"/>
      <c r="D1963" s="371"/>
      <c r="E1963" s="586"/>
      <c r="F1963" s="586"/>
      <c r="G1963" s="586"/>
      <c r="H1963" s="371" t="s">
        <v>6402</v>
      </c>
      <c r="I1963" s="371" t="s">
        <v>6403</v>
      </c>
      <c r="J1963" s="371" t="s">
        <v>6404</v>
      </c>
      <c r="K1963" s="371" t="s">
        <v>6405</v>
      </c>
      <c r="L1963" s="291"/>
      <c r="M1963" s="301"/>
      <c r="S1963" s="364"/>
      <c r="Z1963" s="609" t="s">
        <v>806</v>
      </c>
      <c r="AA1963" s="609" t="s">
        <v>3380</v>
      </c>
    </row>
    <row r="1964" spans="1:29" ht="18" customHeight="1">
      <c r="A1964" s="2714"/>
      <c r="B1964" s="371"/>
      <c r="C1964" s="371"/>
      <c r="D1964" s="371"/>
      <c r="E1964" s="586" t="s">
        <v>2749</v>
      </c>
      <c r="F1964" s="414"/>
      <c r="G1964" s="3293" t="s">
        <v>3372</v>
      </c>
      <c r="H1964" s="3363" t="str">
        <f>$V$3</f>
        <v>2018年12月31日</v>
      </c>
      <c r="I1964" s="3363"/>
      <c r="J1964" s="3363"/>
      <c r="K1964" s="3344"/>
      <c r="L1964" s="355" t="s">
        <v>5279</v>
      </c>
      <c r="M1964" s="301"/>
      <c r="S1964" s="364"/>
      <c r="Z1964" s="609" t="s">
        <v>806</v>
      </c>
      <c r="AA1964" s="609" t="s">
        <v>3380</v>
      </c>
    </row>
    <row r="1965" spans="1:29" ht="36">
      <c r="A1965" s="2714"/>
      <c r="B1965" s="371"/>
      <c r="C1965" s="371"/>
      <c r="D1965" s="371"/>
      <c r="E1965" s="586" t="s">
        <v>2749</v>
      </c>
      <c r="F1965" s="363"/>
      <c r="G1965" s="3294"/>
      <c r="H1965" s="2688" t="s">
        <v>6044</v>
      </c>
      <c r="I1965" s="2688" t="s">
        <v>6045</v>
      </c>
      <c r="J1965" s="2688" t="s">
        <v>6046</v>
      </c>
      <c r="K1965" s="2691" t="s">
        <v>6047</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293" t="s">
        <v>3376</v>
      </c>
      <c r="H1974" s="3236" t="s">
        <v>2861</v>
      </c>
      <c r="I1974" s="3236"/>
      <c r="J1974" s="3236"/>
      <c r="K1974" s="3252"/>
      <c r="L1974" s="355" t="s">
        <v>5279</v>
      </c>
      <c r="M1974" s="1509"/>
      <c r="N1974" s="1509"/>
      <c r="O1974" s="1509"/>
      <c r="P1974" s="1509"/>
      <c r="Q1974" s="3227"/>
      <c r="R1974" s="443"/>
      <c r="S1974" s="364"/>
      <c r="Z1974" s="609" t="s">
        <v>806</v>
      </c>
      <c r="AA1974" s="609" t="s">
        <v>3371</v>
      </c>
    </row>
    <row r="1975" spans="1:27" ht="18">
      <c r="A1975" s="2714"/>
      <c r="B1975" s="371"/>
      <c r="C1975" s="371"/>
      <c r="D1975" s="2716"/>
      <c r="E1975" s="586" t="s">
        <v>2749</v>
      </c>
      <c r="F1975" s="414"/>
      <c r="G1975" s="3294"/>
      <c r="H1975" s="2474" t="str">
        <f>$Y$3</f>
        <v>2017年12月31日</v>
      </c>
      <c r="I1975" s="2294" t="s">
        <v>3027</v>
      </c>
      <c r="J1975" s="2294" t="s">
        <v>3028</v>
      </c>
      <c r="K1975" s="2334" t="str">
        <f>$V$3</f>
        <v>2018年12月31日</v>
      </c>
      <c r="L1975" s="355" t="s">
        <v>6138</v>
      </c>
      <c r="M1975" s="479"/>
      <c r="N1975" s="479"/>
      <c r="O1975" s="1462"/>
      <c r="P1975" s="1509"/>
      <c r="Q1975" s="3227"/>
      <c r="R1975" s="443"/>
      <c r="S1975" s="364"/>
      <c r="Z1975" s="609" t="s">
        <v>806</v>
      </c>
      <c r="AA1975" s="609" t="s">
        <v>3371</v>
      </c>
    </row>
    <row r="1976" spans="1:27" ht="18">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293" t="s">
        <v>3376</v>
      </c>
      <c r="H1989" s="3236" t="s">
        <v>3097</v>
      </c>
      <c r="I1989" s="3236"/>
      <c r="J1989" s="3236"/>
      <c r="K1989" s="3236"/>
      <c r="L1989" s="3236" t="s">
        <v>3378</v>
      </c>
      <c r="M1989" s="3252" t="s">
        <v>3379</v>
      </c>
      <c r="N1989" s="355" t="s">
        <v>5279</v>
      </c>
      <c r="O1989" s="428"/>
      <c r="P1989" s="433"/>
      <c r="Q1989" s="442"/>
      <c r="R1989" s="443"/>
      <c r="S1989" s="364"/>
      <c r="Z1989" s="609" t="s">
        <v>806</v>
      </c>
      <c r="AA1989" s="609" t="s">
        <v>3371</v>
      </c>
    </row>
    <row r="1990" spans="1:27" ht="18">
      <c r="A1990" s="2714"/>
      <c r="B1990" s="371"/>
      <c r="C1990" s="371"/>
      <c r="D1990" s="2716"/>
      <c r="E1990" s="586" t="s">
        <v>2749</v>
      </c>
      <c r="F1990" s="414"/>
      <c r="G1990" s="3294"/>
      <c r="H1990" s="2474" t="str">
        <f>$Y$3</f>
        <v>2017年12月31日</v>
      </c>
      <c r="I1990" s="2294" t="s">
        <v>3027</v>
      </c>
      <c r="J1990" s="2294" t="s">
        <v>3028</v>
      </c>
      <c r="K1990" s="2333" t="str">
        <f>$V$3</f>
        <v>2018年12月31日</v>
      </c>
      <c r="L1990" s="3237"/>
      <c r="M1990" s="3302"/>
      <c r="N1990" s="355" t="s">
        <v>6138</v>
      </c>
      <c r="O1990" s="434"/>
      <c r="P1990" s="435"/>
      <c r="Q1990" s="442"/>
      <c r="R1990" s="443"/>
      <c r="S1990" s="364"/>
      <c r="Z1990" s="609" t="s">
        <v>806</v>
      </c>
      <c r="AA1990" s="609" t="s">
        <v>3371</v>
      </c>
    </row>
    <row r="1991" spans="1:27" ht="18">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5279</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6138</v>
      </c>
      <c r="L2004" s="437"/>
      <c r="M2004" s="438"/>
      <c r="N2004" s="439"/>
      <c r="O2004" s="437"/>
      <c r="P2004" s="438"/>
      <c r="Q2004" s="442"/>
      <c r="R2004" s="443"/>
      <c r="S2004" s="364"/>
      <c r="Z2004" s="609" t="s">
        <v>806</v>
      </c>
      <c r="AA2004" s="609" t="s">
        <v>3380</v>
      </c>
    </row>
    <row r="2005" spans="1:31" ht="18">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6"/>
        <v>1</v>
      </c>
      <c r="E2009" s="2721">
        <v>1</v>
      </c>
      <c r="F2009" s="293"/>
      <c r="G2009" s="2548" t="s">
        <v>6135</v>
      </c>
      <c r="H2009" s="2275"/>
      <c r="I2009" s="2275"/>
      <c r="J2009" s="1477">
        <f t="shared" si="197"/>
        <v>0</v>
      </c>
      <c r="K2009" s="355" t="s">
        <v>6134</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6"/>
        <v>0</v>
      </c>
      <c r="E2010" s="2721">
        <v>1</v>
      </c>
      <c r="F2010" s="293"/>
      <c r="G2010" s="2284" t="s">
        <v>2792</v>
      </c>
      <c r="H2010" s="2275"/>
      <c r="I2010" s="2275"/>
      <c r="J2010" s="1477">
        <f t="shared" si="197"/>
        <v>0</v>
      </c>
      <c r="K2010" s="355" t="s">
        <v>6134</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6613</v>
      </c>
      <c r="F2013" s="294"/>
      <c r="G2013" s="372" t="str">
        <f>"("&amp;B2013&amp;")"&amp;D2013</f>
        <v>(4)报告期内可供出售金融资产减值的变动情况</v>
      </c>
      <c r="H2013" s="1517" t="str">
        <f>$A2013</f>
        <v>1503d</v>
      </c>
      <c r="I2013" s="343" t="s">
        <v>6616</v>
      </c>
      <c r="J2013" s="301" t="s">
        <v>6615</v>
      </c>
      <c r="K2013" s="301"/>
      <c r="L2013" s="315"/>
      <c r="M2013" s="301" t="s">
        <v>6615</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4"/>
      <c r="L2021" s="315"/>
      <c r="M2021" s="301"/>
      <c r="N2021" s="3084"/>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5279</v>
      </c>
      <c r="P2023" s="291"/>
      <c r="S2023" s="364"/>
      <c r="Z2023" s="609" t="s">
        <v>806</v>
      </c>
      <c r="AA2023" s="609" t="s">
        <v>3380</v>
      </c>
    </row>
    <row r="2024" spans="1:31" ht="18">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5280</v>
      </c>
      <c r="S2034" s="364"/>
      <c r="Z2034" s="609" t="s">
        <v>849</v>
      </c>
      <c r="AA2034" s="609" t="s">
        <v>3401</v>
      </c>
    </row>
    <row r="2035" spans="1:29" ht="18">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8">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8">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8">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8">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8">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8">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8">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8">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4">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6573</v>
      </c>
    </row>
    <row r="2046" spans="1:29" ht="18.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293" t="s">
        <v>5134</v>
      </c>
      <c r="H2051" s="3239" t="str">
        <f>$V$2</f>
        <v>2019年12月31日</v>
      </c>
      <c r="I2051" s="3240"/>
      <c r="J2051" s="3240"/>
      <c r="K2051" s="3241"/>
      <c r="L2051" s="3242" t="str">
        <f>$V$3</f>
        <v>2018年12月31日</v>
      </c>
      <c r="M2051" s="3243"/>
      <c r="N2051" s="3243"/>
      <c r="O2051" s="3243"/>
      <c r="P2051" s="355" t="s">
        <v>5280</v>
      </c>
      <c r="Q2051" s="442"/>
      <c r="R2051" s="443"/>
      <c r="S2051" s="364"/>
      <c r="Z2051" s="609" t="s">
        <v>849</v>
      </c>
      <c r="AA2051" s="609" t="s">
        <v>3401</v>
      </c>
    </row>
    <row r="2052" spans="1:27" ht="18">
      <c r="A2052" s="2714"/>
      <c r="B2052" s="371"/>
      <c r="C2052" s="371"/>
      <c r="D2052" s="2716"/>
      <c r="E2052" s="586" t="s">
        <v>2749</v>
      </c>
      <c r="F2052" s="414"/>
      <c r="G2052" s="3294"/>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6467</v>
      </c>
      <c r="I2064" s="371" t="s">
        <v>6527</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5930</v>
      </c>
      <c r="H2065" s="2310" t="s">
        <v>6392</v>
      </c>
      <c r="I2065" s="2709" t="s">
        <v>5145</v>
      </c>
      <c r="J2065" s="355" t="s">
        <v>5280</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6">IF(OR(G2066="*",G2066="",G2066=0),0,COUNTIF($G$2066:$G$2070,G2066))</f>
        <v>1</v>
      </c>
      <c r="E2066" s="2721">
        <v>1</v>
      </c>
      <c r="F2066" s="293"/>
      <c r="G2066" s="1474" t="s">
        <v>5927</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6"/>
        <v>1</v>
      </c>
      <c r="E2067" s="2721">
        <v>1</v>
      </c>
      <c r="F2067" s="293"/>
      <c r="G2067" s="1474" t="s">
        <v>5928</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6"/>
        <v>1</v>
      </c>
      <c r="E2068" s="2721">
        <v>1</v>
      </c>
      <c r="F2068" s="293"/>
      <c r="G2068" s="1474" t="s">
        <v>5929</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5505</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5367</v>
      </c>
      <c r="H2072" s="1550" t="str">
        <f>G2032</f>
        <v>(1)其他债权投资情况</v>
      </c>
      <c r="I2072" s="1552"/>
      <c r="J2072" s="1553" t="s">
        <v>5368</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6528</v>
      </c>
      <c r="I2080" s="547" t="s">
        <v>2947</v>
      </c>
      <c r="J2080" s="371" t="s">
        <v>2948</v>
      </c>
      <c r="K2080" s="547" t="s">
        <v>6529</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6406</v>
      </c>
      <c r="H2081" s="2310" t="s">
        <v>6407</v>
      </c>
      <c r="I2081" s="2687" t="s">
        <v>3360</v>
      </c>
      <c r="J2081" s="2687" t="s">
        <v>3097</v>
      </c>
      <c r="K2081" s="2689" t="s">
        <v>6408</v>
      </c>
      <c r="L2081" s="355" t="s">
        <v>5280</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6573</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6528</v>
      </c>
      <c r="I2093" s="371" t="s">
        <v>2947</v>
      </c>
      <c r="J2093" s="371" t="s">
        <v>2948</v>
      </c>
      <c r="K2093" s="547" t="s">
        <v>6529</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6409</v>
      </c>
      <c r="H2094" s="2310" t="s">
        <v>6410</v>
      </c>
      <c r="I2094" s="2687" t="s">
        <v>3148</v>
      </c>
      <c r="J2094" s="2687" t="s">
        <v>3097</v>
      </c>
      <c r="K2094" s="2689" t="s">
        <v>6411</v>
      </c>
      <c r="L2094" s="355" t="s">
        <v>5280</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6573</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6528</v>
      </c>
      <c r="I2106" s="371" t="s">
        <v>2947</v>
      </c>
      <c r="J2106" s="371" t="s">
        <v>2948</v>
      </c>
      <c r="K2106" s="547" t="s">
        <v>6529</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6412</v>
      </c>
      <c r="H2107" s="2310" t="s">
        <v>6413</v>
      </c>
      <c r="I2107" s="2687" t="s">
        <v>3148</v>
      </c>
      <c r="J2107" s="2687" t="s">
        <v>3097</v>
      </c>
      <c r="K2107" s="2689" t="s">
        <v>6414</v>
      </c>
      <c r="L2107" s="355" t="s">
        <v>5280</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6573</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293" t="s">
        <v>5117</v>
      </c>
      <c r="H2121" s="3234" t="str">
        <f>$V$3</f>
        <v>2018年12月31日</v>
      </c>
      <c r="I2121" s="3236" t="s">
        <v>5209</v>
      </c>
      <c r="J2121" s="3234" t="str">
        <f>$X$3</f>
        <v>2019年1月1日</v>
      </c>
      <c r="K2121" s="3238" t="s">
        <v>2919</v>
      </c>
      <c r="L2121" s="3238"/>
      <c r="M2121" s="3238"/>
      <c r="N2121" s="3217"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294"/>
      <c r="H2122" s="3235"/>
      <c r="I2122" s="3237"/>
      <c r="J2122" s="3235"/>
      <c r="K2122" s="2239" t="s">
        <v>5210</v>
      </c>
      <c r="L2122" s="2239" t="s">
        <v>5211</v>
      </c>
      <c r="M2122" s="2294" t="s">
        <v>5212</v>
      </c>
      <c r="N2122" s="3218"/>
      <c r="O2122" s="434"/>
      <c r="P2122" s="435"/>
      <c r="Q2122" s="442"/>
      <c r="R2122" s="443"/>
      <c r="S2122" s="364"/>
      <c r="Z2122" s="609" t="s">
        <v>849</v>
      </c>
      <c r="AA2122" s="609" t="s">
        <v>3401</v>
      </c>
    </row>
    <row r="2123" spans="1:29" ht="18">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8">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8">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8">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8.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5367</v>
      </c>
      <c r="H2130" s="1550" t="str">
        <f>G2063</f>
        <v>(3)其他债权投资按减值计提方法分类披露（三阶段模型）</v>
      </c>
      <c r="I2130" s="1551"/>
      <c r="J2130" s="1551"/>
      <c r="K2130" s="1551"/>
      <c r="L2130" s="1551"/>
      <c r="M2130" s="1551"/>
      <c r="N2130" s="1552"/>
      <c r="O2130" s="1553" t="s">
        <v>5368</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253" t="s">
        <v>5853</v>
      </c>
      <c r="H2140" s="2291" t="s">
        <v>3348</v>
      </c>
      <c r="I2140" s="2291" t="s">
        <v>3349</v>
      </c>
      <c r="J2140" s="2291" t="s">
        <v>3350</v>
      </c>
      <c r="K2140" s="3244" t="s">
        <v>3351</v>
      </c>
      <c r="L2140" s="355" t="s">
        <v>5280</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292"/>
      <c r="H2141" s="2294" t="s">
        <v>3352</v>
      </c>
      <c r="I2141" s="2294" t="s">
        <v>3353</v>
      </c>
      <c r="J2141" s="2294" t="s">
        <v>3354</v>
      </c>
      <c r="K2141" s="3245"/>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4"/>
        <v>1</v>
      </c>
      <c r="E2144" s="2721">
        <v>1</v>
      </c>
      <c r="F2144" s="293"/>
      <c r="G2144" s="578" t="s">
        <v>5202</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4"/>
        <v>1</v>
      </c>
      <c r="E2145" s="2721">
        <v>1</v>
      </c>
      <c r="F2145" s="293"/>
      <c r="G2145" s="578" t="s">
        <v>5203</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4"/>
        <v>1</v>
      </c>
      <c r="E2146" s="2721">
        <v>1</v>
      </c>
      <c r="F2146" s="293"/>
      <c r="G2146" s="578" t="s">
        <v>5204</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4"/>
        <v>1</v>
      </c>
      <c r="E2147" s="2721">
        <v>1</v>
      </c>
      <c r="F2147" s="293"/>
      <c r="G2147" s="578" t="s">
        <v>5205</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4"/>
        <v>1</v>
      </c>
      <c r="E2148" s="2721">
        <v>1</v>
      </c>
      <c r="F2148" s="293"/>
      <c r="G2148" s="1486" t="s">
        <v>5206</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4"/>
      <c r="B2149" s="371">
        <v>108</v>
      </c>
      <c r="C2149" s="371"/>
      <c r="D2149" s="2716">
        <f t="shared" si="214"/>
        <v>1</v>
      </c>
      <c r="E2149" s="2721">
        <v>-1</v>
      </c>
      <c r="F2149" s="293"/>
      <c r="G2149" s="1486" t="s">
        <v>5207</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4"/>
      <c r="B2152" s="371">
        <v>111</v>
      </c>
      <c r="C2152" s="371"/>
      <c r="D2152" s="2716">
        <f t="shared" si="214"/>
        <v>1</v>
      </c>
      <c r="E2152" s="2721">
        <v>1</v>
      </c>
      <c r="F2152" s="293"/>
      <c r="G2152" s="1486" t="s">
        <v>5208</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4"/>
      <c r="B2160" s="371"/>
      <c r="C2160" s="371"/>
      <c r="D2160" s="371"/>
      <c r="E2160" s="2716" t="s">
        <v>2749</v>
      </c>
      <c r="F2160" s="387"/>
      <c r="G2160" s="3325" t="s">
        <v>47</v>
      </c>
      <c r="H2160" s="3246" t="str">
        <f>$V$2</f>
        <v>2019年12月31日</v>
      </c>
      <c r="I2160" s="3247"/>
      <c r="J2160" s="3248"/>
      <c r="K2160" s="3301" t="str">
        <f>$V$3</f>
        <v>2018年12月31日</v>
      </c>
      <c r="L2160" s="3247"/>
      <c r="M2160" s="3247"/>
      <c r="N2160" s="355" t="s">
        <v>5281</v>
      </c>
      <c r="S2160" s="364"/>
      <c r="Z2160" s="609" t="s">
        <v>904</v>
      </c>
      <c r="AA2160" s="609" t="s">
        <v>5661</v>
      </c>
    </row>
    <row r="2161" spans="1:27" ht="18">
      <c r="A2161" s="2714"/>
      <c r="B2161" s="371"/>
      <c r="C2161" s="371"/>
      <c r="D2161" s="371"/>
      <c r="E2161" s="2716" t="s">
        <v>2749</v>
      </c>
      <c r="F2161" s="294"/>
      <c r="G2161" s="3326"/>
      <c r="H2161" s="554" t="s">
        <v>2861</v>
      </c>
      <c r="I2161" s="554" t="s">
        <v>3097</v>
      </c>
      <c r="J2161" s="555" t="s">
        <v>2863</v>
      </c>
      <c r="K2161" s="555" t="s">
        <v>2861</v>
      </c>
      <c r="L2161" s="555" t="s">
        <v>3097</v>
      </c>
      <c r="M2161" s="556" t="s">
        <v>2863</v>
      </c>
      <c r="S2161" s="364"/>
      <c r="Z2161" s="609" t="s">
        <v>904</v>
      </c>
      <c r="AA2161" s="609" t="s">
        <v>5661</v>
      </c>
    </row>
    <row r="2162" spans="1:27" ht="18">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5661</v>
      </c>
    </row>
    <row r="2163" spans="1:27" ht="18">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5661</v>
      </c>
    </row>
    <row r="2164" spans="1:27" ht="18">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5661</v>
      </c>
    </row>
    <row r="2165" spans="1:27" ht="18">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5661</v>
      </c>
    </row>
    <row r="2166" spans="1:27" ht="18">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5661</v>
      </c>
    </row>
    <row r="2167" spans="1:27" ht="18">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5661</v>
      </c>
    </row>
    <row r="2168" spans="1:27" ht="18">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5661</v>
      </c>
    </row>
    <row r="2169" spans="1:27" ht="18.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5661</v>
      </c>
    </row>
    <row r="2170" spans="1:27" ht="18">
      <c r="A2170" s="2714"/>
      <c r="B2170" s="371"/>
      <c r="C2170" s="371" t="s">
        <v>2755</v>
      </c>
      <c r="D2170" s="371"/>
      <c r="F2170" s="294"/>
      <c r="G2170" s="557"/>
      <c r="H2170" s="315"/>
      <c r="I2170" s="315"/>
      <c r="J2170" s="315"/>
      <c r="K2170" s="315"/>
      <c r="L2170" s="315"/>
      <c r="M2170" s="315"/>
      <c r="S2170" s="364"/>
      <c r="Z2170" s="609" t="s">
        <v>904</v>
      </c>
      <c r="AA2170" s="609" t="s">
        <v>5661</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4"/>
      <c r="L2171" s="315"/>
      <c r="M2171" s="301"/>
      <c r="N2171" s="3084"/>
      <c r="O2171" s="315"/>
      <c r="P2171" s="301"/>
      <c r="Q2171" s="290" t="str">
        <f>IF($I2171="不适用","",IF(ROUND(SUM($H$2174:$K$2179),2)=0,"请输入",""))</f>
        <v>请输入</v>
      </c>
      <c r="S2171" s="364"/>
      <c r="Z2171" s="609" t="s">
        <v>904</v>
      </c>
      <c r="AA2171" s="609" t="s">
        <v>5661</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5661</v>
      </c>
    </row>
    <row r="2175" spans="1:27" ht="18">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5661</v>
      </c>
    </row>
    <row r="2176" spans="1:27" ht="18">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5661</v>
      </c>
    </row>
    <row r="2177" spans="1:27" ht="18">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5661</v>
      </c>
    </row>
    <row r="2178" spans="1:27" ht="18">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5661</v>
      </c>
    </row>
    <row r="2179" spans="1:27" ht="18.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4"/>
      <c r="B2180" s="371"/>
      <c r="C2180" s="371" t="s">
        <v>2755</v>
      </c>
      <c r="D2180" s="371"/>
      <c r="F2180" s="294"/>
      <c r="G2180" s="301"/>
      <c r="H2180" s="349"/>
      <c r="I2180" s="350"/>
      <c r="J2180" s="350"/>
      <c r="K2180" s="350"/>
      <c r="L2180" s="291"/>
      <c r="M2180" s="291"/>
      <c r="S2180" s="364"/>
      <c r="Z2180" s="609" t="s">
        <v>904</v>
      </c>
      <c r="AA2180" s="609" t="s">
        <v>5661</v>
      </c>
    </row>
    <row r="2181" spans="1:27" ht="24">
      <c r="A2181" s="2714" t="s">
        <v>917</v>
      </c>
      <c r="B2181" s="371">
        <v>3</v>
      </c>
      <c r="C2181" s="371"/>
      <c r="D2181" s="2716" t="str">
        <f>VLOOKUP($A2181,Sheet_NoteList,2,0)</f>
        <v>本期重分类的持有至到期投资</v>
      </c>
      <c r="E2181" s="2716" t="s">
        <v>6531</v>
      </c>
      <c r="F2181" s="294"/>
      <c r="G2181" s="372" t="str">
        <f>"("&amp;B2181&amp;")"&amp;D2181</f>
        <v>(3)本期重分类的持有至到期投资</v>
      </c>
      <c r="H2181" s="1517" t="str">
        <f>$A2181</f>
        <v>1501e</v>
      </c>
      <c r="I2181" s="343" t="s">
        <v>5965</v>
      </c>
      <c r="J2181" s="301"/>
      <c r="K2181" s="3084"/>
      <c r="L2181" s="315"/>
      <c r="M2181" s="301"/>
      <c r="N2181" s="3084"/>
      <c r="O2181" s="315"/>
      <c r="P2181" s="301"/>
      <c r="Q2181" s="290" t="str">
        <f>IF($I2181="不适用","",IF(ROUND(SUM($H$2184:$J$2189),2)=0,"请输入",""))</f>
        <v>请输入</v>
      </c>
      <c r="S2181" s="364"/>
      <c r="Z2181" s="609" t="s">
        <v>904</v>
      </c>
      <c r="AA2181" s="609" t="s">
        <v>5661</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4"/>
      <c r="B2183" s="371"/>
      <c r="C2183" s="371"/>
      <c r="D2183" s="371"/>
      <c r="E2183" s="586" t="s">
        <v>2749</v>
      </c>
      <c r="F2183" s="363"/>
      <c r="G2183" s="2288" t="s">
        <v>47</v>
      </c>
      <c r="H2183" s="2290" t="s">
        <v>3439</v>
      </c>
      <c r="I2183" s="2290" t="s">
        <v>3440</v>
      </c>
      <c r="J2183" s="2281" t="s">
        <v>6028</v>
      </c>
      <c r="K2183" s="343"/>
      <c r="L2183" s="291"/>
      <c r="M2183" s="291"/>
      <c r="S2183" s="364"/>
      <c r="Z2183" s="609" t="s">
        <v>904</v>
      </c>
      <c r="AA2183" s="609" t="s">
        <v>5661</v>
      </c>
    </row>
    <row r="2184" spans="1:27" ht="18">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5661</v>
      </c>
    </row>
    <row r="2185" spans="1:27" ht="18">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5661</v>
      </c>
    </row>
    <row r="2186" spans="1:27" ht="18">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5661</v>
      </c>
    </row>
    <row r="2187" spans="1:27" ht="18">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5661</v>
      </c>
    </row>
    <row r="2188" spans="1:27" ht="18">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5661</v>
      </c>
    </row>
    <row r="2189" spans="1:27" ht="18.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5661</v>
      </c>
    </row>
    <row r="2190" spans="1:27" ht="18">
      <c r="A2190" s="2714"/>
      <c r="B2190" s="371"/>
      <c r="C2190" s="371" t="s">
        <v>2755</v>
      </c>
      <c r="D2190" s="371"/>
      <c r="F2190" s="294"/>
      <c r="G2190" s="301"/>
      <c r="H2190" s="315"/>
      <c r="I2190" s="393"/>
      <c r="J2190" s="393"/>
      <c r="K2190" s="291"/>
      <c r="L2190" s="291"/>
      <c r="M2190" s="291"/>
      <c r="S2190" s="364"/>
      <c r="Z2190" s="609" t="s">
        <v>904</v>
      </c>
      <c r="AA2190" s="609" t="s">
        <v>5661</v>
      </c>
    </row>
    <row r="2191" spans="1:27" ht="18">
      <c r="A2191" s="2714" t="s">
        <v>5587</v>
      </c>
      <c r="B2191" s="371">
        <v>4</v>
      </c>
      <c r="C2191" s="371"/>
      <c r="D2191" s="2716" t="str">
        <f>VLOOKUP($A2191,Sheet_NoteList,2,0)</f>
        <v>外币持有至到期投资</v>
      </c>
      <c r="E2191" s="2716" t="s">
        <v>6531</v>
      </c>
      <c r="F2191" s="293"/>
      <c r="G2191" s="372" t="str">
        <f>"("&amp;B2191&amp;")"&amp;D2191</f>
        <v>(4)外币持有至到期投资</v>
      </c>
      <c r="H2191" s="1517" t="str">
        <f>$A2191</f>
        <v>1501f</v>
      </c>
      <c r="I2191" s="343" t="s">
        <v>5591</v>
      </c>
      <c r="J2191" s="301" t="s">
        <v>5592</v>
      </c>
      <c r="K2191" s="2210">
        <f>H2199</f>
        <v>0</v>
      </c>
      <c r="L2191" s="349" t="str">
        <f>IF($I2191="适用",IF(ROUND(K$2156-K2191,2)=0,"F/S",ROUND(K$2156-K2191,2)),"#N/A")</f>
        <v>F/S</v>
      </c>
      <c r="M2191" s="301" t="s">
        <v>5593</v>
      </c>
      <c r="N2191" s="2210">
        <f>I2199</f>
        <v>0</v>
      </c>
      <c r="O2191" s="349" t="str">
        <f>IF($I2191="适用",IF(ROUND(N$2156-N2191,2)=0,"F/S",ROUND(N$2156-N2191,2)),"#N/A")</f>
        <v>F/S</v>
      </c>
      <c r="P2191" s="301"/>
      <c r="S2191" s="364"/>
      <c r="Z2191" s="609" t="s">
        <v>904</v>
      </c>
      <c r="AA2191" s="609" t="s">
        <v>5661</v>
      </c>
    </row>
    <row r="2192" spans="1:27" ht="0.75" customHeight="1" thickBot="1">
      <c r="A2192" s="2714"/>
      <c r="B2192" s="371"/>
      <c r="C2192" s="371"/>
      <c r="D2192" s="2716"/>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4"/>
      <c r="B2193" s="371"/>
      <c r="C2193" s="371"/>
      <c r="D2193" s="2716"/>
      <c r="E2193" s="2716" t="s">
        <v>2749</v>
      </c>
      <c r="F2193" s="293"/>
      <c r="G2193" s="1635" t="s">
        <v>47</v>
      </c>
      <c r="H2193" s="1627" t="s">
        <v>3076</v>
      </c>
      <c r="I2193" s="1627" t="s">
        <v>3077</v>
      </c>
      <c r="J2193" s="1628" t="s">
        <v>3078</v>
      </c>
      <c r="K2193" s="355" t="s">
        <v>5604</v>
      </c>
      <c r="L2193" s="291"/>
      <c r="M2193" s="301"/>
      <c r="N2193" s="391"/>
      <c r="O2193" s="349"/>
      <c r="P2193" s="301"/>
      <c r="S2193" s="364"/>
      <c r="Z2193" s="609" t="s">
        <v>904</v>
      </c>
      <c r="AA2193" s="609" t="s">
        <v>5661</v>
      </c>
    </row>
    <row r="2194" spans="1:27" ht="18">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5364</v>
      </c>
      <c r="L2194" s="1522" t="s">
        <v>5365</v>
      </c>
      <c r="M2194" s="301"/>
      <c r="N2194" s="391"/>
      <c r="O2194" s="349"/>
      <c r="P2194" s="301"/>
      <c r="S2194" s="364"/>
      <c r="Z2194" s="609" t="s">
        <v>904</v>
      </c>
      <c r="AA2194" s="609" t="s">
        <v>5661</v>
      </c>
    </row>
    <row r="2195" spans="1:27" ht="18">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5661</v>
      </c>
    </row>
    <row r="2196" spans="1:27" ht="18">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5661</v>
      </c>
    </row>
    <row r="2197" spans="1:27" ht="18">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5661</v>
      </c>
    </row>
    <row r="2198" spans="1:27" ht="18">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5661</v>
      </c>
    </row>
    <row r="2199" spans="1:27" ht="18.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5661</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5661</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286" t="s">
        <v>47</v>
      </c>
      <c r="H2205" s="3249" t="str">
        <f>$V$2</f>
        <v>2019年12月31日</v>
      </c>
      <c r="I2205" s="3250"/>
      <c r="J2205" s="3251"/>
      <c r="K2205" s="3249" t="str">
        <f>$V$3</f>
        <v>2018年12月31日</v>
      </c>
      <c r="L2205" s="3250"/>
      <c r="M2205" s="3251"/>
      <c r="N2205" s="3215" t="s">
        <v>3444</v>
      </c>
      <c r="O2205" s="355" t="s">
        <v>5282</v>
      </c>
      <c r="S2205" s="364"/>
      <c r="Z2205" s="609" t="s">
        <v>925</v>
      </c>
      <c r="AA2205" s="609" t="s">
        <v>3451</v>
      </c>
    </row>
    <row r="2206" spans="1:27" ht="18">
      <c r="A2206" s="2714"/>
      <c r="B2206" s="371"/>
      <c r="C2206" s="371"/>
      <c r="D2206" s="371"/>
      <c r="E2206" s="586" t="s">
        <v>2749</v>
      </c>
      <c r="F2206" s="363"/>
      <c r="G2206" s="3287"/>
      <c r="H2206" s="2283" t="s">
        <v>2861</v>
      </c>
      <c r="I2206" s="2283" t="s">
        <v>2862</v>
      </c>
      <c r="J2206" s="2283" t="s">
        <v>2863</v>
      </c>
      <c r="K2206" s="2283" t="s">
        <v>2861</v>
      </c>
      <c r="L2206" s="2283" t="s">
        <v>2862</v>
      </c>
      <c r="M2206" s="2283" t="s">
        <v>2863</v>
      </c>
      <c r="N2206" s="3216"/>
      <c r="S2206" s="364"/>
      <c r="Z2206" s="609" t="s">
        <v>925</v>
      </c>
      <c r="AA2206" s="609" t="s">
        <v>3451</v>
      </c>
    </row>
    <row r="2207" spans="1:27" ht="18">
      <c r="A2207" s="2714"/>
      <c r="B2207" s="371">
        <v>101</v>
      </c>
      <c r="C2207" s="371"/>
      <c r="D2207" s="2716">
        <f t="shared" ref="D2207:D2216" si="222">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2"/>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8">
      <c r="A2210" s="2714"/>
      <c r="B2210" s="371">
        <v>104</v>
      </c>
      <c r="C2210" s="371"/>
      <c r="D2210" s="2716">
        <f t="shared" si="222"/>
        <v>1</v>
      </c>
      <c r="E2210" s="2721">
        <v>1</v>
      </c>
      <c r="F2210" s="294"/>
      <c r="G2210" s="1474" t="s">
        <v>3448</v>
      </c>
      <c r="H2210" s="2275"/>
      <c r="I2210" s="2275"/>
      <c r="J2210" s="1476">
        <f t="shared" si="223"/>
        <v>0</v>
      </c>
      <c r="K2210" s="2275"/>
      <c r="L2210" s="2275"/>
      <c r="M2210" s="1476">
        <f t="shared" si="224"/>
        <v>0</v>
      </c>
      <c r="N2210" s="2276"/>
      <c r="S2210" s="364"/>
      <c r="Z2210" s="609" t="s">
        <v>925</v>
      </c>
      <c r="AA2210" s="609" t="s">
        <v>3451</v>
      </c>
    </row>
    <row r="2211" spans="1:29" ht="18">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8">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8">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8">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18">
      <c r="A2215" s="2714"/>
      <c r="B2215" s="371">
        <v>109</v>
      </c>
      <c r="C2215" s="371" t="s">
        <v>2791</v>
      </c>
      <c r="D2215" s="2716">
        <f t="shared" si="222"/>
        <v>1</v>
      </c>
      <c r="E2215" s="2721">
        <v>-1</v>
      </c>
      <c r="F2215" s="294"/>
      <c r="G2215" s="2692" t="s">
        <v>6401</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6573</v>
      </c>
    </row>
    <row r="2216" spans="1:29" ht="18.75" thickBot="1">
      <c r="A2216" s="2714"/>
      <c r="B2216" s="371"/>
      <c r="C2216" s="371"/>
      <c r="D2216" s="2716">
        <f t="shared" si="222"/>
        <v>1</v>
      </c>
      <c r="E2216" s="2721" t="s">
        <v>2751</v>
      </c>
      <c r="F2216" s="294"/>
      <c r="G2216" s="374" t="s">
        <v>2752</v>
      </c>
      <c r="H2216" s="1478">
        <f t="shared" ref="H2216:M2216" si="225">SUMPRODUCT($E2206:$E2215,H2206:H2215)</f>
        <v>0</v>
      </c>
      <c r="I2216" s="1478">
        <f t="shared" si="225"/>
        <v>0</v>
      </c>
      <c r="J2216" s="1478">
        <f t="shared" si="225"/>
        <v>0</v>
      </c>
      <c r="K2216" s="1478">
        <f t="shared" si="225"/>
        <v>0</v>
      </c>
      <c r="L2216" s="1478">
        <f t="shared" si="225"/>
        <v>0</v>
      </c>
      <c r="M2216" s="1478">
        <f t="shared" si="225"/>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6573</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5919</v>
      </c>
      <c r="B2218" s="371">
        <v>2.1</v>
      </c>
      <c r="C2218" s="371"/>
      <c r="D2218" s="2716" t="str">
        <f>VLOOKUP($A2218,Sheet_NoteList,2,0)</f>
        <v>长期应收款按坏账计提方法分类披露（三阶段模型）</v>
      </c>
      <c r="E2218" s="2716" t="s">
        <v>6531</v>
      </c>
      <c r="F2218" s="293"/>
      <c r="G2218" s="372" t="str">
        <f>"("&amp;B2218&amp;")"&amp;D2218</f>
        <v>(2.1)长期应收款按坏账计提方法分类披露（三阶段模型）</v>
      </c>
      <c r="H2218" s="1517" t="str">
        <f>$A2218</f>
        <v>1531t</v>
      </c>
      <c r="I2218" s="343" t="s">
        <v>5950</v>
      </c>
      <c r="J2218" s="301" t="s">
        <v>5951</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5952</v>
      </c>
      <c r="H2219" s="1617" t="s">
        <v>6178</v>
      </c>
      <c r="I2219" s="371" t="s">
        <v>6217</v>
      </c>
      <c r="J2219" s="371" t="s">
        <v>6218</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6029</v>
      </c>
      <c r="H2220" s="2232" t="s">
        <v>2861</v>
      </c>
      <c r="I2220" s="2232" t="s">
        <v>2862</v>
      </c>
      <c r="J2220" s="2293" t="s">
        <v>2863</v>
      </c>
      <c r="K2220" s="355" t="s">
        <v>5282</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6">IF(OR(G2221="*",G2221="",G2221=0),0,COUNTIF($G$2221:$G$2225,G2221))</f>
        <v>1</v>
      </c>
      <c r="E2221" s="2721">
        <v>1</v>
      </c>
      <c r="F2221" s="293"/>
      <c r="G2221" s="1474" t="s">
        <v>6030</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6"/>
        <v>1</v>
      </c>
      <c r="E2222" s="2721">
        <v>1</v>
      </c>
      <c r="F2222" s="293"/>
      <c r="G2222" s="1474" t="s">
        <v>6031</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6"/>
        <v>1</v>
      </c>
      <c r="E2223" s="2721">
        <v>1</v>
      </c>
      <c r="F2223" s="293"/>
      <c r="G2223" s="1474" t="s">
        <v>6032</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8.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5495</v>
      </c>
      <c r="M2226" s="354"/>
      <c r="N2226" s="317"/>
      <c r="O2226" s="317"/>
      <c r="P2226" s="301"/>
      <c r="S2226" s="364"/>
      <c r="Z2226" s="609" t="s">
        <v>925</v>
      </c>
      <c r="AA2226" s="609" t="s">
        <v>3451</v>
      </c>
    </row>
    <row r="2227" spans="1:27" ht="18.75" thickTop="1">
      <c r="A2227" s="2714"/>
      <c r="B2227" s="371"/>
      <c r="C2227" s="371" t="s">
        <v>2565</v>
      </c>
      <c r="D2227" s="2716"/>
      <c r="F2227" s="293"/>
      <c r="G2227" s="1549" t="s">
        <v>5367</v>
      </c>
      <c r="H2227" s="1550" t="str">
        <f>G2202</f>
        <v>(1)长期应收款情况</v>
      </c>
      <c r="I2227" s="1552"/>
      <c r="J2227" s="1552"/>
      <c r="K2227" s="1553" t="s">
        <v>5368</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5919</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6556</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5282</v>
      </c>
      <c r="N2236" s="434"/>
      <c r="O2236" s="434"/>
      <c r="P2236" s="435"/>
      <c r="Q2236" s="442"/>
      <c r="R2236" s="443"/>
      <c r="S2236" s="364"/>
      <c r="Z2236" s="609" t="s">
        <v>925</v>
      </c>
      <c r="AA2236" s="609" t="s">
        <v>3451</v>
      </c>
    </row>
    <row r="2237" spans="1:27" ht="18">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6573</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6557</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6033</v>
      </c>
      <c r="H2249" s="2291" t="s">
        <v>2861</v>
      </c>
      <c r="I2249" s="2291" t="s">
        <v>3148</v>
      </c>
      <c r="J2249" s="2291" t="s">
        <v>2862</v>
      </c>
      <c r="K2249" s="2311" t="s">
        <v>2863</v>
      </c>
      <c r="L2249" s="2312" t="s">
        <v>3147</v>
      </c>
      <c r="M2249" s="355" t="s">
        <v>5282</v>
      </c>
      <c r="N2249" s="434"/>
      <c r="O2249" s="434"/>
      <c r="P2249" s="435"/>
      <c r="Q2249" s="442"/>
      <c r="R2249" s="443"/>
      <c r="S2249" s="364"/>
      <c r="Z2249" s="609" t="s">
        <v>925</v>
      </c>
      <c r="AA2249" s="609" t="s">
        <v>3451</v>
      </c>
    </row>
    <row r="2250" spans="1:29" ht="18">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6573</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6558</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6009</v>
      </c>
      <c r="H2262" s="2291" t="s">
        <v>2861</v>
      </c>
      <c r="I2262" s="2291" t="s">
        <v>3148</v>
      </c>
      <c r="J2262" s="2291" t="s">
        <v>2862</v>
      </c>
      <c r="K2262" s="2311" t="s">
        <v>2863</v>
      </c>
      <c r="L2262" s="2312" t="s">
        <v>3147</v>
      </c>
      <c r="M2262" s="355" t="s">
        <v>5282</v>
      </c>
      <c r="N2262" s="434"/>
      <c r="O2262" s="434"/>
      <c r="P2262" s="435"/>
      <c r="Q2262" s="442"/>
      <c r="R2262" s="443"/>
      <c r="S2262" s="364"/>
      <c r="Z2262" s="609" t="s">
        <v>925</v>
      </c>
      <c r="AA2262" s="609" t="s">
        <v>3451</v>
      </c>
    </row>
    <row r="2263" spans="1:29" ht="18">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6573</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293" t="s">
        <v>5135</v>
      </c>
      <c r="H2276" s="3252" t="str">
        <f>$W$3&amp;"账面余额"</f>
        <v>2018年12月31日账面余额</v>
      </c>
      <c r="I2276" s="3253"/>
      <c r="J2276" s="3252" t="str">
        <f>$W$3&amp;"坏账准备"</f>
        <v>2018年12月31日坏账准备</v>
      </c>
      <c r="K2276" s="3253"/>
      <c r="L2276" s="3209" t="str">
        <f>$W$3&amp;"账面价值"</f>
        <v>2018年12月31日账面价值</v>
      </c>
      <c r="M2276" s="355" t="s">
        <v>5282</v>
      </c>
      <c r="N2276" s="428"/>
      <c r="O2276" s="428"/>
      <c r="P2276" s="433"/>
      <c r="Q2276" s="442"/>
      <c r="R2276" s="443"/>
      <c r="S2276" s="364"/>
      <c r="Z2276" s="609" t="s">
        <v>925</v>
      </c>
      <c r="AA2276" s="609" t="s">
        <v>3451</v>
      </c>
    </row>
    <row r="2277" spans="1:29" ht="18">
      <c r="A2277" s="2714"/>
      <c r="B2277" s="371"/>
      <c r="C2277" s="371"/>
      <c r="D2277" s="2716"/>
      <c r="E2277" s="586" t="s">
        <v>2749</v>
      </c>
      <c r="F2277" s="414"/>
      <c r="G2277" s="3294"/>
      <c r="H2277" s="2294" t="s">
        <v>2887</v>
      </c>
      <c r="I2277" s="2294" t="s">
        <v>2888</v>
      </c>
      <c r="J2277" s="2294" t="s">
        <v>2887</v>
      </c>
      <c r="K2277" s="2239" t="s">
        <v>2889</v>
      </c>
      <c r="L2277" s="3210"/>
      <c r="M2277" s="435"/>
      <c r="N2277" s="434"/>
      <c r="O2277" s="434"/>
      <c r="P2277" s="435"/>
      <c r="Q2277" s="442"/>
      <c r="R2277" s="443"/>
      <c r="S2277" s="364"/>
      <c r="Z2277" s="609" t="s">
        <v>925</v>
      </c>
      <c r="AA2277" s="609" t="s">
        <v>3451</v>
      </c>
    </row>
    <row r="2278" spans="1:29" ht="24">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6573</v>
      </c>
    </row>
    <row r="2279" spans="1:29" ht="24">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4">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8">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8">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8">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8.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5367</v>
      </c>
      <c r="H2286" s="1550" t="str">
        <f>G2202</f>
        <v>(1)长期应收款情况</v>
      </c>
      <c r="I2286" s="1551"/>
      <c r="J2286" s="1552"/>
      <c r="K2286" s="1551"/>
      <c r="L2286" s="1552"/>
      <c r="M2286" s="1553" t="s">
        <v>5368</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6559</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293" t="s">
        <v>6140</v>
      </c>
      <c r="H2296" s="3239" t="str">
        <f>$V$3</f>
        <v>2018年12月31日</v>
      </c>
      <c r="I2296" s="3240"/>
      <c r="J2296" s="3240"/>
      <c r="K2296" s="3240"/>
      <c r="L2296" s="355" t="s">
        <v>5282</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294"/>
      <c r="H2297" s="2559" t="s">
        <v>6139</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5367</v>
      </c>
      <c r="H2308" s="1550" t="str">
        <f>G2273</f>
        <v>(2.2)长期应收款按坏账计提方法分类披露（已发生损失模型）</v>
      </c>
      <c r="I2308" s="1552"/>
      <c r="J2308" s="1551"/>
      <c r="K2308" s="1551"/>
      <c r="L2308" s="1553" t="s">
        <v>5368</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6560</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333" t="s">
        <v>5948</v>
      </c>
      <c r="H2318" s="3212" t="str">
        <f>$V$3</f>
        <v>2018年12月31日</v>
      </c>
      <c r="I2318" s="3213"/>
      <c r="J2318" s="3213"/>
      <c r="K2318" s="355" t="s">
        <v>5949</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334"/>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293" t="s">
        <v>6009</v>
      </c>
      <c r="H2333" s="3234" t="str">
        <f>$V$3</f>
        <v>2018年12月31日</v>
      </c>
      <c r="I2333" s="3236" t="s">
        <v>6010</v>
      </c>
      <c r="J2333" s="3234" t="str">
        <f>$X$3</f>
        <v>2019年1月1日</v>
      </c>
      <c r="K2333" s="3238" t="s">
        <v>2919</v>
      </c>
      <c r="L2333" s="3238"/>
      <c r="M2333" s="3238"/>
      <c r="N2333" s="3217" t="str">
        <f>$V$2</f>
        <v>2019年12月31日</v>
      </c>
      <c r="O2333" s="355" t="s">
        <v>5282</v>
      </c>
      <c r="P2333" s="433"/>
      <c r="Q2333" s="442"/>
      <c r="R2333" s="443"/>
      <c r="S2333" s="364"/>
      <c r="Z2333" s="609" t="s">
        <v>925</v>
      </c>
      <c r="AA2333" s="609" t="s">
        <v>3451</v>
      </c>
    </row>
    <row r="2334" spans="1:27" ht="18">
      <c r="A2334" s="2714"/>
      <c r="B2334" s="371"/>
      <c r="C2334" s="371"/>
      <c r="D2334" s="2716"/>
      <c r="E2334" s="586" t="s">
        <v>2749</v>
      </c>
      <c r="F2334" s="414"/>
      <c r="G2334" s="3294"/>
      <c r="H2334" s="3235"/>
      <c r="I2334" s="3237"/>
      <c r="J2334" s="3235"/>
      <c r="K2334" s="2239" t="s">
        <v>6027</v>
      </c>
      <c r="L2334" s="2239" t="s">
        <v>6012</v>
      </c>
      <c r="M2334" s="2294" t="s">
        <v>6034</v>
      </c>
      <c r="N2334" s="3218"/>
      <c r="O2334" s="434"/>
      <c r="P2334" s="435"/>
      <c r="Q2334" s="442"/>
      <c r="R2334" s="443"/>
      <c r="S2334" s="364"/>
      <c r="Z2334" s="609" t="s">
        <v>925</v>
      </c>
      <c r="AA2334" s="609" t="s">
        <v>3451</v>
      </c>
    </row>
    <row r="2335" spans="1:27" ht="18">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8">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8">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8">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8.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5367</v>
      </c>
      <c r="H2342" s="1550" t="str">
        <f>G2202</f>
        <v>(1)长期应收款情况</v>
      </c>
      <c r="I2342" s="1551"/>
      <c r="J2342" s="1551"/>
      <c r="K2342" s="1551"/>
      <c r="L2342" s="1551"/>
      <c r="M2342" s="1551"/>
      <c r="N2342" s="1552"/>
      <c r="O2342" s="1553" t="s">
        <v>5368</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253" t="s">
        <v>2862</v>
      </c>
      <c r="H2352" s="2291" t="s">
        <v>3348</v>
      </c>
      <c r="I2352" s="2291" t="s">
        <v>3349</v>
      </c>
      <c r="J2352" s="2291" t="s">
        <v>3350</v>
      </c>
      <c r="K2352" s="3244" t="s">
        <v>3351</v>
      </c>
      <c r="L2352" s="355" t="s">
        <v>5282</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292"/>
      <c r="H2353" s="2294" t="s">
        <v>3352</v>
      </c>
      <c r="I2353" s="2294" t="s">
        <v>3353</v>
      </c>
      <c r="J2353" s="2294" t="s">
        <v>3354</v>
      </c>
      <c r="K2353" s="3245"/>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4"/>
        <v>1</v>
      </c>
      <c r="E2356" s="2721">
        <v>1</v>
      </c>
      <c r="F2356" s="293"/>
      <c r="G2356" s="578" t="s">
        <v>5202</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4"/>
        <v>1</v>
      </c>
      <c r="E2357" s="2721">
        <v>1</v>
      </c>
      <c r="F2357" s="293"/>
      <c r="G2357" s="578" t="s">
        <v>5203</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4"/>
        <v>1</v>
      </c>
      <c r="E2358" s="2721">
        <v>1</v>
      </c>
      <c r="F2358" s="293"/>
      <c r="G2358" s="578" t="s">
        <v>5204</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4"/>
        <v>1</v>
      </c>
      <c r="E2359" s="2721">
        <v>1</v>
      </c>
      <c r="F2359" s="293"/>
      <c r="G2359" s="578" t="s">
        <v>5205</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4"/>
        <v>1</v>
      </c>
      <c r="E2360" s="2721">
        <v>1</v>
      </c>
      <c r="F2360" s="293"/>
      <c r="G2360" s="1486" t="s">
        <v>5206</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4"/>
      <c r="B2361" s="371">
        <v>108</v>
      </c>
      <c r="C2361" s="371"/>
      <c r="D2361" s="2716">
        <f t="shared" si="244"/>
        <v>1</v>
      </c>
      <c r="E2361" s="2721">
        <v>-1</v>
      </c>
      <c r="F2361" s="293"/>
      <c r="G2361" s="1486" t="s">
        <v>5207</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4"/>
      <c r="B2364" s="371">
        <v>111</v>
      </c>
      <c r="C2364" s="371"/>
      <c r="D2364" s="2716">
        <f t="shared" si="244"/>
        <v>1</v>
      </c>
      <c r="E2364" s="2721">
        <v>1</v>
      </c>
      <c r="F2364" s="293"/>
      <c r="G2364" s="1486" t="s">
        <v>5208</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6531</v>
      </c>
      <c r="F2368" s="294"/>
      <c r="G2368" s="372" t="str">
        <f>"("&amp;B2368&amp;")"&amp;D2368</f>
        <v>(4)因金融资产转移而终止确认的长期应收款</v>
      </c>
      <c r="H2368" s="1517" t="str">
        <f>$A2368</f>
        <v>1531c</v>
      </c>
      <c r="I2368" s="343" t="s">
        <v>5974</v>
      </c>
      <c r="J2368" s="301" t="s">
        <v>5973</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5282</v>
      </c>
      <c r="L2370" s="291"/>
      <c r="M2370" s="291"/>
      <c r="S2370" s="364"/>
      <c r="Z2370" s="609" t="s">
        <v>925</v>
      </c>
      <c r="AA2370" s="609" t="s">
        <v>3451</v>
      </c>
    </row>
    <row r="2371" spans="1:27" ht="18">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5282</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6531</v>
      </c>
      <c r="F2391" s="294"/>
      <c r="G2391" s="307" t="str">
        <f>"("&amp;B2391&amp;")"&amp;D2391</f>
        <v>(6)长期应收款逾期情况分析</v>
      </c>
      <c r="H2391" s="1517" t="str">
        <f>$A2391</f>
        <v>1531b</v>
      </c>
      <c r="I2391" s="343" t="s">
        <v>5965</v>
      </c>
      <c r="J2391" s="301" t="s">
        <v>5963</v>
      </c>
      <c r="K2391" s="2210">
        <f>H2399</f>
        <v>0</v>
      </c>
      <c r="L2391" s="345" t="str">
        <f>IF($I2391="适用",IF(ROUND(K$2201-K2391,2)=0,"F/S",ROUND(K$2201-K2391,2)),"#N/A")</f>
        <v>F/S</v>
      </c>
      <c r="M2391" s="301" t="s">
        <v>5964</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6176</v>
      </c>
      <c r="K2393" s="291"/>
      <c r="L2393" s="291"/>
      <c r="M2393" s="291"/>
      <c r="S2393" s="364"/>
      <c r="Z2393" s="609" t="s">
        <v>925</v>
      </c>
      <c r="AA2393" s="609" t="s">
        <v>3451</v>
      </c>
    </row>
    <row r="2394" spans="1:27" ht="18">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6531</v>
      </c>
      <c r="F2401" s="294"/>
      <c r="G2401" s="372" t="str">
        <f>"("&amp;B2401&amp;")"&amp;D2401</f>
        <v>(7)外币长期应收款</v>
      </c>
      <c r="H2401" s="1517" t="str">
        <f>$A2401</f>
        <v>1531f</v>
      </c>
      <c r="I2401" s="343" t="s">
        <v>5582</v>
      </c>
      <c r="J2401" s="301" t="s">
        <v>5583</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5604</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5364</v>
      </c>
      <c r="L2404" s="1522" t="s">
        <v>5365</v>
      </c>
      <c r="M2404" s="291"/>
      <c r="N2404" s="291"/>
      <c r="O2404" s="291"/>
      <c r="P2404" s="291"/>
      <c r="Q2404" s="367"/>
      <c r="R2404" s="367"/>
      <c r="S2404" s="364"/>
      <c r="Z2404" s="609" t="s">
        <v>925</v>
      </c>
      <c r="AA2404" s="609" t="s">
        <v>3451</v>
      </c>
    </row>
    <row r="2405" spans="1:27" ht="18">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50000000</v>
      </c>
      <c r="L2411" s="342"/>
      <c r="M2411" s="306" t="s">
        <v>2741</v>
      </c>
      <c r="N2411" s="341">
        <f>VLOOKUP($A2411,Sheet_Trialbal,10,0)</f>
        <v>162000000</v>
      </c>
      <c r="O2411" s="306"/>
      <c r="P2411" s="301"/>
      <c r="S2411" s="364"/>
      <c r="Z2411" s="609" t="s">
        <v>983</v>
      </c>
      <c r="AA2411" s="609" t="s">
        <v>5662</v>
      </c>
    </row>
    <row r="2412" spans="1:27" ht="18">
      <c r="A2412" s="2714" t="s">
        <v>5621</v>
      </c>
      <c r="B2412" s="371">
        <v>1</v>
      </c>
      <c r="C2412" s="371"/>
      <c r="D2412" s="2716" t="str">
        <f>VLOOKUP($A2412,Sheet_NoteList,2,0)</f>
        <v>长期股权投资情况</v>
      </c>
      <c r="E2412" s="2716" t="s">
        <v>6530</v>
      </c>
      <c r="F2412" s="293"/>
      <c r="G2412" s="372" t="str">
        <f>"("&amp;B2412&amp;")"&amp;D2412</f>
        <v>(1)长期股权投资情况</v>
      </c>
      <c r="H2412" s="1517" t="str">
        <f>$A2412</f>
        <v>1511c</v>
      </c>
      <c r="I2412" s="343" t="s">
        <v>5863</v>
      </c>
      <c r="J2412" s="301" t="s">
        <v>5864</v>
      </c>
      <c r="K2412" s="2210">
        <f>H2422</f>
        <v>0</v>
      </c>
      <c r="L2412" s="349">
        <f>IF($I2412="适用",IF(ROUND(K$2411-K2412,2)=0,"F/S",ROUND(K$2411-K2412,2)),"#N/A")</f>
        <v>50000000</v>
      </c>
      <c r="M2412" s="301" t="s">
        <v>5865</v>
      </c>
      <c r="N2412" s="2210">
        <f>I2422</f>
        <v>0</v>
      </c>
      <c r="O2412" s="349">
        <f>IF($I2412="适用",IF(ROUND(N$2411-N2412,2)=0,"F/S",ROUND(N$2411-N2412,2)),"#N/A")</f>
        <v>162000000</v>
      </c>
      <c r="P2412" s="301"/>
      <c r="S2412" s="364"/>
      <c r="Z2412" s="609" t="s">
        <v>983</v>
      </c>
      <c r="AA2412" s="609" t="s">
        <v>5662</v>
      </c>
    </row>
    <row r="2413" spans="1:27" ht="0.75" customHeight="1">
      <c r="A2413" s="2714"/>
      <c r="B2413" s="371"/>
      <c r="C2413" s="371"/>
      <c r="D2413" s="2716"/>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4"/>
      <c r="B2415" s="371"/>
      <c r="C2415" s="371"/>
      <c r="D2415" s="2716"/>
      <c r="E2415" s="2716" t="s">
        <v>2749</v>
      </c>
      <c r="F2415" s="293"/>
      <c r="G2415" s="3371" t="s">
        <v>47</v>
      </c>
      <c r="H2415" s="3368" t="str">
        <f>$V$2</f>
        <v>2019年12月31日</v>
      </c>
      <c r="I2415" s="3369"/>
      <c r="J2415" s="3370"/>
      <c r="K2415" s="3368" t="str">
        <f>$V$3</f>
        <v>2018年12月31日</v>
      </c>
      <c r="L2415" s="3369"/>
      <c r="M2415" s="3369"/>
      <c r="N2415" s="355" t="s">
        <v>6176</v>
      </c>
      <c r="O2415" s="349"/>
      <c r="P2415" s="301"/>
      <c r="S2415" s="364"/>
      <c r="Z2415" s="609" t="s">
        <v>983</v>
      </c>
      <c r="AA2415" s="609" t="s">
        <v>5662</v>
      </c>
    </row>
    <row r="2416" spans="1:27" ht="18">
      <c r="A2416" s="2714"/>
      <c r="B2416" s="371"/>
      <c r="C2416" s="371"/>
      <c r="D2416" s="2716"/>
      <c r="E2416" s="2716" t="s">
        <v>2749</v>
      </c>
      <c r="F2416" s="293"/>
      <c r="G2416" s="3372"/>
      <c r="H2416" s="2189" t="s">
        <v>2861</v>
      </c>
      <c r="I2416" s="2189" t="s">
        <v>3097</v>
      </c>
      <c r="J2416" s="2189" t="s">
        <v>2863</v>
      </c>
      <c r="K2416" s="2189" t="s">
        <v>2861</v>
      </c>
      <c r="L2416" s="2189" t="s">
        <v>3097</v>
      </c>
      <c r="M2416" s="1524" t="s">
        <v>2863</v>
      </c>
      <c r="N2416" s="391"/>
      <c r="O2416" s="349"/>
      <c r="P2416" s="301"/>
      <c r="S2416" s="364"/>
      <c r="Z2416" s="609" t="s">
        <v>983</v>
      </c>
      <c r="AA2416" s="609" t="s">
        <v>5662</v>
      </c>
    </row>
    <row r="2417" spans="1:29" ht="18">
      <c r="A2417" s="2714"/>
      <c r="B2417" s="371">
        <v>101</v>
      </c>
      <c r="C2417" s="371"/>
      <c r="D2417" s="2716">
        <f t="shared" ref="D2417:D2422" si="250">IF(OR(G2417="*",G2417="",G2417=0),0,COUNTIF($G$2417:$G$2422,G2417))</f>
        <v>1</v>
      </c>
      <c r="E2417" s="2721">
        <v>1</v>
      </c>
      <c r="F2417" s="293"/>
      <c r="G2417" s="1474" t="s">
        <v>5867</v>
      </c>
      <c r="H2417" s="1577"/>
      <c r="I2417" s="422"/>
      <c r="J2417" s="1476">
        <f>H2417-I2417</f>
        <v>0</v>
      </c>
      <c r="K2417" s="320"/>
      <c r="L2417" s="309"/>
      <c r="M2417" s="1477">
        <f>K2417-L2417</f>
        <v>0</v>
      </c>
      <c r="N2417" s="391"/>
      <c r="O2417" s="349"/>
      <c r="P2417" s="301"/>
      <c r="S2417" s="364"/>
      <c r="Z2417" s="609" t="s">
        <v>983</v>
      </c>
      <c r="AA2417" s="609" t="s">
        <v>5662</v>
      </c>
    </row>
    <row r="2418" spans="1:29" ht="18">
      <c r="A2418" s="2714"/>
      <c r="B2418" s="371">
        <v>102</v>
      </c>
      <c r="C2418" s="371" t="s">
        <v>2791</v>
      </c>
      <c r="D2418" s="2716">
        <f t="shared" si="250"/>
        <v>1</v>
      </c>
      <c r="E2418" s="2721">
        <v>1</v>
      </c>
      <c r="F2418" s="293"/>
      <c r="G2418" s="2631" t="s">
        <v>6356</v>
      </c>
      <c r="H2418" s="1577"/>
      <c r="I2418" s="422"/>
      <c r="J2418" s="1476">
        <f>H2418-I2418</f>
        <v>0</v>
      </c>
      <c r="K2418" s="320"/>
      <c r="L2418" s="309"/>
      <c r="M2418" s="1477">
        <f>K2418-L2418</f>
        <v>0</v>
      </c>
      <c r="N2418" s="391"/>
      <c r="O2418" s="349"/>
      <c r="P2418" s="301"/>
      <c r="S2418" s="364"/>
      <c r="Z2418" s="609" t="s">
        <v>983</v>
      </c>
      <c r="AA2418" s="609" t="s">
        <v>5662</v>
      </c>
    </row>
    <row r="2419" spans="1:29" ht="18">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5662</v>
      </c>
    </row>
    <row r="2420" spans="1:29" ht="18">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5662</v>
      </c>
    </row>
    <row r="2421" spans="1:29" ht="18">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5662</v>
      </c>
    </row>
    <row r="2422" spans="1:29" ht="18.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6573</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5662</v>
      </c>
    </row>
    <row r="2424" spans="1:29" ht="18.75" thickTop="1">
      <c r="A2424" s="2714"/>
      <c r="B2424" s="371"/>
      <c r="C2424" s="371" t="s">
        <v>2565</v>
      </c>
      <c r="D2424" s="2716"/>
      <c r="F2424" s="293"/>
      <c r="G2424" s="1549" t="s">
        <v>5367</v>
      </c>
      <c r="H2424" s="1550" t="str">
        <f>G2463</f>
        <v>(3)长期股权投资——对联营、合营企业投资明细</v>
      </c>
      <c r="I2424" s="1552"/>
      <c r="J2424" s="1552"/>
      <c r="K2424" s="1551"/>
      <c r="L2424" s="1551"/>
      <c r="M2424" s="1552"/>
      <c r="N2424" s="1553" t="s">
        <v>5368</v>
      </c>
      <c r="O2424" s="349"/>
      <c r="P2424" s="301"/>
      <c r="S2424" s="364"/>
      <c r="Z2424" s="609" t="s">
        <v>983</v>
      </c>
      <c r="AA2424" s="609" t="s">
        <v>5662</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5662</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5621</v>
      </c>
      <c r="O2426" s="349"/>
      <c r="P2426" s="301"/>
      <c r="S2426" s="364"/>
      <c r="Z2426" s="609" t="s">
        <v>983</v>
      </c>
      <c r="AA2426" s="609" t="s">
        <v>5662</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5662</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5662</v>
      </c>
    </row>
    <row r="2431" spans="1:29" ht="24">
      <c r="A2431" s="2714" t="s">
        <v>5622</v>
      </c>
      <c r="B2431" s="371">
        <v>2</v>
      </c>
      <c r="C2431" s="371"/>
      <c r="D2431" s="2716" t="str">
        <f>VLOOKUP($A2431,Sheet_NoteList,2,0)</f>
        <v>长期股权投资——对子公司投资明细</v>
      </c>
      <c r="E2431" s="2716" t="s">
        <v>6533</v>
      </c>
      <c r="F2431" s="293"/>
      <c r="G2431" s="372" t="str">
        <f>"("&amp;B2431&amp;")"&amp;D2431</f>
        <v>(2)长期股权投资——对子公司投资明细</v>
      </c>
      <c r="H2431" s="1517" t="str">
        <f>$A2431</f>
        <v>1511d</v>
      </c>
      <c r="I2431" s="343" t="s">
        <v>5124</v>
      </c>
      <c r="J2431" s="301" t="s">
        <v>5122</v>
      </c>
      <c r="K2431" s="2210">
        <f>H2454</f>
        <v>0</v>
      </c>
      <c r="L2431" s="349">
        <f>IF($I2431="适用",IF(ROUND(K$2411-K2431,2)=0,"F/S",ROUND(K$2411-K2431,2)),"#N/A")</f>
        <v>50000000</v>
      </c>
      <c r="M2431" s="301" t="s">
        <v>5123</v>
      </c>
      <c r="N2431" s="2210">
        <f>I2454</f>
        <v>0</v>
      </c>
      <c r="O2431" s="349">
        <f>IF($I2431="适用",IF(ROUND(N$2411-N2431,2)=0,"F/S",ROUND(N$2411-N2431,2)),"#N/A")</f>
        <v>162000000</v>
      </c>
      <c r="P2431" s="301"/>
      <c r="S2431" s="364"/>
      <c r="Z2431" s="609" t="s">
        <v>983</v>
      </c>
      <c r="AA2431" s="609" t="s">
        <v>5662</v>
      </c>
    </row>
    <row r="2432" spans="1:29" ht="0.75" customHeight="1" thickBot="1">
      <c r="A2432" s="2714"/>
      <c r="B2432" s="371"/>
      <c r="C2432" s="371"/>
      <c r="D2432" s="2716"/>
      <c r="F2432" s="371"/>
      <c r="G2432" s="405" t="s">
        <v>5868</v>
      </c>
      <c r="H2432" s="1617"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4"/>
      <c r="B2433" s="371"/>
      <c r="C2433" s="371"/>
      <c r="D2433" s="2716"/>
      <c r="E2433" s="2716" t="s">
        <v>2749</v>
      </c>
      <c r="F2433" s="293"/>
      <c r="G2433" s="1635" t="s">
        <v>3376</v>
      </c>
      <c r="H2433" s="2191" t="str">
        <f>$V$3</f>
        <v>2018年12月31日</v>
      </c>
      <c r="I2433" s="2191" t="s">
        <v>5871</v>
      </c>
      <c r="J2433" s="2191" t="s">
        <v>5872</v>
      </c>
      <c r="K2433" s="2191" t="str">
        <f>$V$2</f>
        <v>2019年12月31日</v>
      </c>
      <c r="L2433" s="2191" t="s">
        <v>5869</v>
      </c>
      <c r="M2433" s="2192" t="s">
        <v>5870</v>
      </c>
      <c r="N2433" s="355" t="s">
        <v>6176</v>
      </c>
      <c r="O2433" s="349"/>
      <c r="P2433" s="301"/>
      <c r="S2433" s="364"/>
      <c r="Z2433" s="609" t="s">
        <v>983</v>
      </c>
      <c r="AA2433" s="609" t="s">
        <v>5662</v>
      </c>
    </row>
    <row r="2434" spans="1:27" ht="18">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5662</v>
      </c>
    </row>
    <row r="2435" spans="1:27" ht="18">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5662</v>
      </c>
    </row>
    <row r="2436" spans="1:27" ht="18">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5662</v>
      </c>
    </row>
    <row r="2437" spans="1:27" ht="18">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5662</v>
      </c>
    </row>
    <row r="2438" spans="1:27" ht="18">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5662</v>
      </c>
    </row>
    <row r="2439" spans="1:27" ht="18">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5662</v>
      </c>
    </row>
    <row r="2440" spans="1:27" ht="18">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5662</v>
      </c>
    </row>
    <row r="2441" spans="1:27" ht="18">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5662</v>
      </c>
    </row>
    <row r="2442" spans="1:27" ht="18">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5662</v>
      </c>
    </row>
    <row r="2443" spans="1:27" ht="18">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5662</v>
      </c>
    </row>
    <row r="2444" spans="1:27" ht="18">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5662</v>
      </c>
    </row>
    <row r="2445" spans="1:27" ht="18">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5662</v>
      </c>
    </row>
    <row r="2446" spans="1:27" ht="18">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5662</v>
      </c>
    </row>
    <row r="2447" spans="1:27" ht="18">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5662</v>
      </c>
    </row>
    <row r="2448" spans="1:27" ht="18">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5662</v>
      </c>
    </row>
    <row r="2449" spans="1:34" ht="18">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5662</v>
      </c>
    </row>
    <row r="2450" spans="1:34" ht="18">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5662</v>
      </c>
    </row>
    <row r="2451" spans="1:34" ht="18">
      <c r="A2451" s="2714"/>
      <c r="B2451" s="371">
        <v>118</v>
      </c>
      <c r="C2451" s="371" t="s">
        <v>6532</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5662</v>
      </c>
    </row>
    <row r="2452" spans="1:34" ht="18">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5662</v>
      </c>
    </row>
    <row r="2453" spans="1:34" ht="18">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5662</v>
      </c>
    </row>
    <row r="2454" spans="1:34" ht="18.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5662</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5662</v>
      </c>
    </row>
    <row r="2456" spans="1:34" ht="18.75" thickTop="1">
      <c r="A2456" s="2714"/>
      <c r="B2456" s="371"/>
      <c r="C2456" s="371" t="s">
        <v>2565</v>
      </c>
      <c r="D2456" s="2716"/>
      <c r="F2456" s="293"/>
      <c r="G2456" s="1549" t="s">
        <v>5367</v>
      </c>
      <c r="H2456" s="1550" t="str">
        <f>G2412</f>
        <v>(1)长期股权投资情况</v>
      </c>
      <c r="I2456" s="1551"/>
      <c r="J2456" s="1551"/>
      <c r="K2456" s="1552"/>
      <c r="L2456" s="1551"/>
      <c r="M2456" s="1552"/>
      <c r="N2456" s="1553" t="s">
        <v>5368</v>
      </c>
      <c r="O2456" s="349"/>
      <c r="P2456" s="301"/>
      <c r="S2456" s="364"/>
      <c r="Z2456" s="609" t="s">
        <v>983</v>
      </c>
      <c r="AA2456" s="609" t="s">
        <v>5662</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5662</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5622</v>
      </c>
      <c r="O2458" s="349"/>
      <c r="P2458" s="301"/>
      <c r="S2458" s="364"/>
      <c r="Z2458" s="609" t="s">
        <v>983</v>
      </c>
      <c r="AA2458" s="609" t="s">
        <v>5662</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5662</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5662</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4"/>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286" t="s">
        <v>3376</v>
      </c>
      <c r="H2466" s="3207" t="str">
        <f>$V$3</f>
        <v>2018年12月31日</v>
      </c>
      <c r="I2466" s="3254" t="s">
        <v>3510</v>
      </c>
      <c r="J2466" s="3254"/>
      <c r="K2466" s="3254"/>
      <c r="L2466" s="3254"/>
      <c r="M2466" s="3254"/>
      <c r="N2466" s="3254"/>
      <c r="O2466" s="3254"/>
      <c r="P2466" s="3254"/>
      <c r="Q2466" s="3207" t="str">
        <f>$V$2</f>
        <v>2019年12月31日</v>
      </c>
      <c r="R2466" s="3215"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4"/>
      <c r="B2467" s="371"/>
      <c r="C2467" s="371"/>
      <c r="D2467" s="371"/>
      <c r="E2467" s="586" t="s">
        <v>2749</v>
      </c>
      <c r="F2467" s="363"/>
      <c r="G2467" s="3287"/>
      <c r="H2467" s="3208"/>
      <c r="I2467" s="2283" t="s">
        <v>3512</v>
      </c>
      <c r="J2467" s="2283" t="s">
        <v>3513</v>
      </c>
      <c r="K2467" s="2283" t="s">
        <v>3514</v>
      </c>
      <c r="L2467" s="2283" t="s">
        <v>3515</v>
      </c>
      <c r="M2467" s="2283" t="s">
        <v>3516</v>
      </c>
      <c r="N2467" s="2283" t="s">
        <v>3517</v>
      </c>
      <c r="O2467" s="2283" t="s">
        <v>3518</v>
      </c>
      <c r="P2467" s="2283" t="s">
        <v>3519</v>
      </c>
      <c r="Q2467" s="3208"/>
      <c r="R2467" s="3216"/>
      <c r="S2467" s="367"/>
      <c r="Z2467" s="609" t="s">
        <v>983</v>
      </c>
      <c r="AA2467" s="609" t="s">
        <v>5662</v>
      </c>
    </row>
    <row r="2468" spans="1:34" ht="18">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5662</v>
      </c>
    </row>
    <row r="2469" spans="1:34" ht="18">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5662</v>
      </c>
    </row>
    <row r="2470" spans="1:34" ht="18">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5662</v>
      </c>
    </row>
    <row r="2471" spans="1:34" ht="18">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5662</v>
      </c>
    </row>
    <row r="2472" spans="1:34" ht="18">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5662</v>
      </c>
    </row>
    <row r="2473" spans="1:34" ht="18">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5662</v>
      </c>
    </row>
    <row r="2474" spans="1:34" ht="18">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5662</v>
      </c>
    </row>
    <row r="2475" spans="1:34" ht="18">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5662</v>
      </c>
    </row>
    <row r="2476" spans="1:34" ht="18">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5662</v>
      </c>
    </row>
    <row r="2477" spans="1:34" ht="18">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5662</v>
      </c>
    </row>
    <row r="2478" spans="1:34" ht="18">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5662</v>
      </c>
    </row>
    <row r="2479" spans="1:34" ht="18">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5662</v>
      </c>
    </row>
    <row r="2480" spans="1:34" ht="18">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5662</v>
      </c>
    </row>
    <row r="2481" spans="1:29" ht="18">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5662</v>
      </c>
    </row>
    <row r="2482" spans="1:29" ht="18">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5662</v>
      </c>
    </row>
    <row r="2483" spans="1:29" ht="18">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5662</v>
      </c>
    </row>
    <row r="2484" spans="1:29" ht="18">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5662</v>
      </c>
    </row>
    <row r="2485" spans="1:29" ht="18">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5662</v>
      </c>
    </row>
    <row r="2486" spans="1:29" ht="18">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5662</v>
      </c>
    </row>
    <row r="2487" spans="1:29" ht="18">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5662</v>
      </c>
    </row>
    <row r="2488" spans="1:29" ht="18">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5662</v>
      </c>
    </row>
    <row r="2489" spans="1:29" ht="18">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5662</v>
      </c>
    </row>
    <row r="2490" spans="1:29" ht="18">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5662</v>
      </c>
    </row>
    <row r="2491" spans="1:29" ht="18">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5662</v>
      </c>
    </row>
    <row r="2492" spans="1:29" ht="18">
      <c r="A2492" s="2714"/>
      <c r="B2492" s="371">
        <v>103</v>
      </c>
      <c r="C2492" s="371" t="s">
        <v>6561</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5662</v>
      </c>
    </row>
    <row r="2493" spans="1:29" ht="18">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5662</v>
      </c>
    </row>
    <row r="2494" spans="1:29" ht="18.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HYPERLINK("#'"&amp;$G$1&amp;"'!"&amp;ADDRESS(ROW(Notes!L4884),COLUMN(Notes!L4884),4),"* 请勿删除此行！点击往勾稽单元格，F5+Enter返回")</f>
        <v>* 请勿删除此行！点击往勾稽单元格，F5+Enter返回</v>
      </c>
      <c r="Z2494" s="609" t="s">
        <v>983</v>
      </c>
      <c r="AA2494" s="609" t="s">
        <v>5662</v>
      </c>
      <c r="AC2494" s="369" t="s">
        <v>6573</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5488</v>
      </c>
      <c r="H2499" s="2306" t="str">
        <f>$V$2</f>
        <v>2019年12月31日</v>
      </c>
      <c r="I2499" s="2307" t="str">
        <f>$V$3</f>
        <v>2018年12月31日</v>
      </c>
      <c r="J2499" s="355" t="s">
        <v>5284</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5487</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5284</v>
      </c>
      <c r="O2508" s="434"/>
      <c r="P2508" s="435"/>
      <c r="Q2508" s="442"/>
      <c r="R2508" s="443"/>
      <c r="S2508" s="364"/>
      <c r="Z2508" s="609" t="s">
        <v>995</v>
      </c>
      <c r="AA2508" s="609" t="s">
        <v>3525</v>
      </c>
    </row>
    <row r="2509" spans="1:27" ht="18">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5488</v>
      </c>
      <c r="H2522" s="2306" t="str">
        <f>$V$2</f>
        <v>2019年12月31日</v>
      </c>
      <c r="I2522" s="2307" t="str">
        <f>$V$3</f>
        <v>2018年12月31日</v>
      </c>
      <c r="J2522" s="355" t="s">
        <v>5285</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3"/>
        <v>1</v>
      </c>
      <c r="E2528" s="2721" t="s">
        <v>2751</v>
      </c>
      <c r="F2528" s="293"/>
      <c r="G2528" s="2234" t="s">
        <v>5487</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5617</v>
      </c>
      <c r="B2530" s="371">
        <v>2</v>
      </c>
      <c r="C2530" s="371"/>
      <c r="D2530" s="2716" t="str">
        <f>VLOOKUP($A2530,Sheet_NoteList,2,0)</f>
        <v>其他非流动金融资产——权益工具投资明细</v>
      </c>
      <c r="E2530" s="2716" t="s">
        <v>6531</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5625</v>
      </c>
      <c r="H2531" s="1617"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5630</v>
      </c>
      <c r="M2532" s="1644" t="s">
        <v>3379</v>
      </c>
      <c r="N2532" s="355" t="s">
        <v>6176</v>
      </c>
      <c r="O2532" s="349"/>
      <c r="P2532" s="301"/>
      <c r="S2532" s="364"/>
      <c r="Z2532" s="609" t="s">
        <v>1008</v>
      </c>
      <c r="AA2532" s="609" t="s">
        <v>3537</v>
      </c>
    </row>
    <row r="2533" spans="1:27" ht="18">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5618</v>
      </c>
      <c r="B2543" s="371">
        <v>3</v>
      </c>
      <c r="C2543" s="371"/>
      <c r="D2543" s="2716" t="str">
        <f>VLOOKUP($A2543,Sheet_NoteList,2,0)</f>
        <v>其他非流动金融资产——债务工具投资明细</v>
      </c>
      <c r="E2543" s="2716" t="s">
        <v>6531</v>
      </c>
      <c r="F2543" s="293"/>
      <c r="G2543" s="372" t="str">
        <f>"("&amp;B2543&amp;")"&amp;D2543</f>
        <v>(3)其他非流动金融资产——债务工具投资明细</v>
      </c>
      <c r="H2543" s="1517" t="str">
        <f>$A2543</f>
        <v>1539c</v>
      </c>
      <c r="I2543" s="343" t="s">
        <v>5626</v>
      </c>
      <c r="J2543" s="301" t="s">
        <v>5627</v>
      </c>
      <c r="K2543" s="2210">
        <f>H2554</f>
        <v>0</v>
      </c>
      <c r="L2543" s="349"/>
      <c r="M2543" s="301" t="s">
        <v>5628</v>
      </c>
      <c r="N2543" s="2210">
        <f>I2554</f>
        <v>0</v>
      </c>
      <c r="O2543" s="349"/>
      <c r="P2543" s="301"/>
      <c r="S2543" s="364"/>
      <c r="Z2543" s="609" t="s">
        <v>1008</v>
      </c>
      <c r="AA2543" s="609" t="s">
        <v>3537</v>
      </c>
    </row>
    <row r="2544" spans="1:27" ht="0.75" customHeight="1" thickBot="1">
      <c r="A2544" s="2714"/>
      <c r="B2544" s="371"/>
      <c r="C2544" s="371"/>
      <c r="D2544" s="2716"/>
      <c r="F2544" s="371"/>
      <c r="G2544" s="405" t="s">
        <v>5629</v>
      </c>
      <c r="H2544" s="1617" t="s">
        <v>6337</v>
      </c>
      <c r="I2544" s="371" t="s">
        <v>6338</v>
      </c>
      <c r="J2544" s="371" t="s">
        <v>6339</v>
      </c>
      <c r="K2544" s="547" t="s">
        <v>6340</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6176</v>
      </c>
      <c r="M2545" s="301"/>
      <c r="N2545" s="391"/>
      <c r="O2545" s="349"/>
      <c r="P2545" s="301"/>
      <c r="S2545" s="364"/>
      <c r="Z2545" s="609" t="s">
        <v>1008</v>
      </c>
      <c r="AA2545" s="609" t="s">
        <v>3537</v>
      </c>
    </row>
    <row r="2546" spans="1:27" ht="18">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5286</v>
      </c>
      <c r="M2559" s="435"/>
      <c r="N2559" s="434"/>
      <c r="O2559" s="434"/>
      <c r="P2559" s="435"/>
      <c r="Q2559" s="442"/>
      <c r="R2559" s="443"/>
      <c r="S2559" s="364"/>
      <c r="Z2559" s="609" t="s">
        <v>1053</v>
      </c>
      <c r="AA2559" s="609" t="s">
        <v>3540</v>
      </c>
    </row>
    <row r="2560" spans="1:27" ht="18">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6"/>
        <v>1</v>
      </c>
      <c r="E2564" s="2721">
        <v>1</v>
      </c>
      <c r="F2564" s="293"/>
      <c r="G2564" s="308" t="s">
        <v>5214</v>
      </c>
      <c r="H2564" s="309"/>
      <c r="I2564" s="309"/>
      <c r="J2564" s="309"/>
      <c r="K2564" s="1477">
        <f t="shared" si="267"/>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6"/>
        <v>1</v>
      </c>
      <c r="E2565" s="2721">
        <v>1</v>
      </c>
      <c r="F2565" s="293"/>
      <c r="G2565" s="308" t="s">
        <v>5215</v>
      </c>
      <c r="H2565" s="309"/>
      <c r="I2565" s="309"/>
      <c r="J2565" s="309"/>
      <c r="K2565" s="1477">
        <f t="shared" si="267"/>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6"/>
        <v>1</v>
      </c>
      <c r="E2566" s="2721">
        <v>1</v>
      </c>
      <c r="F2566" s="293"/>
      <c r="G2566" s="308" t="s">
        <v>5216</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6"/>
        <v>1</v>
      </c>
      <c r="E2567" s="2721">
        <v>1</v>
      </c>
      <c r="F2567" s="293"/>
      <c r="G2567" s="308" t="s">
        <v>5217</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HYPERLINK("#'"&amp;$G$1&amp;"'!"&amp;ADDRESS(ROW(Notes!L4885),COLUMN(Notes!L4885),4),"*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6"/>
        <v>0</v>
      </c>
      <c r="E2597" s="2721" t="s">
        <v>6555</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5488</v>
      </c>
      <c r="H2601" s="1468" t="s">
        <v>3542</v>
      </c>
      <c r="I2601" s="1469" t="s">
        <v>3543</v>
      </c>
      <c r="J2601" s="1469" t="s">
        <v>344</v>
      </c>
      <c r="K2601" s="1470" t="s">
        <v>3351</v>
      </c>
      <c r="L2601" s="355" t="s">
        <v>5286</v>
      </c>
      <c r="M2601" s="478"/>
      <c r="N2601" s="478"/>
      <c r="O2601" s="568"/>
      <c r="P2601" s="479"/>
      <c r="Q2601" s="472"/>
      <c r="R2601" s="524"/>
      <c r="S2601" s="364"/>
      <c r="Z2601" s="609" t="s">
        <v>1053</v>
      </c>
      <c r="AA2601" s="609" t="s">
        <v>3540</v>
      </c>
    </row>
    <row r="2602" spans="1:27" ht="18">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5"/>
        <v>1</v>
      </c>
      <c r="E2605" s="2721">
        <v>0</v>
      </c>
      <c r="F2605" s="294"/>
      <c r="G2605" s="308" t="s">
        <v>5214</v>
      </c>
      <c r="H2605" s="320"/>
      <c r="I2605" s="320"/>
      <c r="J2605" s="320"/>
      <c r="K2605" s="1477">
        <f t="shared" si="277"/>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5"/>
        <v>1</v>
      </c>
      <c r="E2606" s="2721">
        <v>0</v>
      </c>
      <c r="F2606" s="294"/>
      <c r="G2606" s="308" t="s">
        <v>5215</v>
      </c>
      <c r="H2606" s="320"/>
      <c r="I2606" s="320"/>
      <c r="J2606" s="320"/>
      <c r="K2606" s="1477">
        <f t="shared" si="277"/>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5"/>
        <v>1</v>
      </c>
      <c r="E2607" s="2721">
        <v>0</v>
      </c>
      <c r="F2607" s="294"/>
      <c r="G2607" s="308" t="s">
        <v>5216</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5"/>
        <v>1</v>
      </c>
      <c r="E2608" s="2721">
        <v>0</v>
      </c>
      <c r="F2608" s="294"/>
      <c r="G2608" s="308" t="s">
        <v>5217</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5"/>
        <v>1</v>
      </c>
      <c r="E2609" s="2721">
        <v>0</v>
      </c>
      <c r="F2609" s="294"/>
      <c r="G2609" s="308" t="s">
        <v>5218</v>
      </c>
      <c r="H2609" s="320"/>
      <c r="I2609" s="320"/>
      <c r="J2609" s="320"/>
      <c r="K2609" s="1477">
        <f t="shared" si="277"/>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4"/>
      <c r="L2618" s="315"/>
      <c r="M2618" s="301"/>
      <c r="N2618" s="3084"/>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5488</v>
      </c>
      <c r="H2620" s="506" t="s">
        <v>2863</v>
      </c>
      <c r="I2620" s="1510" t="s">
        <v>5287</v>
      </c>
      <c r="J2620" s="355" t="s">
        <v>5286</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6531</v>
      </c>
      <c r="F2628" s="294"/>
      <c r="G2628" s="307" t="str">
        <f>"("&amp;B2628&amp;")"&amp;D2628</f>
        <v>(4)投资性房地产抵押情况</v>
      </c>
      <c r="H2628" s="1517" t="str">
        <f>$A2628</f>
        <v>1521s</v>
      </c>
      <c r="I2628" s="343" t="s">
        <v>5965</v>
      </c>
      <c r="J2628" s="301"/>
      <c r="K2628" s="3084"/>
      <c r="L2628" s="315"/>
      <c r="M2628" s="301"/>
      <c r="N2628" s="3084"/>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6176</v>
      </c>
      <c r="S2630" s="364"/>
      <c r="Z2630" s="609" t="s">
        <v>1053</v>
      </c>
      <c r="AA2630" s="609" t="s">
        <v>3540</v>
      </c>
    </row>
    <row r="2631" spans="1:27" ht="18">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11018.74</v>
      </c>
      <c r="L2638" s="342"/>
      <c r="M2638" s="306" t="s">
        <v>2741</v>
      </c>
      <c r="N2638" s="341">
        <f>VLOOKUP($A2638,Sheet_Trialbal,10,0)</f>
        <v>16540.18</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11018.74</v>
      </c>
      <c r="L2639" s="349" t="str">
        <f>IF($I2639="适用",IF(ROUND(K$2638-K2639,2)=0,"F/S",ROUND(K$2638-K2639,2)),"#N/A")</f>
        <v>F/S</v>
      </c>
      <c r="M2639" s="301" t="s">
        <v>2745</v>
      </c>
      <c r="N2639" s="2210">
        <f>I2645</f>
        <v>16540.18</v>
      </c>
      <c r="O2639" s="349" t="str">
        <f>IF($I2639="适用",IF(ROUND(N$2638-N2639,2)=0,"F/S",ROUND(N$2638-N2639,2)),"#N/A")</f>
        <v>F/S</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5288</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4">IF(OR(G2642="*",G2642="",G2642=0),0,COUNTIF($G$2642:$G$2645,G2642))</f>
        <v>1</v>
      </c>
      <c r="E2642" s="2721">
        <v>1</v>
      </c>
      <c r="F2642" s="371"/>
      <c r="G2642" s="308" t="s">
        <v>337</v>
      </c>
      <c r="H2642" s="309">
        <v>11018.74</v>
      </c>
      <c r="I2642" s="394">
        <v>16540.18</v>
      </c>
      <c r="J2642" s="301"/>
      <c r="K2642" s="2252">
        <f ca="1">HYPERLINK("#'"&amp;$G$1&amp;"'!"&amp;ADDRESS(ROW(Notes!P2696),COLUMN(Notes!P2696),4),P2696-H2642)</f>
        <v>0</v>
      </c>
      <c r="L2642" s="2252">
        <f ca="1">HYPERLINK("#'"&amp;$G$1&amp;"'!"&amp;ADDRESS(ROW(Notes!H2696),COLUMN(Notes!H2696),4),H2696-I2642)</f>
        <v>0</v>
      </c>
      <c r="M2642" s="2632" t="str">
        <f>H2648</f>
        <v>1601k</v>
      </c>
      <c r="N2642" s="391"/>
      <c r="O2642" s="349"/>
      <c r="P2642" s="301"/>
      <c r="S2642" s="364"/>
      <c r="Z2642" s="609" t="s">
        <v>1100</v>
      </c>
      <c r="AA2642" s="609"/>
    </row>
    <row r="2643" spans="1:27" ht="18">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4"/>
        <v>1</v>
      </c>
      <c r="E2645" s="2721" t="s">
        <v>2751</v>
      </c>
      <c r="F2645" s="371"/>
      <c r="G2645" s="374" t="s">
        <v>2752</v>
      </c>
      <c r="H2645" s="1478">
        <f>SUMPRODUCT($E2641:$E2644,H2641:H2644)</f>
        <v>11018.74</v>
      </c>
      <c r="I2645" s="1479">
        <f>SUMPRODUCT($E2641:$E2644,I2641:I2644)</f>
        <v>16540.18</v>
      </c>
      <c r="J2645" s="301"/>
      <c r="K2645" s="1531">
        <f t="shared" ref="K2645:M2645" ca="1" si="285">SUM(K2642:K2644)</f>
        <v>0</v>
      </c>
      <c r="L2645" s="1531">
        <f t="shared" ca="1" si="285"/>
        <v>0</v>
      </c>
      <c r="M2645" s="1531">
        <f t="shared" si="285"/>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5495</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11018.74</v>
      </c>
      <c r="L2647" s="342"/>
      <c r="M2647" s="306" t="s">
        <v>2741</v>
      </c>
      <c r="N2647" s="341">
        <f>VLOOKUP($A2647,Sheet_Trialbal,10,0)</f>
        <v>16540.18</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11018.74</v>
      </c>
      <c r="L2648" s="349" t="str">
        <f>IF($I2648="适用",IF(ROUND(K$2647-K2648,2)=0,"F/S",ROUND(K$2647-K2648,2)),"#N/A")</f>
        <v>F/S</v>
      </c>
      <c r="M2648" s="301" t="s">
        <v>2745</v>
      </c>
      <c r="N2648" s="2210">
        <f>H2696</f>
        <v>16540.18</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5263</v>
      </c>
      <c r="K2650" s="547" t="s">
        <v>3572</v>
      </c>
      <c r="L2650" s="547" t="s">
        <v>5160</v>
      </c>
      <c r="M2650" s="371" t="s">
        <v>5264</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327" t="s">
        <v>47</v>
      </c>
      <c r="H2651" s="3211" t="s">
        <v>3574</v>
      </c>
      <c r="I2651" s="3211" t="s">
        <v>3558</v>
      </c>
      <c r="J2651" s="3211"/>
      <c r="K2651" s="3211"/>
      <c r="L2651" s="3211"/>
      <c r="M2651" s="3211"/>
      <c r="N2651" s="3211" t="s">
        <v>3560</v>
      </c>
      <c r="O2651" s="3211"/>
      <c r="P2651" s="3259" t="s">
        <v>3575</v>
      </c>
      <c r="Q2651" s="355" t="s">
        <v>5288</v>
      </c>
      <c r="R2651" s="443"/>
      <c r="S2651" s="364"/>
      <c r="Z2651" s="609" t="s">
        <v>1107</v>
      </c>
      <c r="AA2651" s="609" t="s">
        <v>3598</v>
      </c>
    </row>
    <row r="2652" spans="1:27" ht="24">
      <c r="A2652" s="2714"/>
      <c r="B2652" s="371"/>
      <c r="C2652" s="371"/>
      <c r="D2652" s="2716"/>
      <c r="E2652" s="2716" t="s">
        <v>2749</v>
      </c>
      <c r="F2652" s="293"/>
      <c r="G2652" s="3328"/>
      <c r="H2652" s="3214"/>
      <c r="I2652" s="2286" t="s">
        <v>3576</v>
      </c>
      <c r="J2652" s="2286" t="s">
        <v>3603</v>
      </c>
      <c r="K2652" s="2279" t="s">
        <v>3547</v>
      </c>
      <c r="L2652" s="2344" t="s">
        <v>5158</v>
      </c>
      <c r="M2652" s="2344" t="s">
        <v>5157</v>
      </c>
      <c r="N2652" s="2286" t="s">
        <v>3605</v>
      </c>
      <c r="O2652" s="2286" t="s">
        <v>3609</v>
      </c>
      <c r="P2652" s="3229"/>
      <c r="Q2652" s="442"/>
      <c r="R2652" s="443"/>
      <c r="S2652" s="364"/>
      <c r="Z2652" s="609" t="s">
        <v>1107</v>
      </c>
      <c r="AA2652" s="609" t="s">
        <v>3598</v>
      </c>
    </row>
    <row r="2653" spans="1:27" ht="18">
      <c r="A2653" s="2714"/>
      <c r="B2653" s="371">
        <v>101</v>
      </c>
      <c r="C2653" s="371"/>
      <c r="D2653" s="2716">
        <f t="shared" ref="D2653:D2696" si="286">IF(OR(G2653="*",G2653="",G2653=0),0,COUNTIF($G$2653:$G$2696,G2653))</f>
        <v>1</v>
      </c>
      <c r="E2653" s="2721" t="s">
        <v>6534</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8">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8">
      <c r="A2656" s="2714"/>
      <c r="B2656" s="371">
        <v>101.003</v>
      </c>
      <c r="C2656" s="371"/>
      <c r="D2656" s="2716">
        <f t="shared" si="286"/>
        <v>1</v>
      </c>
      <c r="E2656" s="2721" t="s">
        <v>5159</v>
      </c>
      <c r="F2656" s="294"/>
      <c r="G2656" s="308" t="s">
        <v>3602</v>
      </c>
      <c r="H2656" s="309"/>
      <c r="I2656" s="309"/>
      <c r="J2656" s="309"/>
      <c r="K2656" s="309"/>
      <c r="L2656" s="1465">
        <v>0</v>
      </c>
      <c r="M2656" s="309"/>
      <c r="N2656" s="320"/>
      <c r="O2656" s="309"/>
      <c r="P2656" s="1477">
        <f t="shared" si="287"/>
        <v>0</v>
      </c>
      <c r="Q2656" s="442"/>
      <c r="R2656" s="443"/>
      <c r="S2656" s="364"/>
      <c r="Z2656" s="609" t="s">
        <v>1107</v>
      </c>
      <c r="AA2656" s="609" t="s">
        <v>3598</v>
      </c>
    </row>
    <row r="2657" spans="1:27" ht="18">
      <c r="A2657" s="2714"/>
      <c r="B2657" s="371">
        <v>101.004</v>
      </c>
      <c r="C2657" s="371" t="s">
        <v>2791</v>
      </c>
      <c r="D2657" s="2716">
        <f t="shared" si="286"/>
        <v>1</v>
      </c>
      <c r="E2657" s="2721" t="s">
        <v>5159</v>
      </c>
      <c r="F2657" s="294"/>
      <c r="G2657" s="1506" t="s">
        <v>6898</v>
      </c>
      <c r="H2657" s="309">
        <v>29060</v>
      </c>
      <c r="I2657" s="309"/>
      <c r="J2657" s="309"/>
      <c r="K2657" s="309"/>
      <c r="L2657" s="1465">
        <v>0</v>
      </c>
      <c r="M2657" s="309"/>
      <c r="N2657" s="320"/>
      <c r="O2657" s="309"/>
      <c r="P2657" s="1477">
        <f t="shared" si="287"/>
        <v>29060</v>
      </c>
      <c r="Q2657" s="442"/>
      <c r="R2657" s="443"/>
      <c r="S2657" s="364"/>
      <c r="Z2657" s="609" t="s">
        <v>1107</v>
      </c>
      <c r="AA2657" s="609" t="s">
        <v>3598</v>
      </c>
    </row>
    <row r="2658" spans="1:27" ht="18">
      <c r="A2658" s="2714"/>
      <c r="B2658" s="371">
        <v>101.005</v>
      </c>
      <c r="C2658" s="371" t="s">
        <v>2791</v>
      </c>
      <c r="D2658" s="2716">
        <f t="shared" si="286"/>
        <v>1</v>
      </c>
      <c r="E2658" s="2721" t="s">
        <v>5159</v>
      </c>
      <c r="F2658" s="294"/>
      <c r="G2658" s="1506" t="s">
        <v>5187</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8">
      <c r="A2659" s="2714"/>
      <c r="B2659" s="371">
        <v>101.006</v>
      </c>
      <c r="C2659" s="371" t="s">
        <v>2791</v>
      </c>
      <c r="D2659" s="2716">
        <f t="shared" si="286"/>
        <v>1</v>
      </c>
      <c r="E2659" s="2721" t="s">
        <v>5159</v>
      </c>
      <c r="F2659" s="294"/>
      <c r="G2659" s="1506" t="s">
        <v>5188</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8">
      <c r="A2660" s="2714"/>
      <c r="B2660" s="371">
        <v>101.00700000000001</v>
      </c>
      <c r="C2660" s="371" t="s">
        <v>2791</v>
      </c>
      <c r="D2660" s="2716">
        <f t="shared" si="286"/>
        <v>1</v>
      </c>
      <c r="E2660" s="2721" t="s">
        <v>5159</v>
      </c>
      <c r="F2660" s="294"/>
      <c r="G2660" s="1506" t="s">
        <v>5189</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8">
      <c r="A2661" s="2714"/>
      <c r="B2661" s="371">
        <v>101.008</v>
      </c>
      <c r="C2661" s="371" t="s">
        <v>6532</v>
      </c>
      <c r="D2661" s="2716">
        <f t="shared" si="286"/>
        <v>1</v>
      </c>
      <c r="E2661" s="2721" t="s">
        <v>5159</v>
      </c>
      <c r="F2661" s="294"/>
      <c r="G2661" s="1506" t="s">
        <v>5190</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8">
      <c r="A2662" s="2714"/>
      <c r="B2662" s="371">
        <v>101.009</v>
      </c>
      <c r="C2662" s="371" t="s">
        <v>2791</v>
      </c>
      <c r="D2662" s="2716">
        <f t="shared" si="286"/>
        <v>1</v>
      </c>
      <c r="E2662" s="2721" t="s">
        <v>5159</v>
      </c>
      <c r="F2662" s="294"/>
      <c r="G2662" s="1506" t="s">
        <v>5191</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8">
      <c r="A2663" s="2714"/>
      <c r="B2663" s="371">
        <v>101.999</v>
      </c>
      <c r="C2663" s="371" t="s">
        <v>6562</v>
      </c>
      <c r="D2663" s="2716">
        <f t="shared" si="286"/>
        <v>1</v>
      </c>
      <c r="E2663" s="2721">
        <v>1</v>
      </c>
      <c r="F2663" s="294"/>
      <c r="G2663" s="632" t="s">
        <v>5161</v>
      </c>
      <c r="H2663" s="1476">
        <f t="shared" ref="H2663:P2663" si="288">SUMIF($E$2652:$E$2695,$G2663,H$2652:H$2695)</f>
        <v>29060</v>
      </c>
      <c r="I2663" s="1476">
        <f t="shared" si="288"/>
        <v>0</v>
      </c>
      <c r="J2663" s="1476">
        <f t="shared" si="288"/>
        <v>0</v>
      </c>
      <c r="K2663" s="1476">
        <f t="shared" si="288"/>
        <v>0</v>
      </c>
      <c r="L2663" s="1483">
        <f t="shared" si="288"/>
        <v>0</v>
      </c>
      <c r="M2663" s="1476">
        <f t="shared" si="288"/>
        <v>0</v>
      </c>
      <c r="N2663" s="1476">
        <f t="shared" si="288"/>
        <v>0</v>
      </c>
      <c r="O2663" s="1476">
        <f t="shared" si="288"/>
        <v>0</v>
      </c>
      <c r="P2663" s="1477">
        <f t="shared" si="288"/>
        <v>29060</v>
      </c>
      <c r="Q2663" s="442"/>
      <c r="R2663" s="443"/>
      <c r="S2663" s="364"/>
      <c r="Z2663" s="609" t="s">
        <v>1107</v>
      </c>
      <c r="AA2663" s="609" t="s">
        <v>3598</v>
      </c>
    </row>
    <row r="2664" spans="1:27" ht="18">
      <c r="A2664" s="2714"/>
      <c r="B2664" s="371">
        <v>102</v>
      </c>
      <c r="C2664" s="371"/>
      <c r="D2664" s="2716">
        <f t="shared" si="286"/>
        <v>1</v>
      </c>
      <c r="E2664" s="2721" t="s">
        <v>6563</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8">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8">
      <c r="A2667" s="2714"/>
      <c r="B2667" s="371">
        <v>102.003</v>
      </c>
      <c r="C2667" s="371"/>
      <c r="D2667" s="2716">
        <f t="shared" si="286"/>
        <v>1</v>
      </c>
      <c r="E2667" s="2721" t="s">
        <v>486</v>
      </c>
      <c r="F2667" s="294"/>
      <c r="G2667" s="1506" t="str">
        <f>G$2656&amp;" "</f>
        <v xml:space="preserve">运输工具 </v>
      </c>
      <c r="H2667" s="309"/>
      <c r="I2667" s="1465">
        <v>0</v>
      </c>
      <c r="J2667" s="1465">
        <v>0</v>
      </c>
      <c r="K2667" s="1465">
        <v>0</v>
      </c>
      <c r="L2667" s="309"/>
      <c r="M2667" s="309"/>
      <c r="N2667" s="320"/>
      <c r="O2667" s="309"/>
      <c r="P2667" s="1477">
        <f t="shared" si="289"/>
        <v>0</v>
      </c>
      <c r="Q2667" s="442"/>
      <c r="R2667" s="443"/>
      <c r="S2667" s="364"/>
      <c r="Z2667" s="609" t="s">
        <v>1107</v>
      </c>
      <c r="AA2667" s="609" t="s">
        <v>3598</v>
      </c>
    </row>
    <row r="2668" spans="1:27" ht="18">
      <c r="A2668" s="2714"/>
      <c r="B2668" s="371">
        <v>102.004</v>
      </c>
      <c r="C2668" s="371" t="s">
        <v>2791</v>
      </c>
      <c r="D2668" s="2716">
        <f t="shared" si="286"/>
        <v>1</v>
      </c>
      <c r="E2668" s="2721" t="s">
        <v>486</v>
      </c>
      <c r="F2668" s="294"/>
      <c r="G2668" s="1506" t="str">
        <f>G$2657&amp;" "</f>
        <v xml:space="preserve">电子设备及其他 </v>
      </c>
      <c r="H2668" s="309">
        <v>12519.82</v>
      </c>
      <c r="I2668" s="1465">
        <v>0</v>
      </c>
      <c r="J2668" s="1465">
        <v>0</v>
      </c>
      <c r="K2668" s="1465">
        <v>0</v>
      </c>
      <c r="L2668" s="309">
        <v>5521.44</v>
      </c>
      <c r="M2668" s="309"/>
      <c r="N2668" s="320"/>
      <c r="O2668" s="309"/>
      <c r="P2668" s="1477">
        <f t="shared" si="289"/>
        <v>18041.259999999998</v>
      </c>
      <c r="Q2668" s="442"/>
      <c r="R2668" s="443"/>
      <c r="S2668" s="364"/>
      <c r="Z2668" s="609" t="s">
        <v>1107</v>
      </c>
      <c r="AA2668" s="609" t="s">
        <v>3598</v>
      </c>
    </row>
    <row r="2669" spans="1:27" ht="18">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8">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8">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8">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8">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8">
      <c r="A2674" s="2714"/>
      <c r="B2674" s="371">
        <v>102.999</v>
      </c>
      <c r="C2674" s="371" t="s">
        <v>2793</v>
      </c>
      <c r="D2674" s="2716">
        <f t="shared" si="286"/>
        <v>1</v>
      </c>
      <c r="E2674" s="2721">
        <v>-1</v>
      </c>
      <c r="F2674" s="294"/>
      <c r="G2674" s="632" t="s">
        <v>5162</v>
      </c>
      <c r="H2674" s="1476">
        <f t="shared" ref="H2674:P2674" si="290">SUMIF($E$2652:$E$2695,$G2674,H$2652:H$2695)</f>
        <v>12519.82</v>
      </c>
      <c r="I2674" s="1483">
        <f t="shared" si="290"/>
        <v>0</v>
      </c>
      <c r="J2674" s="1483">
        <f t="shared" si="290"/>
        <v>0</v>
      </c>
      <c r="K2674" s="1483">
        <f t="shared" si="290"/>
        <v>0</v>
      </c>
      <c r="L2674" s="1476">
        <f t="shared" si="290"/>
        <v>5521.44</v>
      </c>
      <c r="M2674" s="1476">
        <f t="shared" si="290"/>
        <v>0</v>
      </c>
      <c r="N2674" s="1476">
        <f t="shared" si="290"/>
        <v>0</v>
      </c>
      <c r="O2674" s="1476">
        <f t="shared" si="290"/>
        <v>0</v>
      </c>
      <c r="P2674" s="1477">
        <f t="shared" si="290"/>
        <v>18041.259999999998</v>
      </c>
      <c r="Q2674" s="442"/>
      <c r="R2674" s="443"/>
      <c r="S2674" s="364"/>
      <c r="Z2674" s="609" t="s">
        <v>1107</v>
      </c>
      <c r="AA2674" s="609" t="s">
        <v>3598</v>
      </c>
    </row>
    <row r="2675" spans="1:29" ht="18">
      <c r="A2675" s="2714"/>
      <c r="B2675" s="371">
        <v>103</v>
      </c>
      <c r="C2675" s="371"/>
      <c r="D2675" s="2716">
        <f t="shared" si="286"/>
        <v>1</v>
      </c>
      <c r="E2675" s="2721" t="s">
        <v>6564</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8">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8">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8">
      <c r="A2679" s="2714"/>
      <c r="B2679" s="371">
        <v>103.004</v>
      </c>
      <c r="C2679" s="371" t="s">
        <v>2791</v>
      </c>
      <c r="D2679" s="2716">
        <f t="shared" si="286"/>
        <v>1</v>
      </c>
      <c r="E2679" s="2721" t="s">
        <v>3097</v>
      </c>
      <c r="F2679" s="294"/>
      <c r="G2679" s="1506" t="str">
        <f>G$2657&amp;"  "</f>
        <v xml:space="preserve">电子设备及其他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8">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8">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8">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8">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8">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8">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HYPERLINK("#'"&amp;$G$1&amp;"'!"&amp;ADDRESS(ROW(Notes!L4886),COLUMN(Notes!L4886),4),"*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6"/>
        <v>1</v>
      </c>
      <c r="E2686" s="2721" t="s">
        <v>6564</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8">
      <c r="A2689" s="2714"/>
      <c r="B2689" s="371">
        <v>107</v>
      </c>
      <c r="C2689" s="371"/>
      <c r="D2689" s="2716">
        <f t="shared" si="286"/>
        <v>1</v>
      </c>
      <c r="E2689" s="2721">
        <v>0</v>
      </c>
      <c r="F2689" s="294"/>
      <c r="G2689" s="1506" t="str">
        <f>G$2656&amp;"   "</f>
        <v xml:space="preserve">运输工具   </v>
      </c>
      <c r="H2689" s="1476">
        <f t="shared" si="293"/>
        <v>0</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8">
      <c r="A2690" s="2714"/>
      <c r="B2690" s="371">
        <v>108</v>
      </c>
      <c r="C2690" s="371" t="s">
        <v>2791</v>
      </c>
      <c r="D2690" s="2716">
        <f t="shared" si="286"/>
        <v>1</v>
      </c>
      <c r="E2690" s="2721">
        <v>0</v>
      </c>
      <c r="F2690" s="294"/>
      <c r="G2690" s="1506" t="str">
        <f>G$2657&amp;"   "</f>
        <v xml:space="preserve">电子设备及其他   </v>
      </c>
      <c r="H2690" s="1476">
        <f t="shared" si="293"/>
        <v>16540.18</v>
      </c>
      <c r="I2690" s="1465">
        <v>0</v>
      </c>
      <c r="J2690" s="1465">
        <v>0</v>
      </c>
      <c r="K2690" s="1465">
        <v>0</v>
      </c>
      <c r="L2690" s="1465">
        <v>0</v>
      </c>
      <c r="M2690" s="1465">
        <v>0</v>
      </c>
      <c r="N2690" s="1465">
        <v>0</v>
      </c>
      <c r="O2690" s="1465">
        <v>0</v>
      </c>
      <c r="P2690" s="1477">
        <f t="shared" si="294"/>
        <v>11018.74</v>
      </c>
      <c r="Q2690" s="442"/>
      <c r="R2690" s="443"/>
      <c r="S2690" s="364"/>
      <c r="Z2690" s="609" t="s">
        <v>1107</v>
      </c>
      <c r="AA2690" s="609" t="s">
        <v>3598</v>
      </c>
    </row>
    <row r="2691" spans="1:29" ht="18">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8">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8">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8">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8">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8.75" thickBot="1">
      <c r="A2696" s="2714"/>
      <c r="B2696" s="371"/>
      <c r="C2696" s="371"/>
      <c r="D2696" s="2716">
        <f t="shared" si="286"/>
        <v>1</v>
      </c>
      <c r="E2696" s="2721" t="s">
        <v>2751</v>
      </c>
      <c r="F2696" s="293"/>
      <c r="G2696" s="2345" t="s">
        <v>2863</v>
      </c>
      <c r="H2696" s="1478">
        <f t="shared" ref="H2696:P2696" si="295">SUMPRODUCT($E2652:$E2695,H2652:H2695)</f>
        <v>16540.18</v>
      </c>
      <c r="I2696" s="1478">
        <f t="shared" si="295"/>
        <v>0</v>
      </c>
      <c r="J2696" s="1478">
        <f t="shared" si="295"/>
        <v>0</v>
      </c>
      <c r="K2696" s="1478">
        <f t="shared" si="295"/>
        <v>0</v>
      </c>
      <c r="L2696" s="1478">
        <f t="shared" si="295"/>
        <v>-5521.44</v>
      </c>
      <c r="M2696" s="1478">
        <f t="shared" si="295"/>
        <v>0</v>
      </c>
      <c r="N2696" s="1478">
        <f t="shared" si="295"/>
        <v>0</v>
      </c>
      <c r="O2696" s="1478">
        <f t="shared" si="295"/>
        <v>0</v>
      </c>
      <c r="P2696" s="1479">
        <f t="shared" si="295"/>
        <v>11018.74</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6573</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5369</v>
      </c>
      <c r="H2698" s="1550"/>
      <c r="I2698" s="1551"/>
      <c r="J2698" s="1551"/>
      <c r="K2698" s="1551"/>
      <c r="L2698" s="1551"/>
      <c r="M2698" s="1551"/>
      <c r="N2698" s="1551"/>
      <c r="O2698" s="1551"/>
      <c r="P2698" s="1552"/>
      <c r="Q2698" s="1553" t="s">
        <v>5368</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16540.18</v>
      </c>
      <c r="I2699" s="351"/>
      <c r="J2699" s="351"/>
      <c r="K2699" s="351"/>
      <c r="L2699" s="351"/>
      <c r="M2699" s="351"/>
      <c r="N2699" s="1543"/>
      <c r="O2699" s="1543"/>
      <c r="P2699" s="1544">
        <f>SUM(P2687:P2695)</f>
        <v>11018.74</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16540.18</v>
      </c>
      <c r="I2700" s="351"/>
      <c r="J2700" s="351"/>
      <c r="K2700" s="351"/>
      <c r="L2700" s="351"/>
      <c r="M2700" s="351"/>
      <c r="N2700" s="1543"/>
      <c r="O2700" s="1543"/>
      <c r="P2700" s="1544">
        <f>P2696</f>
        <v>11018.74</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4"/>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6035</v>
      </c>
      <c r="I2707" s="2291" t="s">
        <v>486</v>
      </c>
      <c r="J2707" s="2291" t="s">
        <v>3097</v>
      </c>
      <c r="K2707" s="2291" t="s">
        <v>2863</v>
      </c>
      <c r="L2707" s="2293" t="s">
        <v>2508</v>
      </c>
      <c r="M2707" s="355" t="s">
        <v>5288</v>
      </c>
      <c r="N2707" s="291"/>
      <c r="O2707" s="291"/>
      <c r="P2707" s="291"/>
      <c r="S2707" s="364"/>
      <c r="Z2707" s="609" t="s">
        <v>1107</v>
      </c>
      <c r="AA2707" s="609" t="s">
        <v>3598</v>
      </c>
    </row>
    <row r="2708" spans="1:27" ht="18">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8">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8">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8">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8">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8">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8">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8">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8.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4"/>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6035</v>
      </c>
      <c r="I2721" s="2282" t="s">
        <v>486</v>
      </c>
      <c r="J2721" s="2282" t="s">
        <v>3097</v>
      </c>
      <c r="K2721" s="417" t="s">
        <v>2863</v>
      </c>
      <c r="L2721" s="355" t="s">
        <v>5288</v>
      </c>
      <c r="M2721" s="291"/>
      <c r="N2721" s="291"/>
      <c r="O2721" s="291"/>
      <c r="S2721" s="364"/>
      <c r="Z2721" s="609" t="s">
        <v>1107</v>
      </c>
      <c r="AA2721" s="609" t="s">
        <v>3598</v>
      </c>
    </row>
    <row r="2722" spans="1:27" ht="18">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8">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8">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8">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8.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4"/>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5288</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f>IF($I2748="适用",IF(ROUND(K$2647-K2748,2)=0,"F/S",ROUND(K$2647-K2748,2)),"#N/A")</f>
        <v>11018.74</v>
      </c>
      <c r="M2748" s="301" t="s">
        <v>2745</v>
      </c>
      <c r="N2748" s="2210">
        <f>I2759</f>
        <v>0</v>
      </c>
      <c r="O2748" s="349">
        <f>IF($I2748="适用",IF(ROUND(N$2647-N2748,2)=0,"F/S",ROUND(N$2647-N2748,2)),"#N/A")</f>
        <v>16540.18</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5288</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6531</v>
      </c>
      <c r="F2761" s="294"/>
      <c r="G2761" s="372" t="str">
        <f>"("&amp;B2761&amp;")"&amp;D2761</f>
        <v>(6)未办妥产权证书的固定资产及其累计折旧明细项目</v>
      </c>
      <c r="H2761" s="1517" t="str">
        <f>$A2761</f>
        <v>1601f</v>
      </c>
      <c r="I2761" s="343" t="s">
        <v>5966</v>
      </c>
      <c r="J2761" s="301"/>
      <c r="K2761" s="3084"/>
      <c r="L2761" s="345"/>
      <c r="M2761" s="301"/>
      <c r="N2761" s="3084"/>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6176</v>
      </c>
      <c r="S2763" s="364"/>
      <c r="Z2763" s="609" t="s">
        <v>1107</v>
      </c>
      <c r="AA2763" s="609" t="s">
        <v>3598</v>
      </c>
    </row>
    <row r="2764" spans="1:27" ht="18">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6048</v>
      </c>
      <c r="S2764" s="364"/>
      <c r="Z2764" s="609" t="s">
        <v>1107</v>
      </c>
      <c r="AA2764" s="609" t="s">
        <v>3598</v>
      </c>
    </row>
    <row r="2765" spans="1:27" ht="18">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6531</v>
      </c>
      <c r="F2771" s="294"/>
      <c r="G2771" s="307" t="str">
        <f>"("&amp;B2771&amp;")"&amp;D2771</f>
        <v>(7)固定资产抵押情况</v>
      </c>
      <c r="H2771" s="1517" t="str">
        <f>$A2771</f>
        <v>1601s</v>
      </c>
      <c r="I2771" s="343" t="s">
        <v>5965</v>
      </c>
      <c r="J2771" s="301"/>
      <c r="K2771" s="3084"/>
      <c r="L2771" s="315"/>
      <c r="M2771" s="301"/>
      <c r="N2771" s="3084"/>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6176</v>
      </c>
      <c r="S2773" s="364"/>
      <c r="Z2773" s="609" t="s">
        <v>1107</v>
      </c>
      <c r="AA2773" s="609" t="s">
        <v>3598</v>
      </c>
    </row>
    <row r="2774" spans="1:27" ht="18">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6531</v>
      </c>
      <c r="F2781" s="294"/>
      <c r="G2781" s="372" t="str">
        <f>"("&amp;B2781&amp;")"&amp;D2781</f>
        <v>(8)固定资产累计折旧补充资料</v>
      </c>
      <c r="H2781" s="1517" t="str">
        <f>$A2781</f>
        <v>1601x</v>
      </c>
      <c r="I2781" s="343" t="s">
        <v>5966</v>
      </c>
      <c r="J2781" s="301" t="s">
        <v>5971</v>
      </c>
      <c r="K2781" s="2210">
        <f>H2794</f>
        <v>0</v>
      </c>
      <c r="L2781" s="345"/>
      <c r="M2781" s="301"/>
      <c r="N2781" s="3084"/>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6176</v>
      </c>
      <c r="K2783" s="291"/>
      <c r="L2783" s="291"/>
      <c r="S2783" s="364"/>
      <c r="Z2783" s="609" t="s">
        <v>1107</v>
      </c>
      <c r="AA2783" s="609" t="s">
        <v>3598</v>
      </c>
    </row>
    <row r="2784" spans="1:27" ht="18">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5288</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6573</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6531</v>
      </c>
      <c r="F2810" s="294"/>
      <c r="G2810" s="372" t="str">
        <f>"("&amp;B2810&amp;")"&amp;D2810</f>
        <v>(2)固定资产清理补充资料</v>
      </c>
      <c r="H2810" s="1517" t="str">
        <f>$A2810</f>
        <v>1606a</v>
      </c>
      <c r="I2810" s="343" t="s">
        <v>5966</v>
      </c>
      <c r="J2810" s="301" t="s">
        <v>5973</v>
      </c>
      <c r="K2810" s="2210">
        <f>H2818</f>
        <v>0</v>
      </c>
      <c r="L2810" s="345" t="str">
        <f>IF($I2810="适用",IF(ROUND(K2796-K2810,2)=0,"F/S",ROUND(K2796-K2810,2)),"#N/A")</f>
        <v>F/S</v>
      </c>
      <c r="M2810" s="301" t="s">
        <v>5967</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6049</v>
      </c>
      <c r="L2812" s="2351" t="s">
        <v>6050</v>
      </c>
      <c r="M2812" s="355" t="s">
        <v>6176</v>
      </c>
      <c r="N2812" s="291"/>
      <c r="S2812" s="364"/>
      <c r="Z2812" s="609" t="s">
        <v>1167</v>
      </c>
      <c r="AA2812" s="609" t="s">
        <v>3636</v>
      </c>
    </row>
    <row r="2813" spans="1:29" ht="18">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5289</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5495</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286" t="s">
        <v>47</v>
      </c>
      <c r="H2833" s="3219" t="str">
        <f>$V$2</f>
        <v>2019年12月31日</v>
      </c>
      <c r="I2833" s="3219"/>
      <c r="J2833" s="3219"/>
      <c r="K2833" s="3219" t="str">
        <f>$V$3</f>
        <v>2018年12月31日</v>
      </c>
      <c r="L2833" s="3219"/>
      <c r="M2833" s="3220"/>
      <c r="N2833" s="355" t="s">
        <v>5289</v>
      </c>
      <c r="O2833" s="291"/>
      <c r="P2833" s="291"/>
      <c r="Q2833" s="367"/>
      <c r="R2833" s="367"/>
      <c r="S2833" s="364"/>
      <c r="Z2833" s="609" t="s">
        <v>1181</v>
      </c>
      <c r="AA2833" s="609" t="s">
        <v>3646</v>
      </c>
    </row>
    <row r="2834" spans="1:29" ht="18">
      <c r="A2834" s="2714"/>
      <c r="B2834" s="371"/>
      <c r="C2834" s="371"/>
      <c r="D2834" s="371"/>
      <c r="E2834" s="586" t="s">
        <v>2749</v>
      </c>
      <c r="F2834" s="363"/>
      <c r="G2834" s="3287"/>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8">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8">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8">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8">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8">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8">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8">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8">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8">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8.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6573</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6531</v>
      </c>
      <c r="F2847" s="294"/>
      <c r="G2847" s="307" t="str">
        <f>"("&amp;B2847&amp;")"&amp;D2847</f>
        <v>(2)重要在建工程项目变动情况列示</v>
      </c>
      <c r="H2847" s="1517" t="str">
        <f>$A2847</f>
        <v>1604b</v>
      </c>
      <c r="I2847" s="343" t="s">
        <v>5965</v>
      </c>
      <c r="J2847" s="301" t="s">
        <v>2744</v>
      </c>
      <c r="K2847" s="3085">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5289</v>
      </c>
      <c r="O2849" s="1604"/>
      <c r="P2849" s="1604"/>
      <c r="Q2849" s="1604"/>
      <c r="R2849" s="1604"/>
      <c r="S2849" s="364"/>
      <c r="Z2849" s="609" t="s">
        <v>1181</v>
      </c>
      <c r="AA2849" s="609" t="s">
        <v>3646</v>
      </c>
    </row>
    <row r="2850" spans="1:27" ht="18">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8">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8">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8">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8">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8">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8">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8">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8.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6531</v>
      </c>
      <c r="F2862" s="294"/>
      <c r="G2862" s="372" t="str">
        <f>"("&amp;B2862&amp;")"&amp;D2862</f>
        <v>(2)重要在建工程项目变动情况列示（续）</v>
      </c>
      <c r="H2862" s="1517" t="str">
        <f>$A2862</f>
        <v>1604c</v>
      </c>
      <c r="I2862" s="343" t="s">
        <v>5966</v>
      </c>
      <c r="J2862" s="301"/>
      <c r="K2862" s="391"/>
      <c r="L2862" s="1535" t="str">
        <f>IF($I2862="适用",IF(ROUND(H2845-K2862,2)&gt;=0,IF(H2845&lt;&gt;0,K2862/H2845,""),"#Logical!"),"#N/A")</f>
        <v/>
      </c>
      <c r="M2862" s="301"/>
      <c r="N2862" s="3086"/>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5289</v>
      </c>
      <c r="O2864" s="291"/>
      <c r="P2864" s="343"/>
      <c r="Q2864" s="367"/>
      <c r="R2864" s="367"/>
      <c r="S2864" s="364"/>
      <c r="Z2864" s="609" t="s">
        <v>1181</v>
      </c>
      <c r="AA2864" s="609" t="s">
        <v>3646</v>
      </c>
    </row>
    <row r="2865" spans="1:27" ht="18">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6051</v>
      </c>
      <c r="O2865" s="291"/>
      <c r="Q2865" s="367"/>
      <c r="R2865" s="367"/>
      <c r="S2865" s="364"/>
      <c r="Z2865" s="609" t="s">
        <v>1181</v>
      </c>
      <c r="AA2865" s="609" t="s">
        <v>3646</v>
      </c>
    </row>
    <row r="2866" spans="1:27" ht="18">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5289</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HYPERLINK("#'"&amp;$G$1&amp;"'!"&amp;ADDRESS(ROW(Notes!L4888),COLUMN(Notes!L4888),4),"*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5367</v>
      </c>
      <c r="H2890" s="1550" t="str">
        <f>G2830</f>
        <v>(1)在建工程情况</v>
      </c>
      <c r="I2890" s="1552"/>
      <c r="J2890" s="1551"/>
      <c r="K2890" s="1553" t="s">
        <v>5368</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6608</v>
      </c>
      <c r="F2897" s="294"/>
      <c r="G2897" s="372" t="str">
        <f>"("&amp;B2897&amp;")"&amp;D2897</f>
        <v>(3)本期在建工程项目计提减值准备情况</v>
      </c>
      <c r="H2897" s="1517" t="str">
        <f>$A2897</f>
        <v>1604d</v>
      </c>
      <c r="I2897" s="343" t="s">
        <v>6616</v>
      </c>
      <c r="J2897" s="301" t="s">
        <v>6614</v>
      </c>
      <c r="K2897" s="2210">
        <f>H2905</f>
        <v>0</v>
      </c>
      <c r="L2897" s="345"/>
      <c r="M2897" s="301" t="s">
        <v>6615</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6052</v>
      </c>
      <c r="I2899" s="2359"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4" t="s">
        <v>6565</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5663</v>
      </c>
    </row>
    <row r="2909" spans="1:34" s="289" customFormat="1" ht="0.75" customHeight="1">
      <c r="A2909" s="2714"/>
      <c r="B2909" s="371"/>
      <c r="C2909" s="371"/>
      <c r="D2909" s="2716"/>
      <c r="E2909" s="2716"/>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320" t="s">
        <v>47</v>
      </c>
      <c r="H2911" s="3221" t="str">
        <f>$V$2</f>
        <v>2019年12月31日</v>
      </c>
      <c r="I2911" s="3222"/>
      <c r="J2911" s="3223"/>
      <c r="K2911" s="3224" t="str">
        <f>$V$3</f>
        <v>2018年12月31日</v>
      </c>
      <c r="L2911" s="3225"/>
      <c r="M2911" s="3225"/>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4"/>
      <c r="B2912" s="371"/>
      <c r="C2912" s="371"/>
      <c r="D2912" s="2716"/>
      <c r="E2912" s="2716" t="s">
        <v>2749</v>
      </c>
      <c r="F2912" s="371"/>
      <c r="G2912" s="3321"/>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5663</v>
      </c>
    </row>
    <row r="2915" spans="1:29" ht="18">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5663</v>
      </c>
    </row>
    <row r="2916" spans="1:29" ht="18">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5663</v>
      </c>
    </row>
    <row r="2917" spans="1:29" ht="18.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HYPERLINK("#'"&amp;$G$1&amp;"'!"&amp;ADDRESS(ROW(Notes!L4887),COLUMN(Notes!L4887),4),"* 请勿删除此行！点击往勾稽单元格，F5+Enter返回")</f>
        <v>* 请勿删除此行！点击往勾稽单元格，F5+Enter返回</v>
      </c>
      <c r="O2917" s="349"/>
      <c r="P2917" s="301"/>
      <c r="S2917" s="364"/>
      <c r="Z2917" s="609" t="s">
        <v>1200</v>
      </c>
      <c r="AA2917" s="609" t="s">
        <v>5663</v>
      </c>
      <c r="AC2917" s="369" t="s">
        <v>6573</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5664</v>
      </c>
    </row>
    <row r="2921" spans="1:29" ht="0.75" customHeight="1">
      <c r="A2921" s="2714"/>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4"/>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4"/>
      <c r="B2923" s="371"/>
      <c r="C2923" s="371"/>
      <c r="D2923" s="371"/>
      <c r="E2923" s="2716" t="s">
        <v>2749</v>
      </c>
      <c r="F2923" s="294"/>
      <c r="G2923" s="3327" t="s">
        <v>47</v>
      </c>
      <c r="H2923" s="3211" t="s">
        <v>3574</v>
      </c>
      <c r="I2923" s="3211" t="s">
        <v>3558</v>
      </c>
      <c r="J2923" s="3211"/>
      <c r="K2923" s="3211"/>
      <c r="L2923" s="3211"/>
      <c r="M2923" s="3211" t="s">
        <v>3560</v>
      </c>
      <c r="N2923" s="3211"/>
      <c r="O2923" s="3259" t="s">
        <v>3575</v>
      </c>
      <c r="P2923" s="355" t="s">
        <v>5290</v>
      </c>
      <c r="S2923" s="364"/>
      <c r="Z2923" s="609" t="s">
        <v>1206</v>
      </c>
      <c r="AA2923" s="609" t="s">
        <v>5664</v>
      </c>
    </row>
    <row r="2924" spans="1:29" ht="18">
      <c r="A2924" s="2714"/>
      <c r="B2924" s="371"/>
      <c r="C2924" s="371"/>
      <c r="D2924" s="371"/>
      <c r="E2924" s="2716" t="s">
        <v>2749</v>
      </c>
      <c r="F2924" s="294"/>
      <c r="G2924" s="3328"/>
      <c r="H2924" s="3214"/>
      <c r="I2924" s="2370" t="s">
        <v>3546</v>
      </c>
      <c r="J2924" s="2370" t="s">
        <v>3678</v>
      </c>
      <c r="K2924" s="2371" t="s">
        <v>5164</v>
      </c>
      <c r="L2924" s="2371" t="s">
        <v>5163</v>
      </c>
      <c r="M2924" s="2372" t="s">
        <v>3561</v>
      </c>
      <c r="N2924" s="2370" t="s">
        <v>3679</v>
      </c>
      <c r="O2924" s="3229"/>
      <c r="P2924" s="291"/>
      <c r="S2924" s="364"/>
      <c r="Z2924" s="609" t="s">
        <v>1206</v>
      </c>
      <c r="AA2924" s="609" t="s">
        <v>5664</v>
      </c>
    </row>
    <row r="2925" spans="1:29" ht="18">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5664</v>
      </c>
    </row>
    <row r="2926" spans="1:29" ht="18">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5664</v>
      </c>
    </row>
    <row r="2927" spans="1:29" ht="18">
      <c r="A2927" s="2714"/>
      <c r="B2927" s="371">
        <v>102.001</v>
      </c>
      <c r="C2927" s="371" t="s">
        <v>2791</v>
      </c>
      <c r="D2927" s="2716">
        <f t="shared" si="324"/>
        <v>1</v>
      </c>
      <c r="E2927" s="2721" t="s">
        <v>5159</v>
      </c>
      <c r="F2927" s="294"/>
      <c r="G2927" s="1486" t="s">
        <v>5192</v>
      </c>
      <c r="H2927" s="309"/>
      <c r="I2927" s="309"/>
      <c r="J2927" s="309"/>
      <c r="K2927" s="1465">
        <v>0</v>
      </c>
      <c r="L2927" s="309"/>
      <c r="M2927" s="309"/>
      <c r="N2927" s="309"/>
      <c r="O2927" s="1477">
        <f>SUM(H2927:L2927,-M2927,-N2927)</f>
        <v>0</v>
      </c>
      <c r="P2927" s="292"/>
      <c r="S2927" s="364"/>
      <c r="Z2927" s="609" t="s">
        <v>1206</v>
      </c>
      <c r="AA2927" s="609" t="s">
        <v>5664</v>
      </c>
    </row>
    <row r="2928" spans="1:29" ht="18">
      <c r="A2928" s="2714"/>
      <c r="B2928" s="371">
        <v>102.002</v>
      </c>
      <c r="C2928" s="371" t="s">
        <v>2791</v>
      </c>
      <c r="D2928" s="2716">
        <f t="shared" si="324"/>
        <v>1</v>
      </c>
      <c r="E2928" s="2721" t="s">
        <v>5159</v>
      </c>
      <c r="F2928" s="294"/>
      <c r="G2928" s="1486" t="s">
        <v>5193</v>
      </c>
      <c r="H2928" s="309"/>
      <c r="I2928" s="309"/>
      <c r="J2928" s="309"/>
      <c r="K2928" s="1465">
        <v>0</v>
      </c>
      <c r="L2928" s="309"/>
      <c r="M2928" s="309"/>
      <c r="N2928" s="309"/>
      <c r="O2928" s="1477">
        <f>SUM(H2928:L2928,-M2928,-N2928)</f>
        <v>0</v>
      </c>
      <c r="P2928" s="292"/>
      <c r="S2928" s="364"/>
      <c r="Z2928" s="609" t="s">
        <v>1206</v>
      </c>
      <c r="AA2928" s="609" t="s">
        <v>5664</v>
      </c>
    </row>
    <row r="2929" spans="1:27" ht="18">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5664</v>
      </c>
    </row>
    <row r="2930" spans="1:27" ht="18">
      <c r="A2930" s="2714"/>
      <c r="B2930" s="371">
        <v>103.001</v>
      </c>
      <c r="C2930" s="371" t="s">
        <v>2791</v>
      </c>
      <c r="D2930" s="2716">
        <f t="shared" si="324"/>
        <v>1</v>
      </c>
      <c r="E2930" s="2721" t="s">
        <v>5159</v>
      </c>
      <c r="F2930" s="294"/>
      <c r="G2930" s="1486" t="s">
        <v>5194</v>
      </c>
      <c r="H2930" s="309"/>
      <c r="I2930" s="309"/>
      <c r="J2930" s="309"/>
      <c r="K2930" s="1465">
        <v>0</v>
      </c>
      <c r="L2930" s="309"/>
      <c r="M2930" s="309"/>
      <c r="N2930" s="309"/>
      <c r="O2930" s="1477">
        <f>SUM(H2930:L2930,-M2930,-N2930)</f>
        <v>0</v>
      </c>
      <c r="P2930" s="292"/>
      <c r="S2930" s="364"/>
      <c r="Z2930" s="609" t="s">
        <v>1206</v>
      </c>
      <c r="AA2930" s="609" t="s">
        <v>5664</v>
      </c>
    </row>
    <row r="2931" spans="1:27" ht="18">
      <c r="A2931" s="2714"/>
      <c r="B2931" s="371">
        <v>103.002</v>
      </c>
      <c r="C2931" s="371" t="s">
        <v>2791</v>
      </c>
      <c r="D2931" s="2716">
        <f t="shared" si="324"/>
        <v>1</v>
      </c>
      <c r="E2931" s="2721" t="s">
        <v>5159</v>
      </c>
      <c r="F2931" s="294"/>
      <c r="G2931" s="1486" t="s">
        <v>5195</v>
      </c>
      <c r="H2931" s="309"/>
      <c r="I2931" s="309"/>
      <c r="J2931" s="309"/>
      <c r="K2931" s="1465">
        <v>0</v>
      </c>
      <c r="L2931" s="309"/>
      <c r="M2931" s="309"/>
      <c r="N2931" s="309"/>
      <c r="O2931" s="1477">
        <f>SUM(H2931:L2931,-M2931,-N2931)</f>
        <v>0</v>
      </c>
      <c r="P2931" s="292"/>
      <c r="S2931" s="364"/>
      <c r="Z2931" s="609" t="s">
        <v>1206</v>
      </c>
      <c r="AA2931" s="609" t="s">
        <v>5664</v>
      </c>
    </row>
    <row r="2932" spans="1:27" ht="18">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5664</v>
      </c>
    </row>
    <row r="2933" spans="1:27" ht="18">
      <c r="A2933" s="2714"/>
      <c r="B2933" s="371">
        <v>104.001</v>
      </c>
      <c r="C2933" s="371" t="s">
        <v>2791</v>
      </c>
      <c r="D2933" s="2716">
        <f t="shared" si="324"/>
        <v>1</v>
      </c>
      <c r="E2933" s="2721" t="s">
        <v>5159</v>
      </c>
      <c r="F2933" s="294"/>
      <c r="G2933" s="1486" t="s">
        <v>5196</v>
      </c>
      <c r="H2933" s="309"/>
      <c r="I2933" s="309"/>
      <c r="J2933" s="309"/>
      <c r="K2933" s="1465">
        <v>0</v>
      </c>
      <c r="L2933" s="309"/>
      <c r="M2933" s="309"/>
      <c r="N2933" s="309"/>
      <c r="O2933" s="1477">
        <f>SUM(H2933:L2933,-M2933,-N2933)</f>
        <v>0</v>
      </c>
      <c r="P2933" s="292"/>
      <c r="S2933" s="364"/>
      <c r="Z2933" s="609" t="s">
        <v>1206</v>
      </c>
      <c r="AA2933" s="609" t="s">
        <v>5664</v>
      </c>
    </row>
    <row r="2934" spans="1:27" ht="18">
      <c r="A2934" s="2714"/>
      <c r="B2934" s="371">
        <v>104.002</v>
      </c>
      <c r="C2934" s="371" t="s">
        <v>2791</v>
      </c>
      <c r="D2934" s="2716">
        <f t="shared" si="324"/>
        <v>1</v>
      </c>
      <c r="E2934" s="2721" t="s">
        <v>5159</v>
      </c>
      <c r="F2934" s="294"/>
      <c r="G2934" s="1486" t="s">
        <v>5197</v>
      </c>
      <c r="H2934" s="309"/>
      <c r="I2934" s="309"/>
      <c r="J2934" s="309"/>
      <c r="K2934" s="1465">
        <v>0</v>
      </c>
      <c r="L2934" s="309"/>
      <c r="M2934" s="309"/>
      <c r="N2934" s="309"/>
      <c r="O2934" s="1477">
        <f>SUM(H2934:L2934,-M2934,-N2934)</f>
        <v>0</v>
      </c>
      <c r="P2934" s="292"/>
      <c r="S2934" s="364"/>
      <c r="Z2934" s="609" t="s">
        <v>1206</v>
      </c>
      <c r="AA2934" s="609" t="s">
        <v>5664</v>
      </c>
    </row>
    <row r="2935" spans="1:27" ht="18">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5664</v>
      </c>
    </row>
    <row r="2936" spans="1:27" ht="18">
      <c r="A2936" s="2714"/>
      <c r="B2936" s="371">
        <v>105.001</v>
      </c>
      <c r="C2936" s="371" t="s">
        <v>2791</v>
      </c>
      <c r="D2936" s="2716">
        <f t="shared" si="324"/>
        <v>1</v>
      </c>
      <c r="E2936" s="2721" t="s">
        <v>5159</v>
      </c>
      <c r="F2936" s="294"/>
      <c r="G2936" s="1486" t="s">
        <v>5198</v>
      </c>
      <c r="H2936" s="309"/>
      <c r="I2936" s="309"/>
      <c r="J2936" s="309"/>
      <c r="K2936" s="1465">
        <v>0</v>
      </c>
      <c r="L2936" s="309"/>
      <c r="M2936" s="309"/>
      <c r="N2936" s="309"/>
      <c r="O2936" s="1477">
        <f>SUM(H2936:L2936,-M2936,-N2936)</f>
        <v>0</v>
      </c>
      <c r="P2936" s="292"/>
      <c r="S2936" s="364"/>
      <c r="Z2936" s="609" t="s">
        <v>1206</v>
      </c>
      <c r="AA2936" s="609" t="s">
        <v>5664</v>
      </c>
    </row>
    <row r="2937" spans="1:27" ht="18">
      <c r="A2937" s="2714"/>
      <c r="B2937" s="371">
        <v>105.002</v>
      </c>
      <c r="C2937" s="371" t="s">
        <v>2791</v>
      </c>
      <c r="D2937" s="2716">
        <f t="shared" si="324"/>
        <v>1</v>
      </c>
      <c r="E2937" s="2721" t="s">
        <v>5159</v>
      </c>
      <c r="F2937" s="294"/>
      <c r="G2937" s="1486" t="s">
        <v>5199</v>
      </c>
      <c r="H2937" s="309"/>
      <c r="I2937" s="309"/>
      <c r="J2937" s="309"/>
      <c r="K2937" s="1465">
        <v>0</v>
      </c>
      <c r="L2937" s="309"/>
      <c r="M2937" s="309"/>
      <c r="N2937" s="309"/>
      <c r="O2937" s="1477">
        <f>SUM(H2937:L2937,-M2937,-N2937)</f>
        <v>0</v>
      </c>
      <c r="P2937" s="292"/>
      <c r="S2937" s="364"/>
      <c r="Z2937" s="609" t="s">
        <v>1206</v>
      </c>
      <c r="AA2937" s="609" t="s">
        <v>5664</v>
      </c>
    </row>
    <row r="2938" spans="1:27" ht="18">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5664</v>
      </c>
    </row>
    <row r="2939" spans="1:27" ht="18">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5664</v>
      </c>
    </row>
    <row r="2940" spans="1:27" ht="18">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5664</v>
      </c>
    </row>
    <row r="2941" spans="1:27" ht="18">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5664</v>
      </c>
    </row>
    <row r="2942" spans="1:27" ht="18">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5664</v>
      </c>
    </row>
    <row r="2943" spans="1:27" ht="18">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5664</v>
      </c>
    </row>
    <row r="2944" spans="1:27" ht="18">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5664</v>
      </c>
    </row>
    <row r="2945" spans="1:27" ht="18">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5664</v>
      </c>
    </row>
    <row r="2946" spans="1:27" ht="18">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5664</v>
      </c>
    </row>
    <row r="2947" spans="1:27" ht="18">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5664</v>
      </c>
    </row>
    <row r="2948" spans="1:27" ht="18">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5664</v>
      </c>
    </row>
    <row r="2949" spans="1:27" ht="18">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5664</v>
      </c>
    </row>
    <row r="2950" spans="1:27" ht="18">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5664</v>
      </c>
    </row>
    <row r="2951" spans="1:27" ht="18">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5664</v>
      </c>
    </row>
    <row r="2952" spans="1:27" ht="18">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5664</v>
      </c>
    </row>
    <row r="2953" spans="1:27" ht="18">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5664</v>
      </c>
    </row>
    <row r="2954" spans="1:27" ht="18">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5664</v>
      </c>
    </row>
    <row r="2955" spans="1:27" ht="18">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5664</v>
      </c>
    </row>
    <row r="2956" spans="1:27" ht="18">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5664</v>
      </c>
    </row>
    <row r="2957" spans="1:27" ht="18">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5664</v>
      </c>
    </row>
    <row r="2958" spans="1:27" ht="18">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5664</v>
      </c>
    </row>
    <row r="2959" spans="1:27" ht="18">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5664</v>
      </c>
    </row>
    <row r="2960" spans="1:27" ht="18">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5664</v>
      </c>
    </row>
    <row r="2961" spans="1:29" ht="18">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5664</v>
      </c>
    </row>
    <row r="2962" spans="1:29" ht="18">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5664</v>
      </c>
    </row>
    <row r="2963" spans="1:29" ht="18">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5664</v>
      </c>
    </row>
    <row r="2964" spans="1:29" ht="18">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5664</v>
      </c>
    </row>
    <row r="2965" spans="1:29" ht="18">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5664</v>
      </c>
    </row>
    <row r="2966" spans="1:29" ht="18">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HYPERLINK("#'"&amp;$G$1&amp;"'!"&amp;ADDRESS(ROW(Notes!L4889),COLUMN(Notes!L4889),4),"* 请勿删除此行！点击往勾稽单元格，F5+Enter返回")</f>
        <v>* 请勿删除此行！点击往勾稽单元格，F5+Enter返回</v>
      </c>
      <c r="S2966" s="364"/>
      <c r="Z2966" s="609" t="s">
        <v>1206</v>
      </c>
      <c r="AA2966" s="609" t="s">
        <v>5664</v>
      </c>
      <c r="AC2966" s="369" t="s">
        <v>2794</v>
      </c>
    </row>
    <row r="2967" spans="1:29" ht="18">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5664</v>
      </c>
    </row>
    <row r="2968" spans="1:29" ht="18">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5664</v>
      </c>
    </row>
    <row r="2969" spans="1:29" ht="18">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5664</v>
      </c>
    </row>
    <row r="2970" spans="1:29" ht="18">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5664</v>
      </c>
    </row>
    <row r="2971" spans="1:29" ht="18">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5664</v>
      </c>
    </row>
    <row r="2972" spans="1:29" ht="18">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5664</v>
      </c>
    </row>
    <row r="2973" spans="1:29" ht="18">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5664</v>
      </c>
    </row>
    <row r="2974" spans="1:29" ht="18">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5664</v>
      </c>
    </row>
    <row r="2975" spans="1:29" ht="18">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5664</v>
      </c>
    </row>
    <row r="2976" spans="1:29" ht="18">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5664</v>
      </c>
    </row>
    <row r="2977" spans="1:27" ht="18">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5664</v>
      </c>
    </row>
    <row r="2978" spans="1:27" ht="18">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5664</v>
      </c>
    </row>
    <row r="2979" spans="1:27" ht="18">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5664</v>
      </c>
    </row>
    <row r="2980" spans="1:27" ht="18.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5664</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4"/>
      <c r="B2985" s="371"/>
      <c r="C2985" s="371"/>
      <c r="D2985" s="371"/>
      <c r="E2985" s="2716" t="s">
        <v>2749</v>
      </c>
      <c r="F2985" s="387"/>
      <c r="G2985" s="3327" t="s">
        <v>47</v>
      </c>
      <c r="H2985" s="3226" t="s">
        <v>3524</v>
      </c>
      <c r="I2985" s="3226" t="s">
        <v>3649</v>
      </c>
      <c r="J2985" s="3211"/>
      <c r="K2985" s="3211"/>
      <c r="L2985" s="3211"/>
      <c r="M2985" s="3226" t="s">
        <v>3699</v>
      </c>
      <c r="N2985" s="3211"/>
      <c r="O2985" s="3226" t="s">
        <v>3700</v>
      </c>
      <c r="P2985" s="3228" t="s">
        <v>2560</v>
      </c>
      <c r="Q2985" s="355" t="s">
        <v>5290</v>
      </c>
      <c r="S2985" s="364"/>
      <c r="Z2985" s="609" t="s">
        <v>1206</v>
      </c>
      <c r="AA2985" s="609" t="s">
        <v>5664</v>
      </c>
    </row>
    <row r="2986" spans="1:27" ht="18">
      <c r="A2986" s="2714"/>
      <c r="B2986" s="371"/>
      <c r="C2986" s="371"/>
      <c r="D2986" s="371"/>
      <c r="E2986" s="2716" t="s">
        <v>2749</v>
      </c>
      <c r="F2986" s="294"/>
      <c r="G2986" s="3328"/>
      <c r="H2986" s="3214"/>
      <c r="I2986" s="2318" t="s">
        <v>3701</v>
      </c>
      <c r="J2986" s="2319" t="s">
        <v>3702</v>
      </c>
      <c r="K2986" s="2318" t="s">
        <v>3703</v>
      </c>
      <c r="L2986" s="2318" t="s">
        <v>3704</v>
      </c>
      <c r="M2986" s="2318" t="s">
        <v>3596</v>
      </c>
      <c r="N2986" s="2318" t="s">
        <v>3705</v>
      </c>
      <c r="O2986" s="3266"/>
      <c r="P2986" s="3229"/>
      <c r="S2986" s="364"/>
      <c r="Z2986" s="609" t="s">
        <v>1206</v>
      </c>
      <c r="AA2986" s="609" t="s">
        <v>5664</v>
      </c>
    </row>
    <row r="2987" spans="1:27" ht="18">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5664</v>
      </c>
    </row>
    <row r="2989" spans="1:27" ht="18">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5664</v>
      </c>
    </row>
    <row r="2990" spans="1:27" ht="18">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5664</v>
      </c>
    </row>
    <row r="2991" spans="1:27" ht="18">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5664</v>
      </c>
    </row>
    <row r="2993" spans="1:27" ht="18">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5664</v>
      </c>
    </row>
    <row r="2994" spans="1:27" ht="18">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5664</v>
      </c>
    </row>
    <row r="2995" spans="1:27" ht="18">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5664</v>
      </c>
    </row>
    <row r="2997" spans="1:27" ht="18">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5664</v>
      </c>
    </row>
    <row r="2998" spans="1:27" ht="18">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5664</v>
      </c>
    </row>
    <row r="2999" spans="1:27" ht="18">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5664</v>
      </c>
    </row>
    <row r="3001" spans="1:27" ht="18">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5664</v>
      </c>
    </row>
    <row r="3002" spans="1:27" ht="18">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5664</v>
      </c>
    </row>
    <row r="3003" spans="1:27" ht="18.75" thickBot="1">
      <c r="A3003" s="2714"/>
      <c r="B3003" s="371"/>
      <c r="C3003" s="371"/>
      <c r="D3003" s="2716">
        <f t="shared" si="340"/>
        <v>1</v>
      </c>
      <c r="E3003" s="2721" t="s">
        <v>2751</v>
      </c>
      <c r="F3003" s="294"/>
      <c r="G3003" s="2330" t="s">
        <v>5489</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5664</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5490</v>
      </c>
      <c r="H3008" s="1466" t="s">
        <v>3708</v>
      </c>
      <c r="I3008" s="1466" t="s">
        <v>3709</v>
      </c>
      <c r="J3008" s="1466" t="s">
        <v>3710</v>
      </c>
      <c r="K3008" s="1467" t="s">
        <v>5150</v>
      </c>
      <c r="L3008" s="1473" t="s">
        <v>3351</v>
      </c>
      <c r="M3008" s="355" t="s">
        <v>5291</v>
      </c>
      <c r="N3008" s="434"/>
      <c r="O3008" s="434"/>
      <c r="P3008" s="435"/>
      <c r="Q3008" s="442"/>
      <c r="R3008" s="443"/>
      <c r="S3008" s="364"/>
      <c r="Z3008" s="609" t="s">
        <v>1235</v>
      </c>
      <c r="AA3008" s="609" t="s">
        <v>3706</v>
      </c>
    </row>
    <row r="3009" spans="1:27" ht="18">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8">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8">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8">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8">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8">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8">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8">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8">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8">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8">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8">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8">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8">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8">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8">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8">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8">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HYPERLINK("#'"&amp;$G$1&amp;"'!"&amp;ADDRESS(ROW(Notes!L4890),COLUMN(Notes!L4890),4),"*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8">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8">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8">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8">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8">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8.75" thickBot="1">
      <c r="A3040" s="2714"/>
      <c r="B3040" s="371"/>
      <c r="C3040" s="371"/>
      <c r="D3040" s="2716">
        <f t="shared" si="347"/>
        <v>0</v>
      </c>
      <c r="E3040" s="2721" t="s">
        <v>6555</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0</v>
      </c>
      <c r="O3043" s="315"/>
      <c r="P3043" s="301"/>
      <c r="Q3043" s="290" t="str">
        <f>IF($I3043="不适用","",IF(ROUND(SUM($H$3048:$P$3103),2)=0,"请输入",""))</f>
        <v>请输入</v>
      </c>
      <c r="S3043" s="364"/>
      <c r="Z3043" s="609" t="s">
        <v>1246</v>
      </c>
      <c r="AA3043" s="609" t="s">
        <v>3720</v>
      </c>
    </row>
    <row r="3044" spans="1:27" ht="0.75" customHeight="1">
      <c r="A3044" s="2714"/>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4"/>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4"/>
      <c r="B3046" s="371"/>
      <c r="C3046" s="371"/>
      <c r="D3046" s="371"/>
      <c r="E3046" s="2716" t="s">
        <v>2749</v>
      </c>
      <c r="F3046" s="294"/>
      <c r="G3046" s="3327" t="s">
        <v>47</v>
      </c>
      <c r="H3046" s="3211" t="s">
        <v>3574</v>
      </c>
      <c r="I3046" s="3211" t="s">
        <v>3558</v>
      </c>
      <c r="J3046" s="3211"/>
      <c r="K3046" s="3211"/>
      <c r="L3046" s="3211"/>
      <c r="M3046" s="3211"/>
      <c r="N3046" s="3211" t="s">
        <v>3560</v>
      </c>
      <c r="O3046" s="3211"/>
      <c r="P3046" s="3259" t="s">
        <v>3575</v>
      </c>
      <c r="Q3046" s="355" t="s">
        <v>5292</v>
      </c>
      <c r="S3046" s="364"/>
      <c r="Z3046" s="609" t="s">
        <v>1246</v>
      </c>
      <c r="AA3046" s="609" t="s">
        <v>3720</v>
      </c>
    </row>
    <row r="3047" spans="1:27" ht="24">
      <c r="A3047" s="2714"/>
      <c r="B3047" s="371"/>
      <c r="C3047" s="371"/>
      <c r="D3047" s="371"/>
      <c r="E3047" s="2716" t="s">
        <v>2749</v>
      </c>
      <c r="F3047" s="294"/>
      <c r="G3047" s="3328"/>
      <c r="H3047" s="3214"/>
      <c r="I3047" s="2372" t="s">
        <v>3576</v>
      </c>
      <c r="J3047" s="2372" t="s">
        <v>3715</v>
      </c>
      <c r="K3047" s="2370" t="s">
        <v>3547</v>
      </c>
      <c r="L3047" s="2371" t="s">
        <v>5174</v>
      </c>
      <c r="M3047" s="2371" t="s">
        <v>5173</v>
      </c>
      <c r="N3047" s="2372" t="s">
        <v>3561</v>
      </c>
      <c r="O3047" s="2372" t="s">
        <v>3609</v>
      </c>
      <c r="P3047" s="3229"/>
      <c r="S3047" s="364"/>
      <c r="Z3047" s="609" t="s">
        <v>1246</v>
      </c>
      <c r="AA3047" s="609" t="s">
        <v>3720</v>
      </c>
    </row>
    <row r="3048" spans="1:27" ht="18">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8">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8">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8">
      <c r="A3052" s="2714"/>
      <c r="B3052" s="371">
        <v>101.004</v>
      </c>
      <c r="C3052" s="371" t="s">
        <v>2791</v>
      </c>
      <c r="D3052" s="2716">
        <f t="shared" si="360"/>
        <v>1</v>
      </c>
      <c r="E3052" s="2721" t="s">
        <v>5159</v>
      </c>
      <c r="F3052" s="294"/>
      <c r="G3052" s="1636" t="s">
        <v>5616</v>
      </c>
      <c r="H3052" s="309"/>
      <c r="I3052" s="309"/>
      <c r="J3052" s="309"/>
      <c r="K3052" s="309"/>
      <c r="L3052" s="1465">
        <v>0</v>
      </c>
      <c r="M3052" s="309"/>
      <c r="N3052" s="320"/>
      <c r="O3052" s="309"/>
      <c r="P3052" s="1477">
        <f t="shared" si="361"/>
        <v>0</v>
      </c>
      <c r="S3052" s="364"/>
      <c r="Z3052" s="609" t="s">
        <v>1246</v>
      </c>
      <c r="AA3052" s="609" t="s">
        <v>3720</v>
      </c>
    </row>
    <row r="3053" spans="1:27" ht="18">
      <c r="A3053" s="2714"/>
      <c r="B3053" s="371">
        <v>101.005</v>
      </c>
      <c r="C3053" s="371" t="s">
        <v>2791</v>
      </c>
      <c r="D3053" s="2716">
        <f t="shared" si="360"/>
        <v>1</v>
      </c>
      <c r="E3053" s="2721" t="s">
        <v>5159</v>
      </c>
      <c r="F3053" s="294"/>
      <c r="G3053" s="1485" t="s">
        <v>5175</v>
      </c>
      <c r="H3053" s="309"/>
      <c r="I3053" s="309"/>
      <c r="J3053" s="309"/>
      <c r="K3053" s="309"/>
      <c r="L3053" s="1465">
        <v>0</v>
      </c>
      <c r="M3053" s="309"/>
      <c r="N3053" s="320"/>
      <c r="O3053" s="309"/>
      <c r="P3053" s="1477">
        <f t="shared" si="361"/>
        <v>0</v>
      </c>
      <c r="S3053" s="364"/>
      <c r="Z3053" s="609" t="s">
        <v>1246</v>
      </c>
      <c r="AA3053" s="609" t="s">
        <v>3720</v>
      </c>
    </row>
    <row r="3054" spans="1:27" ht="18">
      <c r="A3054" s="2714"/>
      <c r="B3054" s="371">
        <v>101.006</v>
      </c>
      <c r="C3054" s="371" t="s">
        <v>2791</v>
      </c>
      <c r="D3054" s="2716">
        <f t="shared" si="360"/>
        <v>1</v>
      </c>
      <c r="E3054" s="2721" t="s">
        <v>5159</v>
      </c>
      <c r="F3054" s="294"/>
      <c r="G3054" s="1485" t="s">
        <v>5176</v>
      </c>
      <c r="H3054" s="309"/>
      <c r="I3054" s="309"/>
      <c r="J3054" s="309"/>
      <c r="K3054" s="309"/>
      <c r="L3054" s="1465">
        <v>0</v>
      </c>
      <c r="M3054" s="309"/>
      <c r="N3054" s="320"/>
      <c r="O3054" s="309"/>
      <c r="P3054" s="1477">
        <f t="shared" si="361"/>
        <v>0</v>
      </c>
      <c r="S3054" s="364"/>
      <c r="Z3054" s="609" t="s">
        <v>1246</v>
      </c>
      <c r="AA3054" s="609" t="s">
        <v>3720</v>
      </c>
    </row>
    <row r="3055" spans="1:27" ht="18">
      <c r="A3055" s="2714"/>
      <c r="B3055" s="371">
        <v>101.00700000000001</v>
      </c>
      <c r="C3055" s="371" t="s">
        <v>2791</v>
      </c>
      <c r="D3055" s="2716">
        <f t="shared" si="360"/>
        <v>1</v>
      </c>
      <c r="E3055" s="2721" t="s">
        <v>5159</v>
      </c>
      <c r="F3055" s="294"/>
      <c r="G3055" s="1485" t="s">
        <v>5177</v>
      </c>
      <c r="H3055" s="309"/>
      <c r="I3055" s="309"/>
      <c r="J3055" s="309"/>
      <c r="K3055" s="309"/>
      <c r="L3055" s="1465">
        <v>0</v>
      </c>
      <c r="M3055" s="309"/>
      <c r="N3055" s="320"/>
      <c r="O3055" s="309"/>
      <c r="P3055" s="1477">
        <f t="shared" si="361"/>
        <v>0</v>
      </c>
      <c r="S3055" s="364"/>
      <c r="Z3055" s="609" t="s">
        <v>1246</v>
      </c>
      <c r="AA3055" s="609" t="s">
        <v>3720</v>
      </c>
    </row>
    <row r="3056" spans="1:27" ht="18">
      <c r="A3056" s="2714"/>
      <c r="B3056" s="371">
        <v>101.008</v>
      </c>
      <c r="C3056" s="371" t="s">
        <v>2791</v>
      </c>
      <c r="D3056" s="2716">
        <f t="shared" si="360"/>
        <v>1</v>
      </c>
      <c r="E3056" s="2721" t="s">
        <v>5159</v>
      </c>
      <c r="F3056" s="294"/>
      <c r="G3056" s="1485" t="s">
        <v>5178</v>
      </c>
      <c r="H3056" s="309"/>
      <c r="I3056" s="309"/>
      <c r="J3056" s="309"/>
      <c r="K3056" s="309"/>
      <c r="L3056" s="1465">
        <v>0</v>
      </c>
      <c r="M3056" s="309"/>
      <c r="N3056" s="320"/>
      <c r="O3056" s="309"/>
      <c r="P3056" s="1477">
        <f t="shared" si="361"/>
        <v>0</v>
      </c>
      <c r="S3056" s="364"/>
      <c r="Z3056" s="609" t="s">
        <v>1246</v>
      </c>
      <c r="AA3056" s="609" t="s">
        <v>3720</v>
      </c>
    </row>
    <row r="3057" spans="1:27" ht="18">
      <c r="A3057" s="2714"/>
      <c r="B3057" s="371">
        <v>101.009</v>
      </c>
      <c r="C3057" s="371" t="s">
        <v>2791</v>
      </c>
      <c r="D3057" s="2716">
        <f t="shared" si="360"/>
        <v>1</v>
      </c>
      <c r="E3057" s="2721" t="s">
        <v>5159</v>
      </c>
      <c r="F3057" s="294"/>
      <c r="G3057" s="1485" t="s">
        <v>5179</v>
      </c>
      <c r="H3057" s="309"/>
      <c r="I3057" s="309"/>
      <c r="J3057" s="309"/>
      <c r="K3057" s="309"/>
      <c r="L3057" s="1465">
        <v>0</v>
      </c>
      <c r="M3057" s="309"/>
      <c r="N3057" s="320"/>
      <c r="O3057" s="309"/>
      <c r="P3057" s="1477">
        <f t="shared" si="361"/>
        <v>0</v>
      </c>
      <c r="S3057" s="364"/>
      <c r="Z3057" s="609" t="s">
        <v>1246</v>
      </c>
      <c r="AA3057" s="609" t="s">
        <v>3720</v>
      </c>
    </row>
    <row r="3058" spans="1:27" ht="18">
      <c r="A3058" s="2714"/>
      <c r="B3058" s="371">
        <v>101.01</v>
      </c>
      <c r="C3058" s="371" t="s">
        <v>2791</v>
      </c>
      <c r="D3058" s="2716">
        <f t="shared" si="360"/>
        <v>1</v>
      </c>
      <c r="E3058" s="2721" t="s">
        <v>5159</v>
      </c>
      <c r="F3058" s="294"/>
      <c r="G3058" s="1485" t="s">
        <v>5180</v>
      </c>
      <c r="H3058" s="309"/>
      <c r="I3058" s="309"/>
      <c r="J3058" s="309"/>
      <c r="K3058" s="309"/>
      <c r="L3058" s="1465">
        <v>0</v>
      </c>
      <c r="M3058" s="309"/>
      <c r="N3058" s="320"/>
      <c r="O3058" s="309"/>
      <c r="P3058" s="1477">
        <f t="shared" si="361"/>
        <v>0</v>
      </c>
      <c r="S3058" s="364"/>
      <c r="Z3058" s="609" t="s">
        <v>1246</v>
      </c>
      <c r="AA3058" s="609" t="s">
        <v>3720</v>
      </c>
    </row>
    <row r="3059" spans="1:27" ht="18">
      <c r="A3059" s="2714"/>
      <c r="B3059" s="371">
        <v>101.011</v>
      </c>
      <c r="C3059" s="371" t="s">
        <v>2791</v>
      </c>
      <c r="D3059" s="2716">
        <f t="shared" si="360"/>
        <v>1</v>
      </c>
      <c r="E3059" s="2721" t="s">
        <v>5159</v>
      </c>
      <c r="F3059" s="294"/>
      <c r="G3059" s="1485" t="s">
        <v>5181</v>
      </c>
      <c r="H3059" s="309"/>
      <c r="I3059" s="309"/>
      <c r="J3059" s="309"/>
      <c r="K3059" s="309"/>
      <c r="L3059" s="1465">
        <v>0</v>
      </c>
      <c r="M3059" s="309"/>
      <c r="N3059" s="320"/>
      <c r="O3059" s="309"/>
      <c r="P3059" s="1477">
        <f t="shared" si="361"/>
        <v>0</v>
      </c>
      <c r="S3059" s="364"/>
      <c r="Z3059" s="609" t="s">
        <v>1246</v>
      </c>
      <c r="AA3059" s="609" t="s">
        <v>3720</v>
      </c>
    </row>
    <row r="3060" spans="1:27" ht="18">
      <c r="A3060" s="2714"/>
      <c r="B3060" s="371">
        <v>101.012</v>
      </c>
      <c r="C3060" s="371" t="s">
        <v>2791</v>
      </c>
      <c r="D3060" s="2716">
        <f t="shared" si="360"/>
        <v>1</v>
      </c>
      <c r="E3060" s="2721" t="s">
        <v>5159</v>
      </c>
      <c r="F3060" s="294"/>
      <c r="G3060" s="1485" t="s">
        <v>5182</v>
      </c>
      <c r="H3060" s="309"/>
      <c r="I3060" s="309"/>
      <c r="J3060" s="309"/>
      <c r="K3060" s="309"/>
      <c r="L3060" s="1465">
        <v>0</v>
      </c>
      <c r="M3060" s="309"/>
      <c r="N3060" s="320"/>
      <c r="O3060" s="309"/>
      <c r="P3060" s="1477">
        <f t="shared" si="361"/>
        <v>0</v>
      </c>
      <c r="S3060" s="364"/>
      <c r="Z3060" s="609" t="s">
        <v>1246</v>
      </c>
      <c r="AA3060" s="609" t="s">
        <v>3720</v>
      </c>
    </row>
    <row r="3061" spans="1:27" ht="18">
      <c r="A3061" s="2714"/>
      <c r="B3061" s="371">
        <v>101.999</v>
      </c>
      <c r="C3061" s="371" t="s">
        <v>6562</v>
      </c>
      <c r="D3061" s="2716">
        <f t="shared" si="360"/>
        <v>1</v>
      </c>
      <c r="E3061" s="2721">
        <v>1</v>
      </c>
      <c r="F3061" s="294"/>
      <c r="G3061" s="308" t="s">
        <v>5183</v>
      </c>
      <c r="H3061" s="1476">
        <f>SUMIF($E$3047:$E$3102,$G3061,H$3047:H$3102)</f>
        <v>0</v>
      </c>
      <c r="I3061" s="1476">
        <f>SUMIF($E$3047:$E$3102,$G3061,I$3047:I$3102)</f>
        <v>0</v>
      </c>
      <c r="J3061" s="1476">
        <f>SUMIF($E$3047:$E$3102,$G3061,J$3047:J$3102)</f>
        <v>0</v>
      </c>
      <c r="K3061" s="1476">
        <f>SUMIF($E$3047:$E$3102,$G3061,K$3047:K$3102)</f>
        <v>0</v>
      </c>
      <c r="L3061" s="1483">
        <v>0</v>
      </c>
      <c r="M3061" s="1476">
        <f>SUMIF($E$3047:$E$3102,$G3061,M$3047:M$3102)</f>
        <v>0</v>
      </c>
      <c r="N3061" s="1476">
        <f>SUMIF($E$3047:$E$3102,$G3061,N$3047:N$3102)</f>
        <v>0</v>
      </c>
      <c r="O3061" s="1476">
        <f>SUMIF($E$3047:$E$3102,$G3061,O$3047:O$3102)</f>
        <v>0</v>
      </c>
      <c r="P3061" s="1477">
        <f>SUMIF($E$3047:$E$3102,$G3061,P$3047:P$3102)</f>
        <v>0</v>
      </c>
      <c r="S3061" s="364"/>
      <c r="Z3061" s="609" t="s">
        <v>1246</v>
      </c>
      <c r="AA3061" s="609" t="s">
        <v>3720</v>
      </c>
    </row>
    <row r="3062" spans="1:27" ht="18">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8">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8">
      <c r="A3066" s="2714"/>
      <c r="B3066" s="371">
        <v>102.004</v>
      </c>
      <c r="C3066" s="371" t="s">
        <v>2791</v>
      </c>
      <c r="D3066" s="2716">
        <f t="shared" si="360"/>
        <v>1</v>
      </c>
      <c r="E3066" s="2721" t="s">
        <v>568</v>
      </c>
      <c r="F3066" s="294"/>
      <c r="G3066" s="1485" t="str">
        <f>G$3052&amp;" "</f>
        <v xml:space="preserve">计算机软件 </v>
      </c>
      <c r="H3066" s="309"/>
      <c r="I3066" s="1465">
        <v>0</v>
      </c>
      <c r="J3066" s="1465">
        <v>0</v>
      </c>
      <c r="K3066" s="1465">
        <v>0</v>
      </c>
      <c r="L3066" s="309"/>
      <c r="M3066" s="309"/>
      <c r="N3066" s="320"/>
      <c r="O3066" s="309"/>
      <c r="P3066" s="1477">
        <f t="shared" si="362"/>
        <v>0</v>
      </c>
      <c r="S3066" s="364"/>
      <c r="Z3066" s="609" t="s">
        <v>1246</v>
      </c>
      <c r="AA3066" s="609" t="s">
        <v>3720</v>
      </c>
    </row>
    <row r="3067" spans="1:27" ht="18">
      <c r="A3067" s="2714"/>
      <c r="B3067" s="371">
        <v>102.005</v>
      </c>
      <c r="C3067" s="371" t="s">
        <v>2791</v>
      </c>
      <c r="D3067" s="2716">
        <f t="shared" si="360"/>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2"/>
        <v>0</v>
      </c>
      <c r="S3067" s="364"/>
      <c r="Z3067" s="609" t="s">
        <v>1246</v>
      </c>
      <c r="AA3067" s="609" t="s">
        <v>3720</v>
      </c>
    </row>
    <row r="3068" spans="1:27" ht="18">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8">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8">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8">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8">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8">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8">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8">
      <c r="A3075" s="2714"/>
      <c r="B3075" s="371">
        <v>102.999</v>
      </c>
      <c r="C3075" s="371" t="s">
        <v>2793</v>
      </c>
      <c r="D3075" s="2716">
        <f t="shared" si="360"/>
        <v>1</v>
      </c>
      <c r="E3075" s="2721">
        <v>-1</v>
      </c>
      <c r="F3075" s="294"/>
      <c r="G3075" s="308" t="s">
        <v>5184</v>
      </c>
      <c r="H3075" s="1476">
        <f>SUMIF($E$3047:$E$3102,$G3075,H$3047:H$3102)</f>
        <v>0</v>
      </c>
      <c r="I3075" s="1483">
        <v>0</v>
      </c>
      <c r="J3075" s="1483">
        <v>0</v>
      </c>
      <c r="K3075" s="1483">
        <v>0</v>
      </c>
      <c r="L3075" s="1476">
        <f>SUMIF($E$3047:$E$3102,$G3075,L$3047:L$3102)</f>
        <v>0</v>
      </c>
      <c r="M3075" s="1476">
        <f>SUMIF($E$3047:$E$3102,$G3075,M$3047:M$3102)</f>
        <v>0</v>
      </c>
      <c r="N3075" s="1476">
        <f>SUMIF($E$3047:$E$3102,$G3075,N$3047:N$3102)</f>
        <v>0</v>
      </c>
      <c r="O3075" s="1476">
        <f>SUMIF($E$3047:$E$3102,$G3075,O$3047:O$3102)</f>
        <v>0</v>
      </c>
      <c r="P3075" s="1477">
        <f>SUMIF($E$3047:$E$3102,$G3075,P$3047:P$3102)</f>
        <v>0</v>
      </c>
      <c r="S3075" s="364"/>
      <c r="Z3075" s="609" t="s">
        <v>1246</v>
      </c>
      <c r="AA3075" s="609" t="s">
        <v>3720</v>
      </c>
    </row>
    <row r="3076" spans="1:27" ht="18">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8">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8">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8">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8">
      <c r="A3081" s="2714"/>
      <c r="B3081" s="371">
        <v>103.005</v>
      </c>
      <c r="C3081" s="371" t="s">
        <v>2791</v>
      </c>
      <c r="D3081" s="2716">
        <f t="shared" si="363"/>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2"/>
        <v>0</v>
      </c>
      <c r="S3081" s="364"/>
      <c r="Z3081" s="609" t="s">
        <v>1246</v>
      </c>
      <c r="AA3081" s="609" t="s">
        <v>3720</v>
      </c>
    </row>
    <row r="3082" spans="1:27" ht="18">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8">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8">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8">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8">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8">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8">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8">
      <c r="A3089" s="2714"/>
      <c r="B3089" s="371">
        <v>103.999</v>
      </c>
      <c r="C3089" s="371" t="s">
        <v>2793</v>
      </c>
      <c r="D3089" s="2716">
        <f t="shared" si="363"/>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HYPERLINK("#'"&amp;$G$1&amp;"'!"&amp;ADDRESS(ROW(Notes!L4891),COLUMN(Notes!L4891),4),"*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8">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8">
      <c r="A3094" s="2714"/>
      <c r="B3094" s="371">
        <v>108</v>
      </c>
      <c r="C3094" s="371" t="s">
        <v>2791</v>
      </c>
      <c r="D3094" s="2716">
        <f t="shared" si="363"/>
        <v>1</v>
      </c>
      <c r="E3094" s="2721">
        <v>0</v>
      </c>
      <c r="F3094" s="294"/>
      <c r="G3094" s="1485" t="str">
        <f>G$3052&amp;"   "</f>
        <v xml:space="preserve">计算机软件   </v>
      </c>
      <c r="H3094" s="1476">
        <f t="shared" si="364"/>
        <v>0</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8">
      <c r="A3095" s="2714"/>
      <c r="B3095" s="371">
        <v>109</v>
      </c>
      <c r="C3095" s="371" t="s">
        <v>2791</v>
      </c>
      <c r="D3095" s="2716">
        <f t="shared" si="363"/>
        <v>1</v>
      </c>
      <c r="E3095" s="2721">
        <v>0</v>
      </c>
      <c r="F3095" s="294"/>
      <c r="G3095" s="1485" t="str">
        <f>G$3053&amp;"   "</f>
        <v xml:space="preserve">*5（在原值处修改清除）   </v>
      </c>
      <c r="H3095" s="1476">
        <f t="shared" si="364"/>
        <v>0</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8">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8">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8">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8">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8">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8">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8">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8.75" thickBot="1">
      <c r="A3103" s="2714"/>
      <c r="B3103" s="371"/>
      <c r="C3103" s="371"/>
      <c r="D3103" s="2716">
        <f t="shared" si="363"/>
        <v>1</v>
      </c>
      <c r="E3103" s="2721" t="s">
        <v>3032</v>
      </c>
      <c r="F3103" s="294"/>
      <c r="G3103" s="2382" t="s">
        <v>5186</v>
      </c>
      <c r="H3103" s="1478">
        <f>SUMPRODUCT($E3047:$E3102,H3047:H3102)</f>
        <v>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5367</v>
      </c>
      <c r="H3106" s="1550"/>
      <c r="I3106" s="1551"/>
      <c r="J3106" s="1551"/>
      <c r="K3106" s="1551"/>
      <c r="L3106" s="1551"/>
      <c r="M3106" s="1551"/>
      <c r="N3106" s="1551"/>
      <c r="O3106" s="1551"/>
      <c r="P3106" s="1552"/>
      <c r="Q3106" s="1553" t="s">
        <v>5368</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5292</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6531</v>
      </c>
      <c r="F3126" s="294"/>
      <c r="G3126" s="372" t="str">
        <f>"("&amp;B3126&amp;")"&amp;D3126</f>
        <v>(3)未办妥产权证书的土地使用权及其累计摊销明细项目</v>
      </c>
      <c r="H3126" s="1517" t="str">
        <f>$A3126</f>
        <v>1701e</v>
      </c>
      <c r="I3126" s="343" t="s">
        <v>5966</v>
      </c>
      <c r="J3126" s="301"/>
      <c r="K3126" s="3084"/>
      <c r="L3126" s="345"/>
      <c r="M3126" s="301"/>
      <c r="N3126" s="3084"/>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6176</v>
      </c>
      <c r="N3128" s="532"/>
      <c r="S3128" s="364"/>
      <c r="Z3128" s="609" t="s">
        <v>1246</v>
      </c>
      <c r="AA3128" s="609" t="s">
        <v>3720</v>
      </c>
    </row>
    <row r="3129" spans="1:27" ht="18">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6053</v>
      </c>
      <c r="B3136" s="371">
        <v>4</v>
      </c>
      <c r="C3136" s="371"/>
      <c r="D3136" s="2716" t="str">
        <f>VLOOKUP($A3136,Sheet_NoteList,2,0)</f>
        <v>无形资产抵押或担保情况</v>
      </c>
      <c r="E3136" s="2716" t="s">
        <v>6531</v>
      </c>
      <c r="F3136" s="293"/>
      <c r="G3136" s="372" t="str">
        <f>"("&amp;B3136&amp;")"&amp;D3136</f>
        <v>(4)无形资产抵押或担保情况</v>
      </c>
      <c r="H3136" s="1517" t="str">
        <f>$A3136</f>
        <v>1701g</v>
      </c>
      <c r="I3136" s="343" t="s">
        <v>6057</v>
      </c>
      <c r="J3136" s="301" t="s">
        <v>6058</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6060</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6176</v>
      </c>
      <c r="N3138" s="391"/>
      <c r="O3138" s="349"/>
      <c r="P3138" s="301"/>
      <c r="S3138" s="364"/>
      <c r="Z3138" s="609" t="s">
        <v>1246</v>
      </c>
      <c r="AA3138" s="609" t="s">
        <v>3720</v>
      </c>
    </row>
    <row r="3139" spans="1:27" ht="18">
      <c r="A3139" s="2714"/>
      <c r="B3139" s="371">
        <v>101</v>
      </c>
      <c r="C3139" s="371" t="s">
        <v>2791</v>
      </c>
      <c r="D3139" s="2716">
        <f t="shared" ref="D3139:D3147" si="368">IF(OR(G3139="*",G3139="",G3139=0),0,COUNTIF($G$3139:$G$3147,G3139))</f>
        <v>1</v>
      </c>
      <c r="E3139" s="2721">
        <v>1</v>
      </c>
      <c r="F3139" s="293"/>
      <c r="G3139" s="2375" t="s">
        <v>6063</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68"/>
        <v>1</v>
      </c>
      <c r="E3142" s="2721">
        <v>1</v>
      </c>
      <c r="F3142" s="293"/>
      <c r="G3142" s="2375" t="s">
        <v>6062</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6054</v>
      </c>
      <c r="B3149" s="371">
        <v>5</v>
      </c>
      <c r="C3149" s="371"/>
      <c r="D3149" s="2716" t="str">
        <f>VLOOKUP($A3149,Sheet_NoteList,2,0)</f>
        <v>无形资产补充资料</v>
      </c>
      <c r="E3149" s="2716" t="s">
        <v>6531</v>
      </c>
      <c r="F3149" s="293"/>
      <c r="G3149" s="372" t="str">
        <f>"("&amp;B3149&amp;")"&amp;D3149</f>
        <v>(5)无形资产补充资料</v>
      </c>
      <c r="H3149" s="1517" t="str">
        <f>$A3149</f>
        <v>1701h</v>
      </c>
      <c r="I3149" s="343" t="s">
        <v>6057</v>
      </c>
      <c r="J3149" s="301" t="s">
        <v>6058</v>
      </c>
      <c r="K3149" s="2210">
        <f>H3160</f>
        <v>0</v>
      </c>
      <c r="L3149" s="349" t="str">
        <f>IF($I3149="适用",IF(ROUND(K$3042-K3149,2)=0,"F/S",ROUND(K$3042-K3149,2)),"#N/A")</f>
        <v>F/S</v>
      </c>
      <c r="M3149" s="301" t="s">
        <v>6059</v>
      </c>
      <c r="N3149" s="2210">
        <f>I3160</f>
        <v>0</v>
      </c>
      <c r="O3149" s="349" t="str">
        <f>IF($I3149="适用",IF(ROUND(N$3042-N3149,2)=0,"F/S",ROUND(N$3042-N3149,2)),"#N/A")</f>
        <v>F/S</v>
      </c>
      <c r="P3149" s="301"/>
      <c r="S3149" s="364"/>
      <c r="Z3149" s="609" t="s">
        <v>1246</v>
      </c>
      <c r="AA3149" s="609" t="s">
        <v>3720</v>
      </c>
    </row>
    <row r="3150" spans="1:27" ht="0.75" customHeight="1" thickBot="1">
      <c r="A3150" s="2714"/>
      <c r="B3150" s="371"/>
      <c r="C3150" s="371"/>
      <c r="D3150" s="2716"/>
      <c r="E3150" s="586"/>
      <c r="F3150" s="586"/>
      <c r="G3150" s="2224" t="s">
        <v>6061</v>
      </c>
      <c r="H3150" s="1617"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4"/>
      <c r="B3151" s="371"/>
      <c r="C3151" s="371"/>
      <c r="D3151" s="2716"/>
      <c r="E3151" s="586" t="s">
        <v>2749</v>
      </c>
      <c r="F3151" s="414"/>
      <c r="G3151" s="2363" t="s">
        <v>47</v>
      </c>
      <c r="H3151" s="2364" t="s">
        <v>6064</v>
      </c>
      <c r="I3151" s="2364" t="s">
        <v>6065</v>
      </c>
      <c r="J3151" s="2364" t="s">
        <v>2544</v>
      </c>
      <c r="K3151" s="1643" t="s">
        <v>6040</v>
      </c>
      <c r="L3151" s="1643" t="s">
        <v>6041</v>
      </c>
      <c r="M3151" s="2364" t="s">
        <v>2549</v>
      </c>
      <c r="N3151" s="1643" t="s">
        <v>6042</v>
      </c>
      <c r="O3151" s="1643" t="s">
        <v>6043</v>
      </c>
      <c r="P3151" s="2365" t="s">
        <v>3277</v>
      </c>
      <c r="Q3151" s="355" t="s">
        <v>6176</v>
      </c>
      <c r="S3151" s="364"/>
      <c r="Z3151" s="609" t="s">
        <v>1246</v>
      </c>
      <c r="AA3151" s="609" t="s">
        <v>3720</v>
      </c>
    </row>
    <row r="3152" spans="1:27" ht="18">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6531</v>
      </c>
      <c r="F3162" s="294"/>
      <c r="G3162" s="372" t="str">
        <f>"("&amp;B3162&amp;")"&amp;D3162</f>
        <v>(6)无形资产累计摊销补充资料</v>
      </c>
      <c r="H3162" s="1517" t="str">
        <f>$A3162</f>
        <v>1701x</v>
      </c>
      <c r="I3162" s="343" t="s">
        <v>5966</v>
      </c>
      <c r="J3162" s="301"/>
      <c r="K3162" s="3084"/>
      <c r="L3162" s="315"/>
      <c r="M3162" s="301"/>
      <c r="N3162" s="3084"/>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6176</v>
      </c>
      <c r="K3164" s="532"/>
      <c r="L3164" s="532"/>
      <c r="M3164" s="532"/>
      <c r="S3164" s="364"/>
      <c r="Z3164" s="609" t="s">
        <v>1246</v>
      </c>
      <c r="AA3164" s="609" t="s">
        <v>3720</v>
      </c>
    </row>
    <row r="3165" spans="1:27" ht="18">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8.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5666</v>
      </c>
    </row>
    <row r="3175" spans="1:27" ht="18">
      <c r="A3175" s="2714" t="s">
        <v>6566</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0</v>
      </c>
      <c r="L3175" s="345" t="str">
        <f>IF($I3175="适用",IF(ROUND(K3174-K3175,2)=0,"F/S",ROUND(K3174-K3175,2)),"#N/A")</f>
        <v>F/S</v>
      </c>
      <c r="M3175" s="301" t="s">
        <v>2745</v>
      </c>
      <c r="N3175" s="2210">
        <f>H3185</f>
        <v>0</v>
      </c>
      <c r="O3175" s="345" t="str">
        <f>IF($I3175="适用",IF(ROUND(N3174-N3175,2)=0,"F/S",ROUND(N3174-N3175,2)),"#N/A")</f>
        <v>F/S</v>
      </c>
      <c r="P3175" s="301"/>
      <c r="Q3175" s="290" t="str">
        <f>IF($I3175="不适用","",IF(ROUND(SUM($H$3180:$P$3185),2)=0,"请输入",""))</f>
        <v>请输入</v>
      </c>
      <c r="S3175" s="364"/>
      <c r="Z3175" s="609" t="s">
        <v>3728</v>
      </c>
      <c r="AA3175" s="609" t="s">
        <v>5666</v>
      </c>
    </row>
    <row r="3176" spans="1:27" ht="0.75" customHeight="1">
      <c r="A3176" s="2714"/>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4"/>
      <c r="B3178" s="371"/>
      <c r="C3178" s="371"/>
      <c r="D3178" s="371"/>
      <c r="E3178" s="2716" t="s">
        <v>2749</v>
      </c>
      <c r="F3178" s="294"/>
      <c r="G3178" s="3327" t="s">
        <v>47</v>
      </c>
      <c r="H3178" s="3289" t="str">
        <f>$V$3</f>
        <v>2018年12月31日</v>
      </c>
      <c r="I3178" s="3288" t="s">
        <v>3027</v>
      </c>
      <c r="J3178" s="3288"/>
      <c r="K3178" s="3288" t="s">
        <v>3028</v>
      </c>
      <c r="L3178" s="3288"/>
      <c r="M3178" s="3232" t="str">
        <f>$V$2</f>
        <v>2019年12月31日</v>
      </c>
      <c r="N3178" s="3260" t="s">
        <v>3742</v>
      </c>
      <c r="O3178" s="3260" t="s">
        <v>3743</v>
      </c>
      <c r="P3178" s="3230" t="s">
        <v>3744</v>
      </c>
      <c r="Q3178" s="355" t="s">
        <v>5293</v>
      </c>
      <c r="R3178" s="367"/>
      <c r="S3178" s="364"/>
      <c r="Z3178" s="609" t="s">
        <v>3728</v>
      </c>
      <c r="AA3178" s="609" t="s">
        <v>5666</v>
      </c>
    </row>
    <row r="3179" spans="1:27" ht="18">
      <c r="A3179" s="2714"/>
      <c r="B3179" s="371"/>
      <c r="C3179" s="371"/>
      <c r="D3179" s="371"/>
      <c r="E3179" s="2716" t="s">
        <v>2749</v>
      </c>
      <c r="F3179" s="294"/>
      <c r="G3179" s="3328"/>
      <c r="H3179" s="3290"/>
      <c r="I3179" s="554" t="s">
        <v>3745</v>
      </c>
      <c r="J3179" s="587" t="s">
        <v>3704</v>
      </c>
      <c r="K3179" s="554" t="s">
        <v>3746</v>
      </c>
      <c r="L3179" s="1491" t="s">
        <v>5200</v>
      </c>
      <c r="M3179" s="3233"/>
      <c r="N3179" s="3261"/>
      <c r="O3179" s="3261"/>
      <c r="P3179" s="3231"/>
      <c r="Q3179" s="367"/>
      <c r="R3179" s="367"/>
      <c r="S3179" s="364"/>
      <c r="Z3179" s="609" t="s">
        <v>3728</v>
      </c>
      <c r="AA3179" s="609" t="s">
        <v>5666</v>
      </c>
    </row>
    <row r="3180" spans="1:27" ht="18">
      <c r="A3180" s="2714"/>
      <c r="B3180" s="371">
        <v>101</v>
      </c>
      <c r="C3180" s="371" t="s">
        <v>2791</v>
      </c>
      <c r="D3180" s="2716">
        <f t="shared" ref="D3180:D3185" si="371">IF(OR(G3180="*",G3180="",G3180=0),0,COUNTIF($G$3180:$G$3185,G3180))</f>
        <v>0</v>
      </c>
      <c r="E3180" s="2721">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5666</v>
      </c>
    </row>
    <row r="3181" spans="1:27" ht="18">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8">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8">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8">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8.75" thickBot="1">
      <c r="A3185" s="2714"/>
      <c r="B3185" s="371"/>
      <c r="C3185" s="371"/>
      <c r="D3185" s="2716">
        <f t="shared" si="371"/>
        <v>1</v>
      </c>
      <c r="E3185" s="2721"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91"/>
      <c r="O3185" s="2591"/>
      <c r="P3185" s="2592"/>
      <c r="Q3185" s="367"/>
      <c r="R3185" s="367"/>
      <c r="S3185" s="364"/>
      <c r="Z3185" s="609" t="s">
        <v>3728</v>
      </c>
      <c r="AA3185" s="609" t="s">
        <v>5666</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4"/>
      <c r="B3191" s="371"/>
      <c r="C3191" s="371"/>
      <c r="D3191" s="371"/>
      <c r="E3191" s="586" t="s">
        <v>2749</v>
      </c>
      <c r="F3191" s="2343"/>
      <c r="G3191" s="3286" t="s">
        <v>3752</v>
      </c>
      <c r="H3191" s="3207" t="str">
        <f>$V$3</f>
        <v>2018年12月31日</v>
      </c>
      <c r="I3191" s="3254" t="s">
        <v>3027</v>
      </c>
      <c r="J3191" s="3254"/>
      <c r="K3191" s="3254" t="s">
        <v>3028</v>
      </c>
      <c r="L3191" s="3254"/>
      <c r="M3191" s="3299" t="str">
        <f>$V$2</f>
        <v>2019年12月31日</v>
      </c>
      <c r="N3191" s="355" t="s">
        <v>5294</v>
      </c>
      <c r="P3191" s="291"/>
      <c r="S3191" s="364"/>
      <c r="Z3191" s="609" t="s">
        <v>1296</v>
      </c>
      <c r="AA3191" s="609" t="s">
        <v>5667</v>
      </c>
    </row>
    <row r="3192" spans="1:27" ht="18">
      <c r="A3192" s="2714"/>
      <c r="B3192" s="371"/>
      <c r="C3192" s="371"/>
      <c r="D3192" s="371"/>
      <c r="E3192" s="586" t="s">
        <v>2749</v>
      </c>
      <c r="F3192" s="363"/>
      <c r="G3192" s="3287"/>
      <c r="H3192" s="3208"/>
      <c r="I3192" s="2369" t="s">
        <v>6067</v>
      </c>
      <c r="J3192" s="2369" t="s">
        <v>3704</v>
      </c>
      <c r="K3192" s="2369" t="s">
        <v>3596</v>
      </c>
      <c r="L3192" s="2369" t="s">
        <v>3658</v>
      </c>
      <c r="M3192" s="3300"/>
      <c r="P3192" s="291"/>
      <c r="S3192" s="364"/>
      <c r="Z3192" s="609" t="s">
        <v>1296</v>
      </c>
      <c r="AA3192" s="609" t="s">
        <v>5667</v>
      </c>
    </row>
    <row r="3193" spans="1:27" ht="18">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5667</v>
      </c>
    </row>
    <row r="3194" spans="1:27" ht="18">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5667</v>
      </c>
    </row>
    <row r="3195" spans="1:27" ht="18">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5667</v>
      </c>
    </row>
    <row r="3196" spans="1:27" ht="18">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5667</v>
      </c>
    </row>
    <row r="3197" spans="1:27" ht="18">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5667</v>
      </c>
    </row>
    <row r="3198" spans="1:27" ht="18.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5667</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5667</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4"/>
      <c r="B3203" s="371"/>
      <c r="C3203" s="371"/>
      <c r="D3203" s="371"/>
      <c r="E3203" s="586" t="s">
        <v>2749</v>
      </c>
      <c r="F3203" s="2343"/>
      <c r="G3203" s="3286" t="s">
        <v>3752</v>
      </c>
      <c r="H3203" s="3207" t="str">
        <f>$V$3</f>
        <v>2018年12月31日</v>
      </c>
      <c r="I3203" s="3254" t="s">
        <v>3027</v>
      </c>
      <c r="J3203" s="3254"/>
      <c r="K3203" s="3254" t="s">
        <v>3028</v>
      </c>
      <c r="L3203" s="3254"/>
      <c r="M3203" s="3299" t="str">
        <f>$V$2</f>
        <v>2019年12月31日</v>
      </c>
      <c r="N3203" s="355" t="s">
        <v>5294</v>
      </c>
      <c r="P3203" s="291"/>
      <c r="S3203" s="364"/>
      <c r="Z3203" s="609" t="s">
        <v>1296</v>
      </c>
      <c r="AA3203" s="609" t="s">
        <v>5667</v>
      </c>
    </row>
    <row r="3204" spans="1:34" ht="18">
      <c r="A3204" s="2714"/>
      <c r="B3204" s="371"/>
      <c r="C3204" s="371"/>
      <c r="D3204" s="371"/>
      <c r="E3204" s="586" t="s">
        <v>2749</v>
      </c>
      <c r="F3204" s="363"/>
      <c r="G3204" s="3287"/>
      <c r="H3204" s="3208"/>
      <c r="I3204" s="2369" t="s">
        <v>2920</v>
      </c>
      <c r="J3204" s="2369" t="s">
        <v>3704</v>
      </c>
      <c r="K3204" s="2369" t="s">
        <v>3596</v>
      </c>
      <c r="L3204" s="2369" t="s">
        <v>3658</v>
      </c>
      <c r="M3204" s="3300"/>
      <c r="P3204" s="291"/>
      <c r="S3204" s="364"/>
      <c r="Z3204" s="609" t="s">
        <v>1296</v>
      </c>
      <c r="AA3204" s="609" t="s">
        <v>5667</v>
      </c>
    </row>
    <row r="3205" spans="1:34" ht="18">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5667</v>
      </c>
    </row>
    <row r="3206" spans="1:34" ht="18">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5667</v>
      </c>
    </row>
    <row r="3207" spans="1:34" ht="18">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5667</v>
      </c>
    </row>
    <row r="3208" spans="1:34" ht="18">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5667</v>
      </c>
    </row>
    <row r="3209" spans="1:34" ht="18">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5667</v>
      </c>
    </row>
    <row r="3210" spans="1:34" ht="18.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HYPERLINK("#'"&amp;$G$1&amp;"'!"&amp;ADDRESS(ROW(Notes!L4892),COLUMN(Notes!L4892),4),"* 请勿删除此行！点击往勾稽单元格，F5+Enter返回")</f>
        <v>* 请勿删除此行！点击往勾稽单元格，F5+Enter返回</v>
      </c>
      <c r="O3210" s="291"/>
      <c r="P3210" s="291"/>
      <c r="S3210" s="364"/>
      <c r="Z3210" s="609" t="s">
        <v>1296</v>
      </c>
      <c r="AA3210" s="609" t="s">
        <v>5667</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5668</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0</v>
      </c>
      <c r="O3213" s="345" t="str">
        <f>IF($I3213="适用",IF(ROUND(N3212-N3213,2)=0,"F/S",ROUND(N3212-N3213,2)),"#N/A")</f>
        <v>F/S</v>
      </c>
      <c r="P3213" s="301"/>
      <c r="Q3213" s="290" t="str">
        <f>IF($I3213="不适用","",IF(ROUND(SUM($H$3218:$M$3223),2)=0,"请输入",""))</f>
        <v>请输入</v>
      </c>
      <c r="S3213" s="364"/>
      <c r="Z3213" s="609" t="s">
        <v>1306</v>
      </c>
      <c r="AA3213" s="609" t="s">
        <v>5668</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314" t="s">
        <v>47</v>
      </c>
      <c r="H3216" s="3316" t="str">
        <f>$V$3</f>
        <v>2018年12月31日</v>
      </c>
      <c r="I3216" s="3304" t="s">
        <v>3027</v>
      </c>
      <c r="J3216" s="3211" t="s">
        <v>3028</v>
      </c>
      <c r="K3216" s="3211"/>
      <c r="L3216" s="3271"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8">
      <c r="A3217" s="2714"/>
      <c r="B3217" s="371"/>
      <c r="C3217" s="371"/>
      <c r="D3217" s="371"/>
      <c r="E3217" s="2716" t="s">
        <v>2749</v>
      </c>
      <c r="F3217" s="294"/>
      <c r="G3217" s="3315"/>
      <c r="H3217" s="3317"/>
      <c r="I3217" s="3305"/>
      <c r="J3217" s="558" t="s">
        <v>3759</v>
      </c>
      <c r="K3217" s="1492" t="s">
        <v>5201</v>
      </c>
      <c r="L3217" s="3272"/>
      <c r="M3217" s="571"/>
      <c r="N3217" s="574"/>
      <c r="O3217" s="472"/>
      <c r="P3217" s="472"/>
      <c r="Q3217" s="442"/>
      <c r="R3217" s="443"/>
      <c r="S3217" s="364"/>
      <c r="Z3217" s="609" t="s">
        <v>1306</v>
      </c>
      <c r="AA3217" s="609" t="s">
        <v>5668</v>
      </c>
    </row>
    <row r="3218" spans="1:27" ht="18">
      <c r="A3218" s="2714"/>
      <c r="B3218" s="371">
        <v>101</v>
      </c>
      <c r="C3218" s="371" t="s">
        <v>2791</v>
      </c>
      <c r="D3218" s="2716">
        <f t="shared" ref="D3218:D3223" si="377">IF(OR(G3218="*",G3218="",G3218=0),0,COUNTIF($G$3218:$G$3223,G3218))</f>
        <v>0</v>
      </c>
      <c r="E3218" s="2721">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5668</v>
      </c>
    </row>
    <row r="3219" spans="1:27" ht="18">
      <c r="A3219" s="2714"/>
      <c r="B3219" s="371">
        <v>102</v>
      </c>
      <c r="C3219" s="371" t="s">
        <v>2791</v>
      </c>
      <c r="D3219" s="2716">
        <f t="shared" si="377"/>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5668</v>
      </c>
    </row>
    <row r="3220" spans="1:27" ht="18">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8">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8">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8.75" thickBot="1">
      <c r="A3223" s="2714"/>
      <c r="B3223" s="371"/>
      <c r="C3223" s="371"/>
      <c r="D3223" s="2716">
        <f t="shared" si="377"/>
        <v>1</v>
      </c>
      <c r="E3223" s="2721"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5668</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8">
      <c r="A3225" s="2714" t="s">
        <v>1310</v>
      </c>
      <c r="B3225" s="371">
        <v>2</v>
      </c>
      <c r="C3225" s="371"/>
      <c r="D3225" s="2716" t="str">
        <f>VLOOKUP($A3225,Sheet_NoteList,2,0)</f>
        <v>长期待摊费用补充资料</v>
      </c>
      <c r="E3225" s="2716" t="s">
        <v>6531</v>
      </c>
      <c r="F3225" s="294"/>
      <c r="G3225" s="307" t="str">
        <f>"("&amp;B3225&amp;")"&amp;D3225</f>
        <v>(2)长期待摊费用补充资料</v>
      </c>
      <c r="H3225" s="1517"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5668</v>
      </c>
    </row>
    <row r="3227" spans="1:27" ht="18">
      <c r="A3227" s="2714"/>
      <c r="B3227" s="371"/>
      <c r="C3227" s="371"/>
      <c r="D3227" s="371"/>
      <c r="E3227" s="2716" t="s">
        <v>2749</v>
      </c>
      <c r="F3227" s="294"/>
      <c r="G3227" s="2386" t="s">
        <v>47</v>
      </c>
      <c r="H3227" s="2387" t="s">
        <v>2887</v>
      </c>
      <c r="I3227" s="2388" t="s">
        <v>2508</v>
      </c>
      <c r="J3227" s="355" t="s">
        <v>6176</v>
      </c>
      <c r="O3227" s="291"/>
      <c r="P3227" s="291"/>
      <c r="S3227" s="364"/>
      <c r="Z3227" s="609" t="s">
        <v>1306</v>
      </c>
      <c r="AA3227" s="609" t="s">
        <v>5668</v>
      </c>
    </row>
    <row r="3228" spans="1:27" ht="18">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5668</v>
      </c>
    </row>
    <row r="3229" spans="1:27" ht="18">
      <c r="A3229" s="2714"/>
      <c r="B3229" s="371">
        <v>102</v>
      </c>
      <c r="C3229" s="371"/>
      <c r="D3229" s="2716">
        <f t="shared" si="378"/>
        <v>1</v>
      </c>
      <c r="E3229" s="2721">
        <v>-1</v>
      </c>
      <c r="F3229" s="294"/>
      <c r="G3229" s="308" t="s">
        <v>3762</v>
      </c>
      <c r="H3229" s="309"/>
      <c r="I3229" s="388"/>
      <c r="O3229" s="291"/>
      <c r="P3229" s="291"/>
      <c r="S3229" s="364"/>
      <c r="Z3229" s="609" t="s">
        <v>1306</v>
      </c>
      <c r="AA3229" s="609" t="s">
        <v>5668</v>
      </c>
    </row>
    <row r="3230" spans="1:27" ht="18">
      <c r="A3230" s="2714"/>
      <c r="B3230" s="371">
        <v>103</v>
      </c>
      <c r="C3230" s="371" t="s">
        <v>2791</v>
      </c>
      <c r="D3230" s="2716">
        <f t="shared" si="378"/>
        <v>1</v>
      </c>
      <c r="E3230" s="2721">
        <v>1</v>
      </c>
      <c r="F3230" s="294"/>
      <c r="G3230" s="578" t="s">
        <v>685</v>
      </c>
      <c r="H3230" s="309"/>
      <c r="I3230" s="388"/>
      <c r="O3230" s="291"/>
      <c r="P3230" s="291"/>
      <c r="S3230" s="364"/>
      <c r="Z3230" s="609" t="s">
        <v>1306</v>
      </c>
      <c r="AA3230" s="609" t="s">
        <v>5668</v>
      </c>
    </row>
    <row r="3231" spans="1:27" ht="18">
      <c r="A3231" s="2714"/>
      <c r="B3231" s="371">
        <v>104</v>
      </c>
      <c r="C3231" s="371" t="s">
        <v>2791</v>
      </c>
      <c r="D3231" s="2716">
        <f t="shared" si="378"/>
        <v>1</v>
      </c>
      <c r="E3231" s="2721">
        <v>1</v>
      </c>
      <c r="F3231" s="294"/>
      <c r="G3231" s="578" t="s">
        <v>680</v>
      </c>
      <c r="H3231" s="309"/>
      <c r="I3231" s="388"/>
      <c r="O3231" s="291"/>
      <c r="P3231" s="291"/>
      <c r="S3231" s="364"/>
      <c r="Z3231" s="609" t="s">
        <v>1306</v>
      </c>
      <c r="AA3231" s="609" t="s">
        <v>5668</v>
      </c>
    </row>
    <row r="3232" spans="1:27" ht="18">
      <c r="A3232" s="2714"/>
      <c r="B3232" s="371">
        <v>105</v>
      </c>
      <c r="C3232" s="371" t="s">
        <v>2791</v>
      </c>
      <c r="D3232" s="2716">
        <f t="shared" si="378"/>
        <v>1</v>
      </c>
      <c r="E3232" s="2721">
        <v>1</v>
      </c>
      <c r="F3232" s="294"/>
      <c r="G3232" s="578" t="s">
        <v>362</v>
      </c>
      <c r="H3232" s="309"/>
      <c r="I3232" s="388"/>
      <c r="O3232" s="291"/>
      <c r="P3232" s="291"/>
      <c r="S3232" s="364"/>
      <c r="Z3232" s="609" t="s">
        <v>1306</v>
      </c>
      <c r="AA3232" s="609" t="s">
        <v>5668</v>
      </c>
    </row>
    <row r="3233" spans="1:27" ht="18">
      <c r="A3233" s="2714"/>
      <c r="B3233" s="371">
        <v>106</v>
      </c>
      <c r="C3233" s="371" t="s">
        <v>2791</v>
      </c>
      <c r="D3233" s="2716">
        <f t="shared" si="378"/>
        <v>1</v>
      </c>
      <c r="E3233" s="2721">
        <v>1</v>
      </c>
      <c r="F3233" s="294"/>
      <c r="G3233" s="578" t="s">
        <v>369</v>
      </c>
      <c r="H3233" s="309"/>
      <c r="I3233" s="388"/>
      <c r="O3233" s="291"/>
      <c r="P3233" s="291"/>
      <c r="S3233" s="364"/>
      <c r="Z3233" s="609" t="s">
        <v>1306</v>
      </c>
      <c r="AA3233" s="609" t="s">
        <v>5668</v>
      </c>
    </row>
    <row r="3234" spans="1:27" ht="18">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5668</v>
      </c>
    </row>
    <row r="3235" spans="1:27" ht="18.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5668</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937117.56</v>
      </c>
      <c r="L3238" s="541"/>
      <c r="M3238" s="540" t="s">
        <v>2741</v>
      </c>
      <c r="N3238" s="341">
        <f>VLOOKUP($A3238,Sheet_Trialbal,10,0)</f>
        <v>937117.56</v>
      </c>
      <c r="O3238" s="542"/>
      <c r="S3238" s="364"/>
      <c r="Z3238" s="609" t="s">
        <v>3763</v>
      </c>
      <c r="AA3238" s="609" t="s">
        <v>5669</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937117.56</v>
      </c>
      <c r="L3240" s="345" t="str">
        <f>IF($I3240="适用",IF(ROUND(K3238-K3240,2)=0,"F/S",ROUND(K3238-K3240,2)),"#N/A")</f>
        <v>F/S</v>
      </c>
      <c r="M3240" s="301" t="s">
        <v>2745</v>
      </c>
      <c r="N3240" s="2210">
        <f>K3254</f>
        <v>937117.56</v>
      </c>
      <c r="O3240" s="345" t="str">
        <f>IF($I3240="适用",IF(ROUND(N3238-N3240,2)=0,"F/S",ROUND(N3238-N3240,2)),"#N/A")</f>
        <v>F/S</v>
      </c>
      <c r="P3240" s="301"/>
      <c r="Q3240" s="290" t="str">
        <f>IF($I3240="不适用","",IF(ROUND(SUM($H$3245:$K$3254),2)=0,"请输入",""))</f>
        <v/>
      </c>
      <c r="S3240" s="364"/>
      <c r="Z3240" s="609" t="s">
        <v>3763</v>
      </c>
      <c r="AA3240" s="609" t="s">
        <v>5669</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8">
      <c r="A3243" s="2714"/>
      <c r="B3243" s="371"/>
      <c r="C3243" s="371"/>
      <c r="D3243" s="371"/>
      <c r="E3243" s="586" t="s">
        <v>2749</v>
      </c>
      <c r="F3243" s="363"/>
      <c r="G3243" s="3286" t="s">
        <v>47</v>
      </c>
      <c r="H3243" s="3249" t="str">
        <f>$V$2</f>
        <v>2019年12月31日</v>
      </c>
      <c r="I3243" s="3251"/>
      <c r="J3243" s="3249" t="str">
        <f>$V$3</f>
        <v>2018年12月31日</v>
      </c>
      <c r="K3243" s="3250"/>
      <c r="L3243" s="355" t="s">
        <v>5296</v>
      </c>
      <c r="M3243" s="291"/>
      <c r="N3243" s="291"/>
      <c r="O3243" s="291"/>
      <c r="S3243" s="364"/>
      <c r="Z3243" s="609" t="s">
        <v>3763</v>
      </c>
      <c r="AA3243" s="609" t="s">
        <v>5669</v>
      </c>
    </row>
    <row r="3244" spans="1:27" ht="24">
      <c r="A3244" s="2714"/>
      <c r="B3244" s="371"/>
      <c r="C3244" s="371"/>
      <c r="D3244" s="371"/>
      <c r="E3244" s="586" t="s">
        <v>2749</v>
      </c>
      <c r="F3244" s="363"/>
      <c r="G3244" s="3287"/>
      <c r="H3244" s="2369" t="s">
        <v>3774</v>
      </c>
      <c r="I3244" s="2369" t="s">
        <v>422</v>
      </c>
      <c r="J3244" s="2369" t="s">
        <v>3774</v>
      </c>
      <c r="K3244" s="2374" t="s">
        <v>422</v>
      </c>
      <c r="L3244" s="594"/>
      <c r="M3244" s="291"/>
      <c r="N3244" s="291"/>
      <c r="O3244" s="291"/>
      <c r="S3244" s="364"/>
      <c r="Z3244" s="609" t="s">
        <v>3763</v>
      </c>
      <c r="AA3244" s="609" t="s">
        <v>5669</v>
      </c>
    </row>
    <row r="3245" spans="1:27" ht="18">
      <c r="A3245" s="2714"/>
      <c r="B3245" s="371">
        <v>101</v>
      </c>
      <c r="C3245" s="371"/>
      <c r="D3245" s="2716">
        <f t="shared" ref="D3245:D3254" si="379">IF(OR(G3245="*",G3245="",G3245=0),0,COUNTIF($G$3245:$G$3254,G3245))</f>
        <v>1</v>
      </c>
      <c r="E3245" s="2721">
        <v>1</v>
      </c>
      <c r="F3245" s="294"/>
      <c r="G3245" s="1474" t="s">
        <v>2302</v>
      </c>
      <c r="H3245" s="2275"/>
      <c r="I3245" s="2275"/>
      <c r="J3245" s="2275"/>
      <c r="K3245" s="2296"/>
      <c r="L3245" s="291"/>
      <c r="M3245" s="291"/>
      <c r="N3245" s="291"/>
      <c r="O3245" s="291"/>
      <c r="S3245" s="364"/>
      <c r="Z3245" s="609" t="s">
        <v>3763</v>
      </c>
      <c r="AA3245" s="609" t="s">
        <v>5669</v>
      </c>
    </row>
    <row r="3246" spans="1:27" ht="18">
      <c r="A3246" s="2714"/>
      <c r="B3246" s="371">
        <v>102</v>
      </c>
      <c r="C3246" s="371"/>
      <c r="D3246" s="2716">
        <f t="shared" si="379"/>
        <v>1</v>
      </c>
      <c r="E3246" s="2721">
        <v>1</v>
      </c>
      <c r="F3246" s="294"/>
      <c r="G3246" s="1474" t="s">
        <v>3775</v>
      </c>
      <c r="H3246" s="2275"/>
      <c r="I3246" s="2275"/>
      <c r="J3246" s="2299">
        <v>0</v>
      </c>
      <c r="K3246" s="2297">
        <v>0</v>
      </c>
      <c r="L3246" s="291"/>
      <c r="M3246" s="291"/>
      <c r="N3246" s="291"/>
      <c r="O3246" s="291"/>
      <c r="S3246" s="364"/>
      <c r="Z3246" s="609" t="s">
        <v>3763</v>
      </c>
      <c r="AA3246" s="609" t="s">
        <v>5669</v>
      </c>
    </row>
    <row r="3247" spans="1:27" ht="18">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5669</v>
      </c>
    </row>
    <row r="3248" spans="1:27" ht="18">
      <c r="A3248" s="2714"/>
      <c r="B3248" s="371">
        <v>104</v>
      </c>
      <c r="C3248" s="371"/>
      <c r="D3248" s="2716">
        <f t="shared" si="379"/>
        <v>1</v>
      </c>
      <c r="E3248" s="2721">
        <v>1</v>
      </c>
      <c r="F3248" s="294"/>
      <c r="G3248" s="1474" t="s">
        <v>3777</v>
      </c>
      <c r="H3248" s="2275">
        <v>3748470.25</v>
      </c>
      <c r="I3248" s="2275">
        <v>937117.56</v>
      </c>
      <c r="J3248" s="2275">
        <v>3748470.25</v>
      </c>
      <c r="K3248" s="2296">
        <v>937117.56</v>
      </c>
      <c r="L3248" s="291"/>
      <c r="M3248" s="291"/>
      <c r="N3248" s="291"/>
      <c r="O3248" s="291"/>
      <c r="S3248" s="364"/>
      <c r="Z3248" s="609" t="s">
        <v>3763</v>
      </c>
      <c r="AA3248" s="609" t="s">
        <v>5669</v>
      </c>
    </row>
    <row r="3249" spans="1:27" ht="24">
      <c r="A3249" s="2714"/>
      <c r="B3249" s="371">
        <v>105</v>
      </c>
      <c r="C3249" s="371" t="s">
        <v>2791</v>
      </c>
      <c r="D3249" s="2716">
        <f t="shared" si="379"/>
        <v>1</v>
      </c>
      <c r="E3249" s="2721">
        <v>1</v>
      </c>
      <c r="F3249" s="294"/>
      <c r="G3249" s="2375" t="s">
        <v>5643</v>
      </c>
      <c r="H3249" s="2275"/>
      <c r="I3249" s="2275"/>
      <c r="J3249" s="2275"/>
      <c r="K3249" s="2296"/>
      <c r="L3249" s="291"/>
      <c r="M3249" s="291"/>
      <c r="N3249" s="291"/>
      <c r="O3249" s="291"/>
      <c r="S3249" s="364"/>
      <c r="Z3249" s="609" t="s">
        <v>3763</v>
      </c>
      <c r="AA3249" s="609" t="s">
        <v>5669</v>
      </c>
    </row>
    <row r="3250" spans="1:27" ht="18">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5669</v>
      </c>
    </row>
    <row r="3251" spans="1:27" ht="18">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5669</v>
      </c>
    </row>
    <row r="3252" spans="1:27" ht="18">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5669</v>
      </c>
    </row>
    <row r="3253" spans="1:27" ht="18">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5669</v>
      </c>
    </row>
    <row r="3254" spans="1:27" ht="18.75" thickBot="1">
      <c r="A3254" s="2714"/>
      <c r="B3254" s="371"/>
      <c r="C3254" s="371"/>
      <c r="D3254" s="2716">
        <f t="shared" si="379"/>
        <v>1</v>
      </c>
      <c r="E3254" s="2721" t="s">
        <v>2751</v>
      </c>
      <c r="F3254" s="294"/>
      <c r="G3254" s="374" t="s">
        <v>2752</v>
      </c>
      <c r="H3254" s="1478">
        <f>SUMPRODUCT($E3244:$E3253,H3244:H3253)</f>
        <v>3748470.25</v>
      </c>
      <c r="I3254" s="1478">
        <f>SUMPRODUCT($E3244:$E3253,I3244:I3253)</f>
        <v>937117.56</v>
      </c>
      <c r="J3254" s="1478">
        <f>SUMPRODUCT($E3244:$E3253,J3244:J3253)</f>
        <v>3748470.25</v>
      </c>
      <c r="K3254" s="1479">
        <f>SUMPRODUCT($E3244:$E3253,K3244:K3253)</f>
        <v>937117.56</v>
      </c>
      <c r="L3254" s="291"/>
      <c r="M3254" s="291"/>
      <c r="N3254" s="291"/>
      <c r="O3254" s="291"/>
      <c r="S3254" s="364"/>
      <c r="Z3254" s="609" t="s">
        <v>3763</v>
      </c>
      <c r="AA3254" s="609" t="s">
        <v>5669</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8">
      <c r="A3259" s="2714"/>
      <c r="B3259" s="371"/>
      <c r="C3259" s="371"/>
      <c r="D3259" s="371"/>
      <c r="E3259" s="586" t="s">
        <v>2749</v>
      </c>
      <c r="F3259" s="363"/>
      <c r="G3259" s="3286" t="s">
        <v>47</v>
      </c>
      <c r="H3259" s="3249" t="str">
        <f>$V$2</f>
        <v>2019年12月31日</v>
      </c>
      <c r="I3259" s="3251"/>
      <c r="J3259" s="3249" t="str">
        <f>$V$3</f>
        <v>2018年12月31日</v>
      </c>
      <c r="K3259" s="3250"/>
      <c r="L3259" s="355" t="s">
        <v>5296</v>
      </c>
      <c r="M3259" s="291"/>
      <c r="N3259" s="291"/>
      <c r="O3259" s="291"/>
      <c r="S3259" s="364"/>
      <c r="Z3259" s="609" t="s">
        <v>3764</v>
      </c>
      <c r="AA3259" s="609" t="s">
        <v>5694</v>
      </c>
    </row>
    <row r="3260" spans="1:27" ht="24">
      <c r="A3260" s="2714"/>
      <c r="B3260" s="371"/>
      <c r="C3260" s="371"/>
      <c r="D3260" s="371"/>
      <c r="E3260" s="586" t="s">
        <v>2749</v>
      </c>
      <c r="F3260" s="363"/>
      <c r="G3260" s="3287"/>
      <c r="H3260" s="2369" t="s">
        <v>3787</v>
      </c>
      <c r="I3260" s="2369" t="s">
        <v>576</v>
      </c>
      <c r="J3260" s="2369" t="s">
        <v>3787</v>
      </c>
      <c r="K3260" s="2374" t="s">
        <v>576</v>
      </c>
      <c r="L3260" s="291"/>
      <c r="M3260" s="291"/>
      <c r="N3260" s="291"/>
      <c r="O3260" s="291"/>
      <c r="S3260" s="364"/>
      <c r="Z3260" s="609" t="s">
        <v>3764</v>
      </c>
      <c r="AA3260" s="609" t="s">
        <v>5694</v>
      </c>
    </row>
    <row r="3261" spans="1:27" ht="24">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5694</v>
      </c>
    </row>
    <row r="3262" spans="1:27" ht="24">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5694</v>
      </c>
    </row>
    <row r="3263" spans="1:27" ht="18">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5694</v>
      </c>
    </row>
    <row r="3264" spans="1:27" ht="18">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5694</v>
      </c>
    </row>
    <row r="3265" spans="1:29" ht="18">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5694</v>
      </c>
    </row>
    <row r="3266" spans="1:29" ht="18">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5694</v>
      </c>
    </row>
    <row r="3267" spans="1:29" ht="18.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5694</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84"/>
      <c r="L3269" s="315"/>
      <c r="M3269" s="301"/>
      <c r="N3269" s="3084"/>
      <c r="O3269" s="315"/>
      <c r="P3269" s="301"/>
      <c r="Q3269" s="290" t="str">
        <f>IF($I3269="不适用","",IF(ROUND(SUM($H$3272:$K$3274),2)=0,"请输入",""))</f>
        <v>请输入</v>
      </c>
      <c r="S3269" s="364"/>
      <c r="Z3269" s="609" t="s">
        <v>3790</v>
      </c>
      <c r="AA3269" s="609" t="s">
        <v>6575</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6575</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5296</v>
      </c>
      <c r="M3271" s="291"/>
      <c r="N3271" s="291"/>
      <c r="O3271" s="291"/>
      <c r="S3271" s="364"/>
      <c r="Z3271" s="609" t="s">
        <v>3790</v>
      </c>
      <c r="AA3271" s="609" t="s">
        <v>6575</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6575</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6575</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6575</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6575</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84"/>
      <c r="L3276" s="315"/>
      <c r="M3276" s="301"/>
      <c r="N3276" s="3084"/>
      <c r="O3276" s="315"/>
      <c r="P3276" s="301"/>
      <c r="Q3276" s="290" t="str">
        <f>IF($I3276="不适用","",IF(ROUND(SUM($H$3279:$I$3284),2)=0,"请输入",""))</f>
        <v>请输入</v>
      </c>
      <c r="S3276" s="364"/>
      <c r="Z3276" s="609" t="s">
        <v>3763</v>
      </c>
      <c r="AA3276" s="609" t="s">
        <v>5669</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18">
      <c r="A3278" s="2714"/>
      <c r="B3278" s="371"/>
      <c r="C3278" s="371"/>
      <c r="D3278" s="371"/>
      <c r="E3278" s="586" t="s">
        <v>2749</v>
      </c>
      <c r="F3278" s="363"/>
      <c r="G3278" s="2362" t="s">
        <v>47</v>
      </c>
      <c r="H3278" s="2225" t="str">
        <f>$V$2</f>
        <v>2019年12月31日</v>
      </c>
      <c r="I3278" s="2226" t="str">
        <f>$V$3</f>
        <v>2018年12月31日</v>
      </c>
      <c r="J3278" s="355" t="s">
        <v>5296</v>
      </c>
      <c r="K3278" s="291"/>
      <c r="L3278" s="291"/>
      <c r="M3278" s="291"/>
      <c r="S3278" s="364"/>
      <c r="Z3278" s="609" t="s">
        <v>3763</v>
      </c>
      <c r="AA3278" s="609" t="s">
        <v>5669</v>
      </c>
    </row>
    <row r="3279" spans="1:29" ht="18">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5669</v>
      </c>
    </row>
    <row r="3280" spans="1:29" ht="18">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6573</v>
      </c>
    </row>
    <row r="3281" spans="1:27" ht="18">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5669</v>
      </c>
    </row>
    <row r="3282" spans="1:27" ht="18">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5669</v>
      </c>
    </row>
    <row r="3283" spans="1:27" ht="18">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5669</v>
      </c>
    </row>
    <row r="3284" spans="1:27" ht="18.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5669</v>
      </c>
    </row>
    <row r="3285" spans="1:27" ht="18">
      <c r="A3285" s="2714"/>
      <c r="B3285" s="371"/>
      <c r="C3285" s="371" t="s">
        <v>2755</v>
      </c>
      <c r="D3285" s="371"/>
      <c r="F3285" s="294"/>
      <c r="G3285" s="301"/>
      <c r="H3285" s="315"/>
      <c r="I3285" s="315"/>
      <c r="J3285" s="291"/>
      <c r="K3285" s="291"/>
      <c r="L3285" s="291"/>
      <c r="M3285" s="291"/>
      <c r="S3285" s="364"/>
      <c r="Z3285" s="609" t="s">
        <v>3763</v>
      </c>
      <c r="AA3285" s="609" t="s">
        <v>5669</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87">
        <f>H3296</f>
        <v>0</v>
      </c>
      <c r="L3286" s="315"/>
      <c r="M3286" s="301"/>
      <c r="N3286" s="3087">
        <f>I3296</f>
        <v>0</v>
      </c>
      <c r="O3286" s="315"/>
      <c r="P3286" s="301"/>
      <c r="Q3286" s="290" t="str">
        <f>IF($I3286="不适用","",IF(ROUND(SUM($H$3289:$J$3296),2)=0,"请输入",""))</f>
        <v>请输入</v>
      </c>
      <c r="S3286" s="364"/>
      <c r="Z3286" s="609" t="s">
        <v>3763</v>
      </c>
      <c r="AA3286" s="609" t="s">
        <v>5669</v>
      </c>
    </row>
    <row r="3287" spans="1:27" ht="0.75" customHeight="1" thickBot="1">
      <c r="A3287" s="2714"/>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5296</v>
      </c>
      <c r="L3288" s="472"/>
      <c r="M3288" s="472"/>
      <c r="N3288" s="472"/>
      <c r="O3288" s="442"/>
      <c r="P3288" s="442"/>
      <c r="Q3288" s="442"/>
      <c r="R3288" s="443"/>
      <c r="S3288" s="364"/>
      <c r="Z3288" s="609" t="s">
        <v>3763</v>
      </c>
      <c r="AA3288" s="609" t="s">
        <v>5669</v>
      </c>
    </row>
    <row r="3289" spans="1:27" ht="18">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5669</v>
      </c>
    </row>
    <row r="3290" spans="1:27" ht="18">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5669</v>
      </c>
    </row>
    <row r="3291" spans="1:27" ht="18">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5669</v>
      </c>
    </row>
    <row r="3292" spans="1:27" ht="18">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5669</v>
      </c>
    </row>
    <row r="3293" spans="1:27" ht="18">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5669</v>
      </c>
    </row>
    <row r="3294" spans="1:27" ht="18">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5669</v>
      </c>
    </row>
    <row r="3295" spans="1:27" ht="18">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5669</v>
      </c>
    </row>
    <row r="3296" spans="1:27" ht="18.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5669</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5669</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5669</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5670</v>
      </c>
    </row>
    <row r="3308" spans="1:27" ht="18">
      <c r="A3308" s="2714"/>
      <c r="B3308" s="371"/>
      <c r="C3308" s="371"/>
      <c r="D3308" s="371"/>
      <c r="E3308" s="2716" t="s">
        <v>2749</v>
      </c>
      <c r="F3308" s="294"/>
      <c r="G3308" s="410" t="s">
        <v>47</v>
      </c>
      <c r="H3308" s="1454" t="str">
        <f>$V$2</f>
        <v>2019年12月31日</v>
      </c>
      <c r="I3308" s="1455" t="str">
        <f>$V$3</f>
        <v>2018年12月31日</v>
      </c>
      <c r="J3308" s="355" t="s">
        <v>5297</v>
      </c>
      <c r="M3308" s="291"/>
      <c r="S3308" s="364"/>
      <c r="Z3308" s="609" t="s">
        <v>1343</v>
      </c>
      <c r="AA3308" s="609" t="s">
        <v>5670</v>
      </c>
    </row>
    <row r="3309" spans="1:27" ht="18">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5670</v>
      </c>
    </row>
    <row r="3310" spans="1:27" ht="18">
      <c r="A3310" s="2714"/>
      <c r="B3310" s="371">
        <v>102</v>
      </c>
      <c r="C3310" s="371" t="s">
        <v>2791</v>
      </c>
      <c r="D3310" s="2716">
        <f t="shared" si="383"/>
        <v>0</v>
      </c>
      <c r="E3310" s="2721">
        <v>1</v>
      </c>
      <c r="F3310" s="294"/>
      <c r="G3310" s="319" t="s">
        <v>2792</v>
      </c>
      <c r="H3310" s="309"/>
      <c r="I3310" s="346"/>
      <c r="L3310" s="291"/>
      <c r="M3310" s="291"/>
      <c r="S3310" s="364"/>
      <c r="Z3310" s="609" t="s">
        <v>1343</v>
      </c>
      <c r="AA3310" s="609" t="s">
        <v>5670</v>
      </c>
    </row>
    <row r="3311" spans="1:27" ht="18">
      <c r="A3311" s="2714"/>
      <c r="B3311" s="371">
        <v>103</v>
      </c>
      <c r="C3311" s="371" t="s">
        <v>2791</v>
      </c>
      <c r="D3311" s="2716">
        <f t="shared" si="383"/>
        <v>0</v>
      </c>
      <c r="E3311" s="2721">
        <v>1</v>
      </c>
      <c r="F3311" s="294"/>
      <c r="G3311" s="319" t="s">
        <v>2792</v>
      </c>
      <c r="H3311" s="309"/>
      <c r="I3311" s="346"/>
      <c r="L3311" s="291"/>
      <c r="M3311" s="291"/>
      <c r="S3311" s="364"/>
      <c r="Z3311" s="609" t="s">
        <v>1343</v>
      </c>
      <c r="AA3311" s="609" t="s">
        <v>5670</v>
      </c>
    </row>
    <row r="3312" spans="1:27" ht="18">
      <c r="A3312" s="2714"/>
      <c r="B3312" s="371">
        <v>104</v>
      </c>
      <c r="C3312" s="371" t="s">
        <v>2791</v>
      </c>
      <c r="D3312" s="2716">
        <f t="shared" si="383"/>
        <v>0</v>
      </c>
      <c r="E3312" s="2721">
        <v>1</v>
      </c>
      <c r="F3312" s="294"/>
      <c r="G3312" s="319" t="s">
        <v>2792</v>
      </c>
      <c r="H3312" s="309"/>
      <c r="I3312" s="346"/>
      <c r="L3312" s="291"/>
      <c r="M3312" s="291"/>
      <c r="S3312" s="364"/>
      <c r="Z3312" s="609" t="s">
        <v>1343</v>
      </c>
      <c r="AA3312" s="609" t="s">
        <v>5670</v>
      </c>
    </row>
    <row r="3313" spans="1:29" ht="18">
      <c r="A3313" s="2714"/>
      <c r="B3313" s="371">
        <v>105</v>
      </c>
      <c r="C3313" s="371" t="s">
        <v>2791</v>
      </c>
      <c r="D3313" s="2716">
        <f t="shared" si="383"/>
        <v>0</v>
      </c>
      <c r="E3313" s="2721">
        <v>1</v>
      </c>
      <c r="F3313" s="294"/>
      <c r="G3313" s="319" t="s">
        <v>2792</v>
      </c>
      <c r="H3313" s="309"/>
      <c r="I3313" s="346"/>
      <c r="L3313" s="291"/>
      <c r="M3313" s="291"/>
      <c r="S3313" s="364"/>
      <c r="Z3313" s="609" t="s">
        <v>1343</v>
      </c>
      <c r="AA3313" s="609" t="s">
        <v>5670</v>
      </c>
    </row>
    <row r="3314" spans="1:29" ht="18">
      <c r="A3314" s="2714"/>
      <c r="B3314" s="371">
        <v>106</v>
      </c>
      <c r="C3314" s="371" t="s">
        <v>2791</v>
      </c>
      <c r="D3314" s="2716">
        <f t="shared" si="383"/>
        <v>0</v>
      </c>
      <c r="E3314" s="2721">
        <v>1</v>
      </c>
      <c r="F3314" s="294"/>
      <c r="G3314" s="319" t="s">
        <v>2792</v>
      </c>
      <c r="H3314" s="309"/>
      <c r="I3314" s="346"/>
      <c r="L3314" s="291"/>
      <c r="M3314" s="291"/>
      <c r="S3314" s="364"/>
      <c r="Z3314" s="609" t="s">
        <v>1343</v>
      </c>
      <c r="AA3314" s="609" t="s">
        <v>5670</v>
      </c>
    </row>
    <row r="3315" spans="1:29" ht="18">
      <c r="A3315" s="2714"/>
      <c r="B3315" s="371">
        <v>107</v>
      </c>
      <c r="C3315" s="371" t="s">
        <v>2791</v>
      </c>
      <c r="D3315" s="2716">
        <f t="shared" si="383"/>
        <v>0</v>
      </c>
      <c r="E3315" s="2721">
        <v>1</v>
      </c>
      <c r="F3315" s="294"/>
      <c r="G3315" s="319" t="s">
        <v>2792</v>
      </c>
      <c r="H3315" s="309"/>
      <c r="I3315" s="346"/>
      <c r="L3315" s="291"/>
      <c r="M3315" s="291"/>
      <c r="S3315" s="364"/>
      <c r="Z3315" s="609" t="s">
        <v>1343</v>
      </c>
      <c r="AA3315" s="609" t="s">
        <v>5670</v>
      </c>
    </row>
    <row r="3316" spans="1:29" ht="18.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8">
      <c r="A3317" s="2714"/>
      <c r="B3317" s="371"/>
      <c r="C3317" s="371" t="s">
        <v>2755</v>
      </c>
      <c r="D3317" s="371"/>
      <c r="F3317" s="294"/>
      <c r="G3317" s="301"/>
      <c r="H3317" s="315"/>
      <c r="I3317" s="315"/>
      <c r="J3317" s="349"/>
      <c r="K3317" s="349"/>
      <c r="L3317" s="291"/>
      <c r="M3317" s="291"/>
      <c r="S3317" s="364"/>
      <c r="Z3317" s="609" t="s">
        <v>1343</v>
      </c>
      <c r="AA3317" s="609" t="s">
        <v>5670</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18">
      <c r="A3321" s="2714"/>
      <c r="B3321" s="371"/>
      <c r="C3321" s="371"/>
      <c r="D3321" s="371"/>
      <c r="E3321" s="2716" t="s">
        <v>2749</v>
      </c>
      <c r="F3321" s="294"/>
      <c r="G3321" s="588" t="s">
        <v>1359</v>
      </c>
      <c r="H3321" s="1454" t="str">
        <f>$V$2</f>
        <v>2019年12月31日</v>
      </c>
      <c r="I3321" s="1455" t="str">
        <f>$V$3</f>
        <v>2018年12月31日</v>
      </c>
      <c r="J3321" s="355" t="s">
        <v>5298</v>
      </c>
      <c r="K3321" s="472"/>
      <c r="L3321" s="472"/>
      <c r="M3321" s="472"/>
      <c r="N3321" s="472"/>
      <c r="O3321" s="442"/>
      <c r="P3321" s="442"/>
      <c r="Q3321" s="442"/>
      <c r="R3321" s="443"/>
      <c r="S3321" s="364"/>
      <c r="Z3321" s="609" t="s">
        <v>3806</v>
      </c>
      <c r="AA3321" s="609" t="s">
        <v>5671</v>
      </c>
    </row>
    <row r="3322" spans="1:29" ht="18">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8">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8">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8">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8">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8.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4">
      <c r="A3329" s="2714" t="s">
        <v>1369</v>
      </c>
      <c r="B3329" s="371">
        <v>1.1000000000000001</v>
      </c>
      <c r="C3329" s="371"/>
      <c r="D3329" s="2716" t="str">
        <f>VLOOKUP($A3329,Sheet_NoteList,2,0)</f>
        <v>短期借款中的质押借款明细列示</v>
      </c>
      <c r="E3329" s="2716" t="s">
        <v>6531</v>
      </c>
      <c r="F3329" s="294"/>
      <c r="G3329" s="483" t="str">
        <f>"("&amp;B3329&amp;")"&amp;D3329</f>
        <v>(1.1)短期借款中的质押借款明细列示</v>
      </c>
      <c r="H3329" s="1517" t="str">
        <f>$A3329</f>
        <v>2001d</v>
      </c>
      <c r="I3329" s="343" t="s">
        <v>5965</v>
      </c>
      <c r="J3329" s="301" t="s">
        <v>5963</v>
      </c>
      <c r="K3329" s="2210">
        <f>H3337</f>
        <v>0</v>
      </c>
      <c r="L3329" s="345"/>
      <c r="M3329" s="301"/>
      <c r="N3329" s="391"/>
      <c r="O3329" s="345"/>
      <c r="P3329" s="301"/>
      <c r="S3329" s="364"/>
      <c r="Z3329" s="609" t="s">
        <v>3806</v>
      </c>
      <c r="AA3329" s="609" t="s">
        <v>5671</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8">
      <c r="A3331" s="2714"/>
      <c r="B3331" s="371"/>
      <c r="C3331" s="371"/>
      <c r="D3331" s="371"/>
      <c r="E3331" s="586" t="s">
        <v>2749</v>
      </c>
      <c r="F3331" s="363"/>
      <c r="G3331" s="2363" t="s">
        <v>1365</v>
      </c>
      <c r="H3331" s="2364" t="s">
        <v>3815</v>
      </c>
      <c r="I3331" s="2364" t="s">
        <v>3816</v>
      </c>
      <c r="J3331" s="2365" t="s">
        <v>3817</v>
      </c>
      <c r="K3331" s="355" t="s">
        <v>6176</v>
      </c>
      <c r="L3331" s="293"/>
      <c r="M3331" s="293"/>
      <c r="N3331" s="293"/>
      <c r="O3331" s="293"/>
      <c r="P3331" s="293"/>
      <c r="S3331" s="364"/>
      <c r="Z3331" s="609" t="s">
        <v>3806</v>
      </c>
      <c r="AA3331" s="609" t="s">
        <v>5671</v>
      </c>
    </row>
    <row r="3332" spans="1:27" ht="18">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5671</v>
      </c>
    </row>
    <row r="3333" spans="1:27" ht="18">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5671</v>
      </c>
    </row>
    <row r="3334" spans="1:27" ht="18">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5671</v>
      </c>
    </row>
    <row r="3335" spans="1:27" ht="18">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5671</v>
      </c>
    </row>
    <row r="3336" spans="1:27" ht="18">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5671</v>
      </c>
    </row>
    <row r="3337" spans="1:27" ht="18.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5671</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4">
      <c r="A3339" s="2714" t="s">
        <v>1375</v>
      </c>
      <c r="B3339" s="371">
        <v>1.2</v>
      </c>
      <c r="C3339" s="371"/>
      <c r="D3339" s="2716" t="str">
        <f>VLOOKUP($A3339,Sheet_NoteList,2,0)</f>
        <v>短期借款中的抵押借款明细列示</v>
      </c>
      <c r="E3339" s="2716" t="s">
        <v>6531</v>
      </c>
      <c r="F3339" s="294"/>
      <c r="G3339" s="483" t="str">
        <f>"("&amp;B3339&amp;")"&amp;D3339</f>
        <v>(1.2)短期借款中的抵押借款明细列示</v>
      </c>
      <c r="H3339" s="1517" t="str">
        <f>$A3339</f>
        <v>2001e</v>
      </c>
      <c r="I3339" s="343" t="s">
        <v>5965</v>
      </c>
      <c r="J3339" s="301" t="s">
        <v>5963</v>
      </c>
      <c r="K3339" s="2210">
        <f>H3347</f>
        <v>0</v>
      </c>
      <c r="L3339" s="345"/>
      <c r="M3339" s="301"/>
      <c r="N3339" s="391"/>
      <c r="O3339" s="345"/>
      <c r="P3339" s="301"/>
      <c r="S3339" s="364"/>
      <c r="Z3339" s="609" t="s">
        <v>3806</v>
      </c>
      <c r="AA3339" s="609" t="s">
        <v>5671</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8">
      <c r="A3341" s="2714"/>
      <c r="B3341" s="371"/>
      <c r="C3341" s="371"/>
      <c r="D3341" s="371"/>
      <c r="E3341" s="586" t="s">
        <v>2749</v>
      </c>
      <c r="F3341" s="363"/>
      <c r="G3341" s="2363" t="s">
        <v>1365</v>
      </c>
      <c r="H3341" s="2364" t="s">
        <v>3815</v>
      </c>
      <c r="I3341" s="2364" t="s">
        <v>3819</v>
      </c>
      <c r="J3341" s="2365" t="s">
        <v>3820</v>
      </c>
      <c r="K3341" s="355" t="s">
        <v>6176</v>
      </c>
      <c r="L3341" s="293"/>
      <c r="M3341" s="293"/>
      <c r="N3341" s="293"/>
      <c r="O3341" s="293"/>
      <c r="P3341" s="293"/>
      <c r="S3341" s="364"/>
      <c r="Z3341" s="609" t="s">
        <v>3806</v>
      </c>
      <c r="AA3341" s="609" t="s">
        <v>5671</v>
      </c>
    </row>
    <row r="3342" spans="1:27" ht="18">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5671</v>
      </c>
    </row>
    <row r="3343" spans="1:27" ht="18">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5671</v>
      </c>
    </row>
    <row r="3344" spans="1:27" ht="18">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5671</v>
      </c>
    </row>
    <row r="3345" spans="1:27" ht="18">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5671</v>
      </c>
    </row>
    <row r="3346" spans="1:27" ht="18">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5671</v>
      </c>
    </row>
    <row r="3347" spans="1:27" ht="18.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5671</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4">
      <c r="A3349" s="2714" t="s">
        <v>1380</v>
      </c>
      <c r="B3349" s="371">
        <v>1.3</v>
      </c>
      <c r="C3349" s="371"/>
      <c r="D3349" s="2716" t="str">
        <f>VLOOKUP($A3349,Sheet_NoteList,2,0)</f>
        <v>短期借款中的保证借款明细列示</v>
      </c>
      <c r="E3349" s="2716" t="s">
        <v>6531</v>
      </c>
      <c r="F3349" s="294"/>
      <c r="G3349" s="483" t="str">
        <f>"("&amp;B3349&amp;")"&amp;D3349</f>
        <v>(1.3)短期借款中的保证借款明细列示</v>
      </c>
      <c r="H3349" s="1517" t="str">
        <f>$A3349</f>
        <v>2001f</v>
      </c>
      <c r="I3349" s="343" t="s">
        <v>5966</v>
      </c>
      <c r="J3349" s="301" t="s">
        <v>5971</v>
      </c>
      <c r="K3349" s="2210">
        <f>H3357</f>
        <v>0</v>
      </c>
      <c r="L3349" s="345"/>
      <c r="M3349" s="301"/>
      <c r="N3349" s="391"/>
      <c r="O3349" s="345"/>
      <c r="P3349" s="301"/>
      <c r="S3349" s="364"/>
      <c r="Z3349" s="609" t="s">
        <v>3806</v>
      </c>
      <c r="AA3349" s="609" t="s">
        <v>5671</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8">
      <c r="A3351" s="2714"/>
      <c r="B3351" s="371"/>
      <c r="C3351" s="371"/>
      <c r="D3351" s="371"/>
      <c r="E3351" s="586" t="s">
        <v>2749</v>
      </c>
      <c r="F3351" s="363"/>
      <c r="G3351" s="2363" t="s">
        <v>1365</v>
      </c>
      <c r="H3351" s="2364" t="s">
        <v>3815</v>
      </c>
      <c r="I3351" s="2364" t="s">
        <v>3823</v>
      </c>
      <c r="J3351" s="2365" t="s">
        <v>3824</v>
      </c>
      <c r="K3351" s="355" t="s">
        <v>6176</v>
      </c>
      <c r="M3351" s="290"/>
      <c r="N3351" s="290"/>
      <c r="O3351" s="290"/>
      <c r="P3351" s="290"/>
      <c r="S3351" s="364"/>
      <c r="Z3351" s="609" t="s">
        <v>3806</v>
      </c>
      <c r="AA3351" s="609" t="s">
        <v>5671</v>
      </c>
    </row>
    <row r="3352" spans="1:27" ht="18">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5671</v>
      </c>
    </row>
    <row r="3353" spans="1:27" ht="18">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5671</v>
      </c>
    </row>
    <row r="3354" spans="1:27" ht="18">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5671</v>
      </c>
    </row>
    <row r="3355" spans="1:27" ht="18">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5671</v>
      </c>
    </row>
    <row r="3356" spans="1:27" ht="18">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5671</v>
      </c>
    </row>
    <row r="3357" spans="1:27" ht="18.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5671</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84"/>
      <c r="O3359" s="315"/>
      <c r="P3359" s="301"/>
      <c r="Q3359" s="290" t="str">
        <f>IF($I3359="不适用","",IF(ROUND(SUM($H$3362:$K$3367),2)=0,"请输入",""))</f>
        <v>请输入</v>
      </c>
      <c r="S3359" s="364"/>
      <c r="Z3359" s="609" t="s">
        <v>3806</v>
      </c>
      <c r="AA3359" s="609" t="s">
        <v>5671</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8">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5671</v>
      </c>
    </row>
    <row r="3363" spans="1:27" ht="18">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5671</v>
      </c>
    </row>
    <row r="3364" spans="1:27" ht="18">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5671</v>
      </c>
    </row>
    <row r="3365" spans="1:27" ht="18">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5671</v>
      </c>
    </row>
    <row r="3366" spans="1:27" ht="18">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5671</v>
      </c>
    </row>
    <row r="3367" spans="1:27" ht="18.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4.75" thickBot="1">
      <c r="A3368" s="2714"/>
      <c r="B3368" s="371">
        <v>901</v>
      </c>
      <c r="C3368" s="371"/>
      <c r="D3368" s="371"/>
      <c r="E3368" s="2716" t="s">
        <v>2753</v>
      </c>
      <c r="F3368" s="294"/>
      <c r="G3368" s="2385" t="s">
        <v>6068</v>
      </c>
      <c r="H3368" s="2395"/>
      <c r="I3368" s="432"/>
      <c r="J3368" s="425"/>
      <c r="K3368" s="426"/>
      <c r="L3368" s="427"/>
      <c r="M3368" s="425"/>
      <c r="N3368" s="426"/>
      <c r="O3368" s="427"/>
      <c r="P3368" s="425"/>
      <c r="S3368" s="364"/>
      <c r="Z3368" s="609" t="s">
        <v>3806</v>
      </c>
      <c r="AA3368" s="609" t="s">
        <v>5671</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8">
      <c r="A3370" s="2714" t="s">
        <v>1385</v>
      </c>
      <c r="B3370" s="371">
        <v>3</v>
      </c>
      <c r="C3370" s="371"/>
      <c r="D3370" s="2716" t="str">
        <f>VLOOKUP($A3370,Sheet_NoteList,2,0)</f>
        <v>外币短期借款</v>
      </c>
      <c r="E3370" s="2716" t="s">
        <v>6531</v>
      </c>
      <c r="F3370" s="294"/>
      <c r="G3370" s="372" t="str">
        <f>"("&amp;B3370&amp;")"&amp;D3370</f>
        <v>(3)外币短期借款</v>
      </c>
      <c r="H3370" s="1517" t="str">
        <f>$A3370</f>
        <v>2001c</v>
      </c>
      <c r="I3370" s="343" t="s">
        <v>5576</v>
      </c>
      <c r="J3370" s="301" t="s">
        <v>5574</v>
      </c>
      <c r="K3370" s="2210">
        <f>J3378</f>
        <v>0</v>
      </c>
      <c r="L3370" s="345"/>
      <c r="M3370" s="301" t="s">
        <v>5575</v>
      </c>
      <c r="N3370" s="2210">
        <f>L3378</f>
        <v>0</v>
      </c>
      <c r="O3370" s="345"/>
      <c r="P3370" s="301"/>
      <c r="Q3370" s="290" t="str">
        <f>IF($I3370="不适用","",IF(ROUND(SUM($H$3373:$J$3378),2)=0,"请输入",""))</f>
        <v>请输入</v>
      </c>
      <c r="S3370" s="364"/>
      <c r="Z3370" s="609" t="s">
        <v>3806</v>
      </c>
      <c r="AA3370" s="609" t="s">
        <v>5671</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4">
      <c r="A3372" s="2714"/>
      <c r="B3372" s="371"/>
      <c r="C3372" s="371"/>
      <c r="D3372" s="371"/>
      <c r="E3372" s="2716" t="s">
        <v>2749</v>
      </c>
      <c r="F3372" s="294"/>
      <c r="G3372" s="1621" t="s">
        <v>1371</v>
      </c>
      <c r="H3372" s="1619" t="s">
        <v>3076</v>
      </c>
      <c r="I3372" s="1619" t="s">
        <v>3077</v>
      </c>
      <c r="J3372" s="1620" t="s">
        <v>3078</v>
      </c>
      <c r="K3372" s="355" t="s">
        <v>5604</v>
      </c>
      <c r="L3372" s="291"/>
      <c r="N3372" s="291"/>
      <c r="O3372" s="291"/>
      <c r="P3372" s="291"/>
      <c r="Q3372" s="367"/>
      <c r="R3372" s="367"/>
      <c r="S3372" s="364"/>
      <c r="Z3372" s="609" t="s">
        <v>3806</v>
      </c>
      <c r="AA3372" s="609" t="s">
        <v>5671</v>
      </c>
    </row>
    <row r="3373" spans="1:27" ht="18">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5364</v>
      </c>
      <c r="L3373" s="1522" t="s">
        <v>5365</v>
      </c>
      <c r="M3373" s="291"/>
      <c r="N3373" s="291"/>
      <c r="O3373" s="291"/>
      <c r="P3373" s="291"/>
      <c r="S3373" s="364"/>
      <c r="Z3373" s="609" t="s">
        <v>3806</v>
      </c>
      <c r="AA3373" s="609" t="s">
        <v>5671</v>
      </c>
    </row>
    <row r="3374" spans="1:27" ht="18">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5671</v>
      </c>
    </row>
    <row r="3375" spans="1:27" ht="18">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5671</v>
      </c>
    </row>
    <row r="3376" spans="1:27" ht="18">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5671</v>
      </c>
    </row>
    <row r="3377" spans="1:27" ht="18">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5671</v>
      </c>
    </row>
    <row r="3378" spans="1:27" ht="18.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5671</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5299</v>
      </c>
      <c r="M3383" s="435"/>
      <c r="N3383" s="434"/>
      <c r="O3383" s="434"/>
      <c r="P3383" s="435"/>
      <c r="Q3383" s="442"/>
      <c r="R3383" s="443"/>
      <c r="S3383" s="364"/>
      <c r="Z3383" s="609" t="s">
        <v>3831</v>
      </c>
      <c r="AA3383" s="609" t="s">
        <v>3832</v>
      </c>
    </row>
    <row r="3384" spans="1:27" ht="18">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6071</v>
      </c>
      <c r="I3396" s="2291" t="s">
        <v>3836</v>
      </c>
      <c r="J3396" s="2293" t="s">
        <v>3837</v>
      </c>
      <c r="K3396" s="355" t="s">
        <v>5299</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2">IF(OR(G3397="*",G3397="",G3397=0),0,COUNTIF($G$3397:$G$3405,G3397))</f>
        <v>1</v>
      </c>
      <c r="E3397" s="2721">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6069</v>
      </c>
      <c r="H3406" s="2395"/>
      <c r="I3406" s="432"/>
      <c r="J3406" s="425"/>
      <c r="K3406" s="355" t="s">
        <v>6070</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6576</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6576</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6576</v>
      </c>
    </row>
    <row r="3411" spans="1:27" ht="18">
      <c r="A3411" s="2714"/>
      <c r="B3411" s="371"/>
      <c r="C3411" s="371"/>
      <c r="D3411" s="371"/>
      <c r="E3411" s="586" t="s">
        <v>2749</v>
      </c>
      <c r="F3411" s="363"/>
      <c r="G3411" s="2541" t="s">
        <v>47</v>
      </c>
      <c r="H3411" s="2553" t="str">
        <f>$V$2</f>
        <v>2019年12月31日</v>
      </c>
      <c r="I3411" s="2554" t="str">
        <f>$V$3</f>
        <v>2018年12月31日</v>
      </c>
      <c r="J3411" s="355" t="s">
        <v>5300</v>
      </c>
      <c r="K3411" s="291"/>
      <c r="L3411" s="291"/>
      <c r="M3411" s="291"/>
      <c r="S3411" s="364"/>
      <c r="Z3411" s="609" t="s">
        <v>3839</v>
      </c>
      <c r="AA3411" s="2720" t="s">
        <v>6576</v>
      </c>
    </row>
    <row r="3412" spans="1:27" ht="18">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6576</v>
      </c>
    </row>
    <row r="3413" spans="1:27" ht="18">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6576</v>
      </c>
    </row>
    <row r="3414" spans="1:27" ht="18">
      <c r="A3414" s="2714"/>
      <c r="B3414" s="371">
        <v>103</v>
      </c>
      <c r="C3414" s="371" t="s">
        <v>2791</v>
      </c>
      <c r="D3414" s="2716">
        <f t="shared" si="393"/>
        <v>1</v>
      </c>
      <c r="E3414" s="2721">
        <v>1</v>
      </c>
      <c r="F3414" s="294"/>
      <c r="G3414" s="578" t="s">
        <v>467</v>
      </c>
      <c r="H3414" s="2299">
        <v>0</v>
      </c>
      <c r="I3414" s="2296"/>
      <c r="J3414" s="355" t="s">
        <v>6123</v>
      </c>
      <c r="K3414" s="291"/>
      <c r="L3414" s="291"/>
      <c r="M3414" s="291"/>
      <c r="S3414" s="364"/>
      <c r="Z3414" s="609" t="s">
        <v>3839</v>
      </c>
      <c r="AA3414" s="2720" t="s">
        <v>6576</v>
      </c>
    </row>
    <row r="3415" spans="1:27" ht="18">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6576</v>
      </c>
    </row>
    <row r="3416" spans="1:27" ht="24">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6576</v>
      </c>
    </row>
    <row r="3417" spans="1:27" ht="18">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6576</v>
      </c>
    </row>
    <row r="3418" spans="1:27" ht="18.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6576</v>
      </c>
    </row>
    <row r="3419" spans="1:27" ht="18">
      <c r="A3419" s="2714"/>
      <c r="B3419" s="371"/>
      <c r="C3419" s="371" t="s">
        <v>2755</v>
      </c>
      <c r="D3419" s="371"/>
      <c r="F3419" s="294"/>
      <c r="G3419" s="301"/>
      <c r="H3419" s="315"/>
      <c r="I3419" s="315"/>
      <c r="J3419" s="291"/>
      <c r="K3419" s="291"/>
      <c r="L3419" s="291"/>
      <c r="M3419" s="291"/>
      <c r="S3419" s="364"/>
      <c r="Z3419" s="609" t="s">
        <v>3839</v>
      </c>
      <c r="AA3419" s="2720" t="s">
        <v>6576</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18">
      <c r="A3423" s="2714"/>
      <c r="B3423" s="371"/>
      <c r="C3423" s="371"/>
      <c r="D3423" s="371"/>
      <c r="E3423" s="2716" t="s">
        <v>2749</v>
      </c>
      <c r="F3423" s="294"/>
      <c r="G3423" s="410" t="s">
        <v>47</v>
      </c>
      <c r="H3423" s="1454" t="str">
        <f>$V$2</f>
        <v>2019年12月31日</v>
      </c>
      <c r="I3423" s="1455" t="str">
        <f>$V$3</f>
        <v>2018年12月31日</v>
      </c>
      <c r="J3423" s="355" t="s">
        <v>5301</v>
      </c>
      <c r="K3423" s="291"/>
      <c r="L3423" s="291"/>
      <c r="M3423" s="291"/>
      <c r="S3423" s="364"/>
      <c r="Z3423" s="609" t="s">
        <v>3843</v>
      </c>
      <c r="AA3423" s="609" t="s">
        <v>5673</v>
      </c>
    </row>
    <row r="3424" spans="1:27" ht="18">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5673</v>
      </c>
    </row>
    <row r="3425" spans="1:31" ht="18">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5673</v>
      </c>
    </row>
    <row r="3426" spans="1:31" ht="18">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5673</v>
      </c>
    </row>
    <row r="3427" spans="1:31" ht="18">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5673</v>
      </c>
    </row>
    <row r="3428" spans="1:31" ht="18">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5673</v>
      </c>
    </row>
    <row r="3429" spans="1:31" ht="18.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8">
      <c r="A3430" s="2714"/>
      <c r="B3430" s="371"/>
      <c r="C3430" s="371" t="s">
        <v>2755</v>
      </c>
      <c r="D3430" s="371"/>
      <c r="F3430" s="294"/>
      <c r="G3430" s="301"/>
      <c r="H3430" s="315"/>
      <c r="I3430" s="315"/>
      <c r="J3430" s="291"/>
      <c r="K3430" s="291"/>
      <c r="L3430" s="291"/>
      <c r="M3430" s="291"/>
      <c r="S3430" s="364"/>
      <c r="Z3430" s="609" t="s">
        <v>3843</v>
      </c>
      <c r="AA3430" s="609" t="s">
        <v>5673</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18">
      <c r="A3434" s="2714"/>
      <c r="B3434" s="371"/>
      <c r="C3434" s="371"/>
      <c r="D3434" s="371"/>
      <c r="E3434" s="2716" t="s">
        <v>2749</v>
      </c>
      <c r="F3434" s="294"/>
      <c r="G3434" s="410" t="s">
        <v>1412</v>
      </c>
      <c r="H3434" s="1454" t="str">
        <f>$V$2</f>
        <v>2019年12月31日</v>
      </c>
      <c r="I3434" s="1455" t="str">
        <f>$V$3</f>
        <v>2018年12月31日</v>
      </c>
      <c r="J3434" s="355" t="s">
        <v>5302</v>
      </c>
      <c r="K3434" s="472"/>
      <c r="L3434" s="472"/>
      <c r="M3434" s="472"/>
      <c r="N3434" s="472"/>
      <c r="O3434" s="442"/>
      <c r="P3434" s="442"/>
      <c r="Q3434" s="442"/>
      <c r="R3434" s="443"/>
      <c r="S3434" s="364"/>
      <c r="Z3434" s="609" t="s">
        <v>3845</v>
      </c>
      <c r="AA3434" s="609" t="s">
        <v>5674</v>
      </c>
    </row>
    <row r="3435" spans="1:31" ht="18">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8">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8">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8">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8.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0</v>
      </c>
      <c r="L3442" s="342"/>
      <c r="M3442" s="306" t="s">
        <v>2741</v>
      </c>
      <c r="N3442" s="341">
        <f>VLOOKUP($A3442,Sheet_Trialbal,10,0)</f>
        <v>182031</v>
      </c>
      <c r="O3442" s="306"/>
      <c r="P3442" s="301"/>
      <c r="S3442" s="364"/>
      <c r="Z3442" s="609" t="s">
        <v>3848</v>
      </c>
      <c r="AA3442" s="609" t="s">
        <v>5675</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0</v>
      </c>
      <c r="L3443" s="345" t="str">
        <f>IF($I3443="适用",IF(ROUND(K$3442-K3443,2)=0,"F/S",ROUND(K$3442-K3443,2)),"#N/A")</f>
        <v>F/S</v>
      </c>
      <c r="M3443" s="301" t="s">
        <v>2745</v>
      </c>
      <c r="N3443" s="2210">
        <f>I3452</f>
        <v>182031</v>
      </c>
      <c r="O3443" s="345" t="str">
        <f>IF($I3443="适用",IF(ROUND(N$3442-N3443,2)=0,"F/S",ROUND(N$3442-N3443,2)),"#N/A")</f>
        <v>F/S</v>
      </c>
      <c r="P3443" s="301"/>
      <c r="Q3443" s="290" t="str">
        <f>IF($I3443="不适用","",IF(ROUND(SUM($H$3446:$I$3452),2)=0,"请输入",""))</f>
        <v/>
      </c>
      <c r="S3443" s="364"/>
      <c r="Z3443" s="609" t="s">
        <v>3848</v>
      </c>
      <c r="AA3443" s="609" t="s">
        <v>5675</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18">
      <c r="A3445" s="2714"/>
      <c r="B3445" s="371"/>
      <c r="C3445" s="371"/>
      <c r="D3445" s="371"/>
      <c r="E3445" s="586" t="s">
        <v>2749</v>
      </c>
      <c r="F3445" s="363"/>
      <c r="G3445" s="2362" t="s">
        <v>47</v>
      </c>
      <c r="H3445" s="2225" t="str">
        <f>$V$2</f>
        <v>2019年12月31日</v>
      </c>
      <c r="I3445" s="2226" t="str">
        <f>$V$3</f>
        <v>2018年12月31日</v>
      </c>
      <c r="J3445" s="355" t="s">
        <v>5303</v>
      </c>
      <c r="K3445" s="291"/>
      <c r="L3445" s="291"/>
      <c r="M3445" s="291"/>
      <c r="S3445" s="364"/>
      <c r="Z3445" s="609" t="s">
        <v>3848</v>
      </c>
      <c r="AA3445" s="609" t="s">
        <v>5675</v>
      </c>
    </row>
    <row r="3446" spans="1:31" ht="18">
      <c r="A3446" s="2714"/>
      <c r="B3446" s="371">
        <v>101</v>
      </c>
      <c r="C3446" s="371"/>
      <c r="D3446" s="2716">
        <f t="shared" ref="D3446:D3452" si="396">IF(OR(G3446="*",G3446="",G3446=0),0,COUNTIF($G$3446:$G$3452,G3446))</f>
        <v>1</v>
      </c>
      <c r="E3446" s="2721">
        <v>1</v>
      </c>
      <c r="F3446" s="294"/>
      <c r="G3446" s="1474" t="s">
        <v>3850</v>
      </c>
      <c r="H3446" s="2275"/>
      <c r="I3446" s="2296">
        <v>182031</v>
      </c>
      <c r="J3446" s="291"/>
      <c r="K3446" s="291"/>
      <c r="L3446" s="291"/>
      <c r="M3446" s="291"/>
      <c r="S3446" s="364"/>
      <c r="Z3446" s="609" t="s">
        <v>3848</v>
      </c>
      <c r="AA3446" s="609" t="s">
        <v>5675</v>
      </c>
    </row>
    <row r="3447" spans="1:31" ht="18">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5675</v>
      </c>
    </row>
    <row r="3448" spans="1:31" ht="18">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5675</v>
      </c>
    </row>
    <row r="3449" spans="1:31" ht="18">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5675</v>
      </c>
    </row>
    <row r="3450" spans="1:31" ht="18">
      <c r="A3450" s="2714"/>
      <c r="B3450" s="371">
        <v>105</v>
      </c>
      <c r="C3450" s="371" t="s">
        <v>2791</v>
      </c>
      <c r="D3450" s="2716">
        <f t="shared" si="396"/>
        <v>0</v>
      </c>
      <c r="E3450" s="2721">
        <v>1</v>
      </c>
      <c r="F3450" s="294"/>
      <c r="G3450" s="2375" t="s">
        <v>2792</v>
      </c>
      <c r="H3450" s="2275"/>
      <c r="I3450" s="2296"/>
      <c r="J3450" s="291"/>
      <c r="K3450" s="291"/>
      <c r="L3450" s="291"/>
      <c r="M3450" s="291"/>
      <c r="S3450" s="364"/>
      <c r="Z3450" s="609" t="s">
        <v>3848</v>
      </c>
      <c r="AA3450" s="609" t="s">
        <v>5675</v>
      </c>
    </row>
    <row r="3451" spans="1:31" ht="18">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5675</v>
      </c>
    </row>
    <row r="3452" spans="1:31" ht="18.75" thickBot="1">
      <c r="A3452" s="2714"/>
      <c r="B3452" s="371"/>
      <c r="C3452" s="371"/>
      <c r="D3452" s="2716">
        <f t="shared" si="396"/>
        <v>1</v>
      </c>
      <c r="E3452" s="2721" t="s">
        <v>2751</v>
      </c>
      <c r="F3452" s="294"/>
      <c r="G3452" s="374" t="s">
        <v>2752</v>
      </c>
      <c r="H3452" s="1478">
        <f>SUMPRODUCT($E3445:$E3451,H3445:H3451)</f>
        <v>0</v>
      </c>
      <c r="I3452" s="1479">
        <f>SUMPRODUCT($E3445:$E3451,I3445:I3451)</f>
        <v>182031</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6573</v>
      </c>
    </row>
    <row r="3453" spans="1:31" ht="18">
      <c r="A3453" s="2714"/>
      <c r="B3453" s="371"/>
      <c r="C3453" s="371" t="s">
        <v>2755</v>
      </c>
      <c r="D3453" s="371"/>
      <c r="F3453" s="294"/>
      <c r="G3453" s="301"/>
      <c r="H3453" s="315"/>
      <c r="I3453" s="315"/>
      <c r="J3453" s="291"/>
      <c r="K3453" s="291"/>
      <c r="L3453" s="291"/>
      <c r="M3453" s="291"/>
      <c r="S3453" s="364"/>
      <c r="Z3453" s="609" t="s">
        <v>3848</v>
      </c>
      <c r="AA3453" s="609" t="s">
        <v>5675</v>
      </c>
    </row>
    <row r="3454" spans="1:31" ht="18">
      <c r="A3454" s="2714" t="s">
        <v>1427</v>
      </c>
      <c r="B3454" s="371">
        <v>2</v>
      </c>
      <c r="C3454" s="371"/>
      <c r="D3454" s="2716" t="str">
        <f>VLOOKUP($A3454,Sheet_NoteList,2,0)</f>
        <v>应付账款按账龄列示</v>
      </c>
      <c r="E3454" s="2716" t="s">
        <v>6531</v>
      </c>
      <c r="F3454" s="294"/>
      <c r="G3454" s="307" t="str">
        <f>"("&amp;B3454&amp;")"&amp;D3454</f>
        <v>(2)应付账款按账龄列示</v>
      </c>
      <c r="H3454" s="1517" t="str">
        <f>$A3454</f>
        <v>2202f</v>
      </c>
      <c r="I3454" s="343" t="s">
        <v>5563</v>
      </c>
      <c r="J3454" s="301" t="s">
        <v>5561</v>
      </c>
      <c r="K3454" s="2210">
        <f>H3462</f>
        <v>0</v>
      </c>
      <c r="L3454" s="345" t="str">
        <f>IF($I3454="适用",IF(ROUND(K$3442-K3454,2)=0,"F/S",ROUND(K$3442-K3454,2)),"#N/A")</f>
        <v>F/S</v>
      </c>
      <c r="M3454" s="301" t="s">
        <v>5562</v>
      </c>
      <c r="N3454" s="2210">
        <f>I3462</f>
        <v>182031</v>
      </c>
      <c r="O3454" s="345" t="str">
        <f>IF($I3454="适用",IF(ROUND(N$3442-N3454,2)=0,"F/S",ROUND(N$3442-N3454,2)),"#N/A")</f>
        <v>F/S</v>
      </c>
      <c r="P3454" s="301"/>
      <c r="S3454" s="364"/>
      <c r="Z3454" s="609" t="s">
        <v>3848</v>
      </c>
      <c r="AA3454" s="609" t="s">
        <v>5675</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8">
      <c r="A3456" s="2714"/>
      <c r="B3456" s="371"/>
      <c r="C3456" s="371"/>
      <c r="D3456" s="371"/>
      <c r="E3456" s="2716" t="s">
        <v>2749</v>
      </c>
      <c r="F3456" s="294"/>
      <c r="G3456" s="1615" t="s">
        <v>1439</v>
      </c>
      <c r="H3456" s="1613" t="s">
        <v>2775</v>
      </c>
      <c r="I3456" s="1614" t="s">
        <v>2776</v>
      </c>
      <c r="J3456" s="355" t="s">
        <v>6176</v>
      </c>
      <c r="K3456" s="291"/>
      <c r="L3456" s="291"/>
      <c r="M3456" s="291"/>
      <c r="S3456" s="364"/>
      <c r="Z3456" s="609" t="s">
        <v>3848</v>
      </c>
      <c r="AA3456" s="609" t="s">
        <v>5675</v>
      </c>
    </row>
    <row r="3457" spans="1:27" ht="18">
      <c r="A3457" s="2714"/>
      <c r="B3457" s="371">
        <v>101</v>
      </c>
      <c r="C3457" s="371" t="s">
        <v>2791</v>
      </c>
      <c r="D3457" s="2716">
        <f t="shared" ref="D3457:D3462" si="397">IF(OR(G3457="*",G3457="",G3457=0),0,COUNTIF($G$3457:$G$3462,G3457))</f>
        <v>1</v>
      </c>
      <c r="E3457" s="2721">
        <v>1</v>
      </c>
      <c r="F3457" s="294"/>
      <c r="G3457" s="1616" t="s">
        <v>3855</v>
      </c>
      <c r="H3457" s="309"/>
      <c r="I3457" s="346">
        <v>182031</v>
      </c>
      <c r="J3457" s="579"/>
      <c r="K3457" s="291"/>
      <c r="L3457" s="291"/>
      <c r="M3457" s="291"/>
      <c r="S3457" s="364"/>
      <c r="Z3457" s="609" t="s">
        <v>3848</v>
      </c>
      <c r="AA3457" s="609" t="s">
        <v>5675</v>
      </c>
    </row>
    <row r="3458" spans="1:27" ht="18">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5675</v>
      </c>
    </row>
    <row r="3459" spans="1:27" ht="18">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5675</v>
      </c>
    </row>
    <row r="3460" spans="1:27" ht="18">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5675</v>
      </c>
    </row>
    <row r="3461" spans="1:27" ht="18">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5675</v>
      </c>
    </row>
    <row r="3462" spans="1:27" ht="18.75" thickBot="1">
      <c r="A3462" s="2714"/>
      <c r="B3462" s="371"/>
      <c r="C3462" s="371"/>
      <c r="D3462" s="2716">
        <f t="shared" si="397"/>
        <v>1</v>
      </c>
      <c r="E3462" s="2721" t="s">
        <v>2751</v>
      </c>
      <c r="F3462" s="294"/>
      <c r="G3462" s="1529" t="s">
        <v>2752</v>
      </c>
      <c r="H3462" s="1527">
        <f>SUMPRODUCT($E3456:$E3461,H3456:H3461)</f>
        <v>0</v>
      </c>
      <c r="I3462" s="1528">
        <f>SUMPRODUCT($E3456:$E3461,I3456:I3461)</f>
        <v>182031</v>
      </c>
      <c r="J3462" s="291"/>
      <c r="K3462" s="291"/>
      <c r="L3462" s="291"/>
      <c r="M3462" s="291"/>
      <c r="S3462" s="364"/>
      <c r="Z3462" s="609" t="s">
        <v>3848</v>
      </c>
      <c r="AA3462" s="609" t="s">
        <v>5675</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8.75" thickTop="1">
      <c r="A3464" s="2714"/>
      <c r="B3464" s="371"/>
      <c r="C3464" s="371" t="s">
        <v>2565</v>
      </c>
      <c r="D3464" s="371"/>
      <c r="F3464" s="294"/>
      <c r="G3464" s="1561" t="s">
        <v>5367</v>
      </c>
      <c r="H3464" s="1550" t="str">
        <f>G3443</f>
        <v>(1)应付账款按性质列示</v>
      </c>
      <c r="I3464" s="1552"/>
      <c r="J3464" s="1553" t="s">
        <v>5368</v>
      </c>
      <c r="K3464" s="291"/>
      <c r="L3464" s="291"/>
      <c r="M3464" s="291"/>
      <c r="S3464" s="364"/>
      <c r="Z3464" s="609" t="s">
        <v>3848</v>
      </c>
      <c r="AA3464" s="609" t="s">
        <v>5675</v>
      </c>
    </row>
    <row r="3465" spans="1:27" ht="18">
      <c r="A3465" s="2714"/>
      <c r="B3465" s="371"/>
      <c r="C3465" s="371" t="s">
        <v>2565</v>
      </c>
      <c r="D3465" s="371"/>
      <c r="F3465" s="294"/>
      <c r="G3465" s="316" t="str">
        <f>"注释A:"&amp; G3452</f>
        <v>注释A:合       计</v>
      </c>
      <c r="H3465" s="2252">
        <f ca="1">HYPERLINK("#'"&amp;$G$1&amp;"'!"&amp;ADDRESS(ROW(Notes!H3452),COLUMN(Notes!H3452),4),H3452)</f>
        <v>0</v>
      </c>
      <c r="I3465" s="2252">
        <f ca="1">HYPERLINK("#'"&amp;$G$1&amp;"'!"&amp;ADDRESS(ROW(Notes!I3452),COLUMN(Notes!I3452),4),I3452)</f>
        <v>182031</v>
      </c>
      <c r="J3465" s="2632" t="str">
        <f>H3443</f>
        <v>2202e</v>
      </c>
      <c r="K3465" s="291"/>
      <c r="L3465" s="291"/>
      <c r="M3465" s="291"/>
      <c r="S3465" s="364"/>
      <c r="Z3465" s="609" t="s">
        <v>3848</v>
      </c>
      <c r="AA3465" s="609" t="s">
        <v>5675</v>
      </c>
    </row>
    <row r="3466" spans="1:27" ht="18">
      <c r="A3466" s="2714"/>
      <c r="B3466" s="371"/>
      <c r="C3466" s="371" t="s">
        <v>2565</v>
      </c>
      <c r="D3466" s="371"/>
      <c r="F3466" s="294"/>
      <c r="G3466" s="316" t="str">
        <f>"本注释B:"&amp; G3462</f>
        <v>本注释B:合       计</v>
      </c>
      <c r="H3466" s="456">
        <f>H3462</f>
        <v>0</v>
      </c>
      <c r="I3466" s="456">
        <f>I3462</f>
        <v>182031</v>
      </c>
      <c r="J3466" s="2638" t="s">
        <v>1427</v>
      </c>
      <c r="K3466" s="291"/>
      <c r="L3466" s="291"/>
      <c r="M3466" s="291"/>
      <c r="S3466" s="364"/>
      <c r="Z3466" s="609" t="s">
        <v>3848</v>
      </c>
      <c r="AA3466" s="609" t="s">
        <v>5675</v>
      </c>
    </row>
    <row r="3467" spans="1:27" ht="18.75" thickBot="1">
      <c r="A3467" s="2714"/>
      <c r="B3467" s="371"/>
      <c r="C3467" s="371" t="s">
        <v>2565</v>
      </c>
      <c r="D3467" s="371"/>
      <c r="F3467" s="294"/>
      <c r="G3467" s="1562" t="s">
        <v>2757</v>
      </c>
      <c r="H3467" s="1531">
        <f ca="1">IF(AND(H3465="",H3466=""),"",ROUND(H3465-H3466,2))</f>
        <v>0</v>
      </c>
      <c r="I3467" s="1531">
        <f ca="1">IF(AND(I3465="",I3466=""),"",ROUND(I3465-I3466,2))</f>
        <v>0</v>
      </c>
      <c r="J3467" s="1555"/>
      <c r="K3467" s="291"/>
      <c r="L3467" s="291"/>
      <c r="M3467" s="291"/>
      <c r="S3467" s="364"/>
      <c r="Z3467" s="609" t="s">
        <v>3848</v>
      </c>
      <c r="AA3467" s="609" t="s">
        <v>5675</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8">
      <c r="A3469" s="2714"/>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5675</v>
      </c>
    </row>
    <row r="3470" spans="1:27" ht="18">
      <c r="A3470" s="2714"/>
      <c r="B3470" s="371"/>
      <c r="C3470" s="371" t="s">
        <v>2565</v>
      </c>
      <c r="D3470" s="371"/>
      <c r="F3470" s="294"/>
      <c r="G3470" s="354"/>
      <c r="H3470" s="461"/>
      <c r="I3470" s="461"/>
      <c r="J3470" s="354"/>
      <c r="K3470" s="291"/>
      <c r="L3470" s="291"/>
      <c r="M3470" s="291"/>
      <c r="S3470" s="364"/>
      <c r="Z3470" s="609" t="s">
        <v>3848</v>
      </c>
      <c r="AA3470" s="609" t="s">
        <v>5675</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84"/>
      <c r="O3471" s="315"/>
      <c r="P3471" s="301"/>
      <c r="Q3471" s="290" t="str">
        <f>IF($I3471="不适用","",IF(ROUND(SUM($H$3474:$I$3479),2)=0,"请输入",""))</f>
        <v>请输入</v>
      </c>
      <c r="S3471" s="364"/>
      <c r="Z3471" s="609" t="s">
        <v>3848</v>
      </c>
      <c r="AA3471" s="609" t="s">
        <v>5675</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4">
      <c r="A3473" s="2714"/>
      <c r="B3473" s="371"/>
      <c r="C3473" s="371"/>
      <c r="D3473" s="371"/>
      <c r="E3473" s="586" t="s">
        <v>2749</v>
      </c>
      <c r="F3473" s="363"/>
      <c r="G3473" s="2362" t="s">
        <v>47</v>
      </c>
      <c r="H3473" s="2475" t="str">
        <f>$V$2</f>
        <v>2019年12月31日</v>
      </c>
      <c r="I3473" s="2373" t="s">
        <v>3860</v>
      </c>
      <c r="J3473" s="355" t="s">
        <v>5303</v>
      </c>
      <c r="K3473" s="291"/>
      <c r="L3473" s="291"/>
      <c r="M3473" s="291"/>
      <c r="N3473" s="291"/>
      <c r="S3473" s="364"/>
      <c r="Z3473" s="609" t="s">
        <v>3848</v>
      </c>
      <c r="AA3473" s="609" t="s">
        <v>5675</v>
      </c>
    </row>
    <row r="3474" spans="1:27" ht="18">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5675</v>
      </c>
    </row>
    <row r="3475" spans="1:27" ht="18">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5675</v>
      </c>
    </row>
    <row r="3476" spans="1:27" ht="18">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5675</v>
      </c>
    </row>
    <row r="3477" spans="1:27" ht="18">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5675</v>
      </c>
    </row>
    <row r="3478" spans="1:27" ht="18">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5675</v>
      </c>
    </row>
    <row r="3479" spans="1:27" ht="18.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5675</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5675</v>
      </c>
    </row>
    <row r="3481" spans="1:27" ht="18">
      <c r="A3481" s="2714" t="s">
        <v>1437</v>
      </c>
      <c r="B3481" s="371">
        <v>4</v>
      </c>
      <c r="C3481" s="371"/>
      <c r="D3481" s="2716" t="str">
        <f>VLOOKUP($A3481,Sheet_NoteList,2,0)</f>
        <v>外币应付账款</v>
      </c>
      <c r="E3481" s="2716" t="s">
        <v>6531</v>
      </c>
      <c r="F3481" s="294"/>
      <c r="G3481" s="307" t="str">
        <f>"("&amp;B3481&amp;")"&amp;D3481</f>
        <v>(4)外币应付账款</v>
      </c>
      <c r="H3481" s="1517" t="str">
        <f>$A3481</f>
        <v>2202d</v>
      </c>
      <c r="I3481" s="343" t="s">
        <v>5578</v>
      </c>
      <c r="J3481" s="301" t="s">
        <v>5577</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4">
      <c r="A3483" s="2714"/>
      <c r="B3483" s="371"/>
      <c r="C3483" s="371"/>
      <c r="D3483" s="371"/>
      <c r="E3483" s="2716" t="s">
        <v>2749</v>
      </c>
      <c r="F3483" s="294"/>
      <c r="G3483" s="1624" t="s">
        <v>1371</v>
      </c>
      <c r="H3483" s="1622" t="s">
        <v>3076</v>
      </c>
      <c r="I3483" s="1622" t="s">
        <v>3077</v>
      </c>
      <c r="J3483" s="1623" t="s">
        <v>3078</v>
      </c>
      <c r="K3483" s="355" t="s">
        <v>5604</v>
      </c>
      <c r="L3483" s="291"/>
      <c r="M3483" s="291"/>
      <c r="N3483" s="291"/>
      <c r="O3483" s="291"/>
      <c r="P3483" s="291"/>
      <c r="Q3483" s="367"/>
      <c r="R3483" s="367"/>
      <c r="S3483" s="364"/>
      <c r="Z3483" s="609" t="s">
        <v>3848</v>
      </c>
      <c r="AA3483" s="609" t="s">
        <v>5675</v>
      </c>
    </row>
    <row r="3484" spans="1:27" ht="18">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5364</v>
      </c>
      <c r="L3484" s="1522" t="s">
        <v>5365</v>
      </c>
      <c r="M3484" s="291"/>
      <c r="N3484" s="291"/>
      <c r="O3484" s="291"/>
      <c r="P3484" s="291"/>
      <c r="Q3484" s="367"/>
      <c r="R3484" s="367"/>
      <c r="S3484" s="364"/>
      <c r="Z3484" s="609" t="s">
        <v>3848</v>
      </c>
      <c r="AA3484" s="609" t="s">
        <v>5675</v>
      </c>
    </row>
    <row r="3485" spans="1:27" ht="18">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5675</v>
      </c>
    </row>
    <row r="3486" spans="1:27" ht="18">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5675</v>
      </c>
    </row>
    <row r="3487" spans="1:27" ht="18">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5675</v>
      </c>
    </row>
    <row r="3488" spans="1:27" ht="18">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5675</v>
      </c>
    </row>
    <row r="3489" spans="1:27" ht="18.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5675</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4">
      <c r="A3491" s="2714" t="s">
        <v>1432</v>
      </c>
      <c r="B3491" s="371">
        <v>5</v>
      </c>
      <c r="C3491" s="371"/>
      <c r="D3491" s="2716" t="str">
        <f>VLOOKUP($A3491,Sheet_NoteList,2,0)</f>
        <v>关联方应收应付款项——应付账款</v>
      </c>
      <c r="E3491" s="2716" t="s">
        <v>6531</v>
      </c>
      <c r="F3491" s="294"/>
      <c r="G3491" s="372" t="str">
        <f>"("&amp;B3491&amp;")"&amp;D3491</f>
        <v>(5)关联方应收应付款项——应付账款</v>
      </c>
      <c r="H3491" s="1517" t="str">
        <f>$A3491</f>
        <v>2202c</v>
      </c>
      <c r="I3491" s="343" t="s">
        <v>5612</v>
      </c>
      <c r="J3491" s="301"/>
      <c r="K3491" s="3084"/>
      <c r="L3491" s="315"/>
      <c r="M3491" s="301"/>
      <c r="N3491" s="3084"/>
      <c r="O3491" s="315"/>
      <c r="P3491" s="301"/>
      <c r="Q3491" s="290" t="str">
        <f>IF($I3491="不适用","",IF(ROUND(SUM($H$3494:$I$3499),2)=0,"请输入",""))</f>
        <v>请输入</v>
      </c>
      <c r="S3491" s="364"/>
      <c r="Z3491" s="609" t="s">
        <v>3848</v>
      </c>
      <c r="AA3491" s="609" t="s">
        <v>5675</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5675</v>
      </c>
    </row>
    <row r="3494" spans="1:27" ht="18">
      <c r="A3494" s="2714"/>
      <c r="B3494" s="371">
        <v>101</v>
      </c>
      <c r="C3494" s="371" t="s">
        <v>2791</v>
      </c>
      <c r="D3494" s="2716">
        <f t="shared" ref="D3494:D3499" si="400">IF(OR(G3494="*",G3494="",G3494=0),0,COUNTIF($G$3494:$G$3499,G3494))</f>
        <v>0</v>
      </c>
      <c r="E3494" s="2721">
        <v>1</v>
      </c>
      <c r="F3494" s="294"/>
      <c r="G3494" s="1634" t="s">
        <v>2792</v>
      </c>
      <c r="H3494" s="309"/>
      <c r="I3494" s="346"/>
      <c r="J3494" s="355" t="s">
        <v>5364</v>
      </c>
      <c r="K3494" s="1522" t="s">
        <v>5613</v>
      </c>
      <c r="L3494" s="291"/>
      <c r="M3494" s="291"/>
      <c r="S3494" s="364"/>
      <c r="Z3494" s="609" t="s">
        <v>3848</v>
      </c>
      <c r="AA3494" s="609" t="s">
        <v>5675</v>
      </c>
    </row>
    <row r="3495" spans="1:27" ht="18">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5675</v>
      </c>
    </row>
    <row r="3496" spans="1:27" ht="18">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5675</v>
      </c>
    </row>
    <row r="3497" spans="1:27" ht="18">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5675</v>
      </c>
    </row>
    <row r="3498" spans="1:27" ht="18">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5675</v>
      </c>
    </row>
    <row r="3499" spans="1:27" ht="18.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5675</v>
      </c>
    </row>
    <row r="3500" spans="1:27" ht="18">
      <c r="A3500" s="2714"/>
      <c r="B3500" s="371"/>
      <c r="C3500" s="371" t="s">
        <v>2755</v>
      </c>
      <c r="D3500" s="371"/>
      <c r="F3500" s="294"/>
      <c r="G3500" s="301"/>
      <c r="H3500" s="315"/>
      <c r="I3500" s="315"/>
      <c r="J3500" s="291"/>
      <c r="K3500" s="291"/>
      <c r="L3500" s="291"/>
      <c r="M3500" s="291"/>
      <c r="S3500" s="364"/>
      <c r="Z3500" s="609" t="s">
        <v>3848</v>
      </c>
      <c r="AA3500" s="609" t="s">
        <v>5675</v>
      </c>
    </row>
    <row r="3501" spans="1:27" ht="24">
      <c r="A3501" s="2714" t="s">
        <v>1443</v>
      </c>
      <c r="B3501" s="371">
        <v>6</v>
      </c>
      <c r="C3501" s="371"/>
      <c r="D3501" s="2716" t="str">
        <f>VLOOKUP($A3501,Sheet_NoteList,2,0)</f>
        <v>单项金额较大的应付账款</v>
      </c>
      <c r="E3501" s="2716" t="s">
        <v>6531</v>
      </c>
      <c r="F3501" s="294"/>
      <c r="G3501" s="372" t="str">
        <f>"("&amp;B3501&amp;")"&amp;D3501</f>
        <v>(6)单项金额较大的应付账款</v>
      </c>
      <c r="H3501" s="1517" t="str">
        <f>$A3501</f>
        <v>2202g</v>
      </c>
      <c r="I3501" s="343" t="s">
        <v>5965</v>
      </c>
      <c r="J3501" s="301" t="s">
        <v>5963</v>
      </c>
      <c r="K3501" s="2210">
        <f>H3509</f>
        <v>0</v>
      </c>
      <c r="L3501" s="345" t="str">
        <f>IF($I3501="适用",IF(ROUND(K3442-K3501,2)&gt;=0,"","#Logical!"),"#N/A")</f>
        <v/>
      </c>
      <c r="M3501" s="301"/>
      <c r="N3501" s="3084"/>
      <c r="O3501" s="315"/>
      <c r="P3501" s="301"/>
      <c r="S3501" s="364"/>
      <c r="Z3501" s="609" t="s">
        <v>3848</v>
      </c>
      <c r="AA3501" s="609" t="s">
        <v>5675</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18">
      <c r="A3503" s="2714"/>
      <c r="B3503" s="371"/>
      <c r="C3503" s="371"/>
      <c r="D3503" s="371"/>
      <c r="E3503" s="586" t="s">
        <v>2749</v>
      </c>
      <c r="F3503" s="363"/>
      <c r="G3503" s="2363" t="s">
        <v>3865</v>
      </c>
      <c r="H3503" s="2364" t="s">
        <v>3866</v>
      </c>
      <c r="I3503" s="2364" t="s">
        <v>2961</v>
      </c>
      <c r="J3503" s="2365" t="s">
        <v>3867</v>
      </c>
      <c r="K3503" s="355" t="s">
        <v>6176</v>
      </c>
      <c r="L3503" s="291"/>
      <c r="M3503" s="291"/>
      <c r="N3503" s="291"/>
      <c r="S3503" s="364"/>
      <c r="Z3503" s="609" t="s">
        <v>3848</v>
      </c>
      <c r="AA3503" s="609" t="s">
        <v>5675</v>
      </c>
    </row>
    <row r="3504" spans="1:27" ht="18">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5675</v>
      </c>
    </row>
    <row r="3505" spans="1:27" ht="18">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5675</v>
      </c>
    </row>
    <row r="3506" spans="1:27" ht="18">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5675</v>
      </c>
    </row>
    <row r="3507" spans="1:27" ht="18">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5675</v>
      </c>
    </row>
    <row r="3508" spans="1:27" ht="18">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5675</v>
      </c>
    </row>
    <row r="3509" spans="1:27" ht="18.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5675</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5675</v>
      </c>
    </row>
    <row r="3511" spans="1:27" ht="18">
      <c r="A3511" s="2714" t="s">
        <v>1448</v>
      </c>
      <c r="B3511" s="371">
        <v>7</v>
      </c>
      <c r="C3511" s="371"/>
      <c r="D3511" s="2716" t="str">
        <f>VLOOKUP($A3511,Sheet_NoteList,2,0)</f>
        <v>应付账款补充资料</v>
      </c>
      <c r="E3511" s="2716" t="s">
        <v>6531</v>
      </c>
      <c r="F3511" s="294"/>
      <c r="G3511" s="597" t="str">
        <f>"("&amp;B3511&amp;")"&amp;D3511</f>
        <v>(7)应付账款补充资料</v>
      </c>
      <c r="H3511" s="1517" t="str">
        <f>$A3511</f>
        <v>2202x</v>
      </c>
      <c r="I3511" s="343" t="s">
        <v>5966</v>
      </c>
      <c r="J3511" s="301" t="s">
        <v>5963</v>
      </c>
      <c r="K3511" s="2210">
        <f>H3528</f>
        <v>0</v>
      </c>
      <c r="L3511" s="345"/>
      <c r="M3511" s="301"/>
      <c r="N3511" s="3084"/>
      <c r="O3511" s="315"/>
      <c r="P3511" s="301"/>
      <c r="S3511" s="364"/>
      <c r="Z3511" s="609" t="s">
        <v>3848</v>
      </c>
      <c r="AA3511" s="609" t="s">
        <v>5675</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8">
      <c r="A3513" s="2714"/>
      <c r="B3513" s="371"/>
      <c r="C3513" s="371"/>
      <c r="D3513" s="371"/>
      <c r="E3513" s="2716" t="s">
        <v>2749</v>
      </c>
      <c r="F3513" s="294"/>
      <c r="G3513" s="2386" t="s">
        <v>1465</v>
      </c>
      <c r="H3513" s="2398" t="s">
        <v>2775</v>
      </c>
      <c r="I3513" s="2388" t="s">
        <v>2508</v>
      </c>
      <c r="J3513" s="355" t="s">
        <v>6176</v>
      </c>
      <c r="K3513" s="291"/>
      <c r="L3513" s="291"/>
      <c r="M3513" s="291"/>
      <c r="N3513" s="291"/>
      <c r="S3513" s="364"/>
      <c r="Z3513" s="609" t="s">
        <v>3848</v>
      </c>
      <c r="AA3513" s="609" t="s">
        <v>5675</v>
      </c>
    </row>
    <row r="3514" spans="1:27" ht="24">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5675</v>
      </c>
    </row>
    <row r="3515" spans="1:27" ht="18">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5675</v>
      </c>
    </row>
    <row r="3516" spans="1:27" ht="18">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5675</v>
      </c>
    </row>
    <row r="3517" spans="1:27" ht="18">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5675</v>
      </c>
    </row>
    <row r="3518" spans="1:27" ht="18">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5675</v>
      </c>
    </row>
    <row r="3519" spans="1:27" ht="18">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5675</v>
      </c>
    </row>
    <row r="3520" spans="1:27" ht="24">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5675</v>
      </c>
    </row>
    <row r="3521" spans="1:27" ht="18">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5675</v>
      </c>
    </row>
    <row r="3522" spans="1:27" ht="18">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5675</v>
      </c>
    </row>
    <row r="3523" spans="1:27" ht="18">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5675</v>
      </c>
    </row>
    <row r="3524" spans="1:27" ht="18">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5675</v>
      </c>
    </row>
    <row r="3525" spans="1:27" ht="18">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5675</v>
      </c>
    </row>
    <row r="3526" spans="1:27" ht="18">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5675</v>
      </c>
    </row>
    <row r="3527" spans="1:27" ht="18">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5675</v>
      </c>
    </row>
    <row r="3528" spans="1:27" ht="18.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5675</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5675</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0</v>
      </c>
      <c r="O3530" s="306"/>
      <c r="P3530" s="301"/>
      <c r="S3530" s="364"/>
      <c r="Z3530" s="609" t="s">
        <v>3873</v>
      </c>
      <c r="AA3530" s="609" t="s">
        <v>5676</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t="str">
        <f>IF($I3531="适用",IF(ROUND(N$3530-N3531,2)=0,"F/S",ROUND(N$3530-N3531,2)),"#N/A")</f>
        <v>F/S</v>
      </c>
      <c r="P3531" s="301"/>
      <c r="Q3531" s="290" t="str">
        <f>IF($I3531="不适用","",IF(ROUND(SUM($H$3534:$I$3539),2)=0,"请输入",""))</f>
        <v>请输入</v>
      </c>
      <c r="S3531" s="364"/>
      <c r="Z3531" s="609" t="s">
        <v>3873</v>
      </c>
      <c r="AA3531" s="609" t="s">
        <v>5676</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18">
      <c r="A3533" s="2714"/>
      <c r="B3533" s="371"/>
      <c r="C3533" s="371"/>
      <c r="D3533" s="371"/>
      <c r="E3533" s="2716" t="s">
        <v>2749</v>
      </c>
      <c r="F3533" s="294"/>
      <c r="G3533" s="410" t="s">
        <v>47</v>
      </c>
      <c r="H3533" s="1454" t="str">
        <f>$V$2</f>
        <v>2019年12月31日</v>
      </c>
      <c r="I3533" s="1455" t="str">
        <f>$V$3</f>
        <v>2018年12月31日</v>
      </c>
      <c r="J3533" s="355" t="s">
        <v>5304</v>
      </c>
      <c r="K3533" s="291"/>
      <c r="L3533" s="291"/>
      <c r="M3533" s="291"/>
      <c r="S3533" s="364"/>
      <c r="Z3533" s="609" t="s">
        <v>3873</v>
      </c>
      <c r="AA3533" s="609" t="s">
        <v>5676</v>
      </c>
    </row>
    <row r="3534" spans="1:27" ht="18">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5676</v>
      </c>
    </row>
    <row r="3535" spans="1:27" ht="18">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5676</v>
      </c>
    </row>
    <row r="3536" spans="1:27" ht="18">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5676</v>
      </c>
    </row>
    <row r="3537" spans="1:29" ht="18">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5676</v>
      </c>
    </row>
    <row r="3538" spans="1:29" ht="18">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5676</v>
      </c>
    </row>
    <row r="3539" spans="1:29" ht="18.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6573</v>
      </c>
    </row>
    <row r="3540" spans="1:29" ht="18">
      <c r="A3540" s="2714"/>
      <c r="B3540" s="371"/>
      <c r="C3540" s="371" t="s">
        <v>2755</v>
      </c>
      <c r="D3540" s="371"/>
      <c r="F3540" s="294"/>
      <c r="G3540" s="301"/>
      <c r="H3540" s="315"/>
      <c r="I3540" s="315"/>
      <c r="J3540" s="291"/>
      <c r="K3540" s="291"/>
      <c r="L3540" s="291"/>
      <c r="M3540" s="291"/>
      <c r="S3540" s="364"/>
      <c r="Z3540" s="609" t="s">
        <v>3873</v>
      </c>
      <c r="AA3540" s="609" t="s">
        <v>5676</v>
      </c>
    </row>
    <row r="3541" spans="1:29" ht="18">
      <c r="A3541" s="2714" t="s">
        <v>1490</v>
      </c>
      <c r="B3541" s="371">
        <v>2</v>
      </c>
      <c r="C3541" s="371"/>
      <c r="D3541" s="2716" t="str">
        <f>VLOOKUP($A3541,Sheet_NoteList,2,0)</f>
        <v>预收账款按账龄列示</v>
      </c>
      <c r="E3541" s="2716" t="s">
        <v>6531</v>
      </c>
      <c r="F3541" s="294"/>
      <c r="G3541" s="307" t="str">
        <f>"("&amp;B3541&amp;")"&amp;D3541</f>
        <v>(2)预收账款按账龄列示</v>
      </c>
      <c r="H3541" s="1517" t="str">
        <f>$A3541</f>
        <v>2205g</v>
      </c>
      <c r="I3541" s="343" t="s">
        <v>5566</v>
      </c>
      <c r="J3541" s="301" t="s">
        <v>5564</v>
      </c>
      <c r="K3541" s="2210">
        <f>H3549</f>
        <v>0</v>
      </c>
      <c r="L3541" s="345" t="str">
        <f>IF($I3541="适用",IF(ROUND(K$3530-K3541,2)=0,"F/S",ROUND(K$3530-K3541,2)),"#N/A")</f>
        <v>F/S</v>
      </c>
      <c r="M3541" s="301" t="s">
        <v>5565</v>
      </c>
      <c r="N3541" s="2210">
        <f>I3549</f>
        <v>0</v>
      </c>
      <c r="O3541" s="345" t="str">
        <f>IF($I3541="适用",IF(ROUND(N$3530-N3541,2)=0,"F/S",ROUND(N$3530-N3541,2)),"#N/A")</f>
        <v>F/S</v>
      </c>
      <c r="P3541" s="301"/>
      <c r="S3541" s="364"/>
      <c r="Z3541" s="609" t="s">
        <v>3873</v>
      </c>
      <c r="AA3541" s="609" t="s">
        <v>5676</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8">
      <c r="A3543" s="2714"/>
      <c r="B3543" s="371"/>
      <c r="C3543" s="371"/>
      <c r="D3543" s="371"/>
      <c r="E3543" s="586" t="s">
        <v>2749</v>
      </c>
      <c r="F3543" s="363"/>
      <c r="G3543" s="2660" t="s">
        <v>1439</v>
      </c>
      <c r="H3543" s="2661" t="s">
        <v>2775</v>
      </c>
      <c r="I3543" s="2662" t="s">
        <v>2776</v>
      </c>
      <c r="J3543" s="355" t="s">
        <v>6176</v>
      </c>
      <c r="K3543" s="291"/>
      <c r="L3543" s="291"/>
      <c r="M3543" s="291"/>
      <c r="S3543" s="364"/>
      <c r="Z3543" s="609" t="s">
        <v>3873</v>
      </c>
      <c r="AA3543" s="609" t="s">
        <v>5676</v>
      </c>
    </row>
    <row r="3544" spans="1:29" ht="18">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5676</v>
      </c>
    </row>
    <row r="3545" spans="1:29" ht="18">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5676</v>
      </c>
    </row>
    <row r="3546" spans="1:29" ht="18">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5676</v>
      </c>
    </row>
    <row r="3547" spans="1:29" ht="18">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5676</v>
      </c>
    </row>
    <row r="3548" spans="1:29" ht="18">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5676</v>
      </c>
    </row>
    <row r="3549" spans="1:29" ht="18.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5676</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8.75" thickTop="1">
      <c r="A3551" s="2714"/>
      <c r="B3551" s="371"/>
      <c r="C3551" s="371" t="s">
        <v>2565</v>
      </c>
      <c r="D3551" s="371"/>
      <c r="F3551" s="294"/>
      <c r="G3551" s="1561" t="s">
        <v>5367</v>
      </c>
      <c r="H3551" s="1550" t="str">
        <f>G3531</f>
        <v>(1)预收款项列示</v>
      </c>
      <c r="I3551" s="1552"/>
      <c r="J3551" s="1553" t="s">
        <v>5368</v>
      </c>
      <c r="K3551" s="291"/>
      <c r="L3551" s="291"/>
      <c r="M3551" s="291"/>
      <c r="S3551" s="364"/>
      <c r="Z3551" s="609" t="s">
        <v>3873</v>
      </c>
      <c r="AA3551" s="609" t="s">
        <v>5676</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5676</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5676</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5676</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5676</v>
      </c>
    </row>
    <row r="3557" spans="1:27" ht="18">
      <c r="A3557" s="2714"/>
      <c r="B3557" s="371"/>
      <c r="C3557" s="371" t="s">
        <v>2565</v>
      </c>
      <c r="D3557" s="371"/>
      <c r="F3557" s="294"/>
      <c r="G3557" s="354"/>
      <c r="H3557" s="461"/>
      <c r="I3557" s="461"/>
      <c r="J3557" s="354"/>
      <c r="K3557" s="291"/>
      <c r="L3557" s="291"/>
      <c r="M3557" s="291"/>
      <c r="S3557" s="364"/>
      <c r="Z3557" s="609" t="s">
        <v>3873</v>
      </c>
      <c r="AA3557" s="609" t="s">
        <v>5676</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84"/>
      <c r="O3558" s="315"/>
      <c r="P3558" s="301"/>
      <c r="Q3558" s="290" t="str">
        <f>IF($I3558="不适用","",IF(ROUND(SUM($H$3561:$I$3566),2)=0,"请输入",""))</f>
        <v>请输入</v>
      </c>
      <c r="S3558" s="364"/>
      <c r="Z3558" s="609" t="s">
        <v>3873</v>
      </c>
      <c r="AA3558" s="609" t="s">
        <v>5676</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4">
      <c r="A3560" s="2714"/>
      <c r="B3560" s="371"/>
      <c r="C3560" s="371"/>
      <c r="D3560" s="371"/>
      <c r="E3560" s="2716" t="s">
        <v>2749</v>
      </c>
      <c r="F3560" s="294"/>
      <c r="G3560" s="378" t="s">
        <v>47</v>
      </c>
      <c r="H3560" s="2473" t="str">
        <f>$V$2</f>
        <v>2019年12月31日</v>
      </c>
      <c r="I3560" s="1488" t="s">
        <v>5213</v>
      </c>
      <c r="J3560" s="355" t="s">
        <v>5304</v>
      </c>
      <c r="K3560" s="291"/>
      <c r="L3560" s="291"/>
      <c r="M3560" s="291"/>
      <c r="N3560" s="291"/>
      <c r="S3560" s="364"/>
      <c r="Z3560" s="609" t="s">
        <v>3873</v>
      </c>
      <c r="AA3560" s="609" t="s">
        <v>5676</v>
      </c>
    </row>
    <row r="3561" spans="1:27" ht="18">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5676</v>
      </c>
    </row>
    <row r="3562" spans="1:27" ht="18">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5676</v>
      </c>
    </row>
    <row r="3563" spans="1:27" ht="18">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5676</v>
      </c>
    </row>
    <row r="3564" spans="1:27" ht="18">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5676</v>
      </c>
    </row>
    <row r="3565" spans="1:27" ht="18">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5676</v>
      </c>
    </row>
    <row r="3566" spans="1:27" ht="18.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5676</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5676</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84"/>
      <c r="O3568" s="315"/>
      <c r="P3568" s="301"/>
      <c r="Q3568" s="290" t="str">
        <f>IF($I3568="不适用","",IF(ROUND(SUM($H$3571:$I$3576),2)=0,"请输入",""))</f>
        <v>请输入</v>
      </c>
      <c r="S3568" s="364"/>
      <c r="Z3568" s="609" t="s">
        <v>3873</v>
      </c>
      <c r="AA3568" s="609" t="s">
        <v>5676</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18">
      <c r="A3570" s="2714"/>
      <c r="B3570" s="371"/>
      <c r="C3570" s="371"/>
      <c r="D3570" s="371"/>
      <c r="E3570" s="586" t="s">
        <v>2749</v>
      </c>
      <c r="F3570" s="363"/>
      <c r="G3570" s="2361" t="s">
        <v>47</v>
      </c>
      <c r="H3570" s="2479" t="str">
        <f>$V$2</f>
        <v>2019年12月31日</v>
      </c>
      <c r="I3570" s="355" t="s">
        <v>5304</v>
      </c>
      <c r="J3570" s="537"/>
      <c r="K3570" s="537"/>
      <c r="L3570" s="472"/>
      <c r="M3570" s="472"/>
      <c r="N3570" s="472"/>
      <c r="O3570" s="472"/>
      <c r="P3570" s="442"/>
      <c r="Q3570" s="442"/>
      <c r="R3570" s="443"/>
      <c r="S3570" s="364"/>
      <c r="Z3570" s="609" t="s">
        <v>3873</v>
      </c>
      <c r="AA3570" s="609" t="s">
        <v>5676</v>
      </c>
    </row>
    <row r="3571" spans="1:27" ht="18">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5676</v>
      </c>
    </row>
    <row r="3572" spans="1:27" ht="18">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5676</v>
      </c>
    </row>
    <row r="3573" spans="1:27" ht="18">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5676</v>
      </c>
    </row>
    <row r="3574" spans="1:27" ht="18">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5676</v>
      </c>
    </row>
    <row r="3575" spans="1:27" ht="18">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5676</v>
      </c>
    </row>
    <row r="3576" spans="1:27" ht="24.7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5676</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4">
      <c r="A3578" s="2714" t="s">
        <v>1485</v>
      </c>
      <c r="B3578" s="371">
        <v>5</v>
      </c>
      <c r="C3578" s="371"/>
      <c r="D3578" s="2716" t="str">
        <f>VLOOKUP($A3578,Sheet_NoteList,2,0)</f>
        <v>预收款项中预售房产收款情况</v>
      </c>
      <c r="E3578" s="2716" t="s">
        <v>6531</v>
      </c>
      <c r="F3578" s="294"/>
      <c r="G3578" s="372" t="str">
        <f>"("&amp;B3578&amp;")"&amp;D3578</f>
        <v>(5)预收款项中预售房产收款情况</v>
      </c>
      <c r="H3578" s="1517" t="str">
        <f>$A3578</f>
        <v>2205e</v>
      </c>
      <c r="I3578" s="343" t="s">
        <v>5974</v>
      </c>
      <c r="J3578" s="301" t="s">
        <v>5973</v>
      </c>
      <c r="K3578" s="2210">
        <f>H3586</f>
        <v>0</v>
      </c>
      <c r="L3578" s="345" t="str">
        <f>IF($I3578="适用",IF(ROUND(K$3530-K3578,2)&gt;=0,"","#Logical!"),"#N/A")</f>
        <v/>
      </c>
      <c r="M3578" s="301" t="s">
        <v>5970</v>
      </c>
      <c r="N3578" s="2210">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6176</v>
      </c>
      <c r="M3580" s="291"/>
      <c r="N3580" s="291"/>
      <c r="O3580" s="291"/>
      <c r="S3580" s="364"/>
      <c r="Z3580" s="609" t="s">
        <v>3873</v>
      </c>
      <c r="AA3580" s="609" t="s">
        <v>5676</v>
      </c>
    </row>
    <row r="3581" spans="1:27" ht="18">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5676</v>
      </c>
    </row>
    <row r="3582" spans="1:27" ht="18">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5676</v>
      </c>
    </row>
    <row r="3583" spans="1:27" ht="18">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5676</v>
      </c>
    </row>
    <row r="3584" spans="1:27" ht="18">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5676</v>
      </c>
    </row>
    <row r="3585" spans="1:27" ht="18">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5676</v>
      </c>
    </row>
    <row r="3586" spans="1:27" ht="18.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5676</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4">
      <c r="A3588" s="2714" t="s">
        <v>1474</v>
      </c>
      <c r="B3588" s="371">
        <v>6</v>
      </c>
      <c r="C3588" s="371"/>
      <c r="D3588" s="2716" t="str">
        <f>VLOOKUP($A3588,Sheet_NoteList,2,0)</f>
        <v>关联方应收应付款项——预收款项</v>
      </c>
      <c r="E3588" s="2716" t="s">
        <v>6531</v>
      </c>
      <c r="F3588" s="294"/>
      <c r="G3588" s="372" t="str">
        <f>"("&amp;B3588&amp;")"&amp;D3588</f>
        <v>(6)关联方应收应付款项——预收款项</v>
      </c>
      <c r="H3588" s="1517" t="str">
        <f>$A3588</f>
        <v>2205c</v>
      </c>
      <c r="I3588" s="343" t="s">
        <v>5612</v>
      </c>
      <c r="J3588" s="301"/>
      <c r="K3588" s="3084"/>
      <c r="L3588" s="315"/>
      <c r="M3588" s="301"/>
      <c r="N3588" s="3084"/>
      <c r="O3588" s="315"/>
      <c r="P3588" s="301"/>
      <c r="Q3588" s="290" t="str">
        <f>IF($I3588="不适用","",IF(ROUND(SUM($H$3591:$I$3596),2)=0,"请输入",""))</f>
        <v>请输入</v>
      </c>
      <c r="S3588" s="364"/>
      <c r="Z3588" s="609" t="s">
        <v>3873</v>
      </c>
      <c r="AA3588" s="609" t="s">
        <v>5676</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5676</v>
      </c>
    </row>
    <row r="3591" spans="1:27" ht="18">
      <c r="A3591" s="2714"/>
      <c r="B3591" s="371">
        <v>101</v>
      </c>
      <c r="C3591" s="371" t="s">
        <v>2791</v>
      </c>
      <c r="D3591" s="2716">
        <f t="shared" ref="D3591:D3596" si="408">IF(OR(G3591="*",G3591="",G3591=0),0,COUNTIF($G$3591:$G$3596,G3591))</f>
        <v>0</v>
      </c>
      <c r="E3591" s="2721">
        <v>1</v>
      </c>
      <c r="F3591" s="294"/>
      <c r="G3591" s="1634" t="s">
        <v>2792</v>
      </c>
      <c r="H3591" s="309"/>
      <c r="I3591" s="346"/>
      <c r="J3591" s="355" t="s">
        <v>5364</v>
      </c>
      <c r="K3591" s="1522" t="s">
        <v>5613</v>
      </c>
      <c r="L3591" s="291"/>
      <c r="M3591" s="291"/>
      <c r="S3591" s="364"/>
      <c r="Z3591" s="609" t="s">
        <v>3873</v>
      </c>
      <c r="AA3591" s="609" t="s">
        <v>5676</v>
      </c>
    </row>
    <row r="3592" spans="1:27" ht="18">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5676</v>
      </c>
    </row>
    <row r="3593" spans="1:27" ht="18">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5676</v>
      </c>
    </row>
    <row r="3594" spans="1:27" ht="18">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5676</v>
      </c>
    </row>
    <row r="3595" spans="1:27" ht="18">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5676</v>
      </c>
    </row>
    <row r="3596" spans="1:27" ht="18.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5676</v>
      </c>
    </row>
    <row r="3597" spans="1:27" ht="18">
      <c r="A3597" s="2714"/>
      <c r="B3597" s="371"/>
      <c r="C3597" s="371" t="s">
        <v>2755</v>
      </c>
      <c r="D3597" s="371"/>
      <c r="F3597" s="294"/>
      <c r="G3597" s="301"/>
      <c r="H3597" s="315"/>
      <c r="I3597" s="315"/>
      <c r="J3597" s="291"/>
      <c r="K3597" s="291"/>
      <c r="L3597" s="291"/>
      <c r="M3597" s="291"/>
      <c r="S3597" s="364"/>
      <c r="Z3597" s="609" t="s">
        <v>3873</v>
      </c>
      <c r="AA3597" s="609" t="s">
        <v>5676</v>
      </c>
    </row>
    <row r="3598" spans="1:27" ht="18">
      <c r="A3598" s="2714" t="s">
        <v>1495</v>
      </c>
      <c r="B3598" s="371">
        <v>7</v>
      </c>
      <c r="C3598" s="371"/>
      <c r="D3598" s="2716" t="str">
        <f>VLOOKUP($A3598,Sheet_NoteList,2,0)</f>
        <v>预收款项补充资料</v>
      </c>
      <c r="E3598" s="2716" t="s">
        <v>6531</v>
      </c>
      <c r="F3598" s="294"/>
      <c r="G3598" s="597" t="str">
        <f>"("&amp;B3598&amp;")"&amp;D3598</f>
        <v>(7)预收款项补充资料</v>
      </c>
      <c r="H3598" s="1517" t="str">
        <f>$A3598</f>
        <v>2205x</v>
      </c>
      <c r="I3598" s="343" t="s">
        <v>5966</v>
      </c>
      <c r="J3598" s="301" t="s">
        <v>5971</v>
      </c>
      <c r="K3598" s="2210">
        <f>H3615</f>
        <v>0</v>
      </c>
      <c r="L3598" s="345"/>
      <c r="M3598" s="301"/>
      <c r="N3598" s="3084"/>
      <c r="O3598" s="315"/>
      <c r="P3598" s="301"/>
      <c r="S3598" s="364"/>
      <c r="Z3598" s="609" t="s">
        <v>3873</v>
      </c>
      <c r="AA3598" s="609" t="s">
        <v>5676</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8">
      <c r="A3600" s="2714"/>
      <c r="B3600" s="371"/>
      <c r="C3600" s="371"/>
      <c r="D3600" s="371"/>
      <c r="E3600" s="2716" t="s">
        <v>2749</v>
      </c>
      <c r="F3600" s="294"/>
      <c r="G3600" s="2386" t="s">
        <v>1465</v>
      </c>
      <c r="H3600" s="2398" t="s">
        <v>2775</v>
      </c>
      <c r="I3600" s="2388" t="s">
        <v>2508</v>
      </c>
      <c r="J3600" s="355" t="s">
        <v>6176</v>
      </c>
      <c r="K3600" s="291"/>
      <c r="L3600" s="291"/>
      <c r="M3600" s="291"/>
      <c r="N3600" s="291"/>
      <c r="S3600" s="364"/>
      <c r="Z3600" s="609" t="s">
        <v>3873</v>
      </c>
      <c r="AA3600" s="609" t="s">
        <v>5676</v>
      </c>
    </row>
    <row r="3601" spans="1:27" ht="24">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5676</v>
      </c>
    </row>
    <row r="3602" spans="1:27" ht="18">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5676</v>
      </c>
    </row>
    <row r="3603" spans="1:27" ht="18">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5676</v>
      </c>
    </row>
    <row r="3604" spans="1:27" ht="18">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5676</v>
      </c>
    </row>
    <row r="3605" spans="1:27" ht="18">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5676</v>
      </c>
    </row>
    <row r="3606" spans="1:27" ht="18">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5676</v>
      </c>
    </row>
    <row r="3607" spans="1:27" ht="24">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5676</v>
      </c>
    </row>
    <row r="3608" spans="1:27" ht="18">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5676</v>
      </c>
    </row>
    <row r="3609" spans="1:27" ht="18">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5676</v>
      </c>
    </row>
    <row r="3610" spans="1:27" ht="18">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5676</v>
      </c>
    </row>
    <row r="3611" spans="1:27" ht="18">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5676</v>
      </c>
    </row>
    <row r="3612" spans="1:27" ht="18">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5676</v>
      </c>
    </row>
    <row r="3613" spans="1:27" ht="18">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5676</v>
      </c>
    </row>
    <row r="3614" spans="1:27" ht="18">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5676</v>
      </c>
    </row>
    <row r="3615" spans="1:27" ht="18.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5676</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5676</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621334.09</v>
      </c>
      <c r="L3617" s="342"/>
      <c r="M3617" s="306" t="s">
        <v>2741</v>
      </c>
      <c r="N3617" s="341">
        <f>VLOOKUP($A3617,Sheet_Trialbal,10,0)</f>
        <v>306477.86</v>
      </c>
      <c r="O3617" s="306"/>
      <c r="P3617" s="301"/>
      <c r="S3617" s="364"/>
      <c r="Z3617" s="609" t="s">
        <v>3893</v>
      </c>
      <c r="AA3617" s="609" t="s">
        <v>5678</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621334.09</v>
      </c>
      <c r="L3618" s="345" t="str">
        <f>IF($I3618="适用",IF(ROUND(K3617-K3618,2)=0,"F/S",ROUND(K3617-K3618,2)),"#N/A")</f>
        <v>F/S</v>
      </c>
      <c r="M3618" s="301" t="s">
        <v>2745</v>
      </c>
      <c r="N3618" s="2210">
        <f>H3626</f>
        <v>306477.86</v>
      </c>
      <c r="O3618" s="345" t="str">
        <f>IF($I3618="适用",IF(ROUND(N3617-N3618,2)=0,"F/S",ROUND(N3617-N3618,2)),"#N/A")</f>
        <v>F/S</v>
      </c>
      <c r="P3618" s="301"/>
      <c r="Q3618" s="290" t="str">
        <f>IF($I3618="不适用","",IF(ROUND(SUM($H$3621:$K$3626),2)=0,"请输入",""))</f>
        <v/>
      </c>
      <c r="S3618" s="364"/>
      <c r="Z3618" s="609" t="s">
        <v>3893</v>
      </c>
      <c r="AA3618" s="609" t="s">
        <v>5678</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5305</v>
      </c>
      <c r="M3620" s="291"/>
      <c r="N3620" s="291"/>
      <c r="O3620" s="291"/>
      <c r="S3620" s="364"/>
      <c r="Z3620" s="609" t="s">
        <v>3893</v>
      </c>
      <c r="AA3620" s="609" t="s">
        <v>5678</v>
      </c>
    </row>
    <row r="3621" spans="1:29" ht="18">
      <c r="A3621" s="2714"/>
      <c r="B3621" s="371">
        <v>101</v>
      </c>
      <c r="C3621" s="371"/>
      <c r="D3621" s="2716">
        <f t="shared" ref="D3621:D3626" si="410">IF(OR(G3621="*",G3621="",G3621=0),0,COUNTIF($G$3621:$G$3626,G3621))</f>
        <v>1</v>
      </c>
      <c r="E3621" s="2721">
        <v>1</v>
      </c>
      <c r="F3621" s="294"/>
      <c r="G3621" s="1474" t="s">
        <v>3895</v>
      </c>
      <c r="H3621" s="2275">
        <v>279430.26</v>
      </c>
      <c r="I3621" s="2275">
        <f>I3648</f>
        <v>4339793.26</v>
      </c>
      <c r="J3621" s="2275">
        <f>J3648</f>
        <v>4037373.63</v>
      </c>
      <c r="K3621" s="1477">
        <f>H3621+I3621-J3621</f>
        <v>581849.89</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6573</v>
      </c>
    </row>
    <row r="3622" spans="1:29" ht="18">
      <c r="A3622" s="2714"/>
      <c r="B3622" s="371">
        <v>102</v>
      </c>
      <c r="C3622" s="371"/>
      <c r="D3622" s="2716">
        <f t="shared" si="410"/>
        <v>1</v>
      </c>
      <c r="E3622" s="2721">
        <v>1</v>
      </c>
      <c r="F3622" s="294"/>
      <c r="G3622" s="1474" t="s">
        <v>3896</v>
      </c>
      <c r="H3622" s="2275">
        <v>27047.599999999999</v>
      </c>
      <c r="I3622" s="2275">
        <f>I3672</f>
        <v>467347.07</v>
      </c>
      <c r="J3622" s="2275">
        <f>J3672</f>
        <v>454910.47</v>
      </c>
      <c r="K3622" s="1477">
        <f>H3622+I3622-J3622</f>
        <v>39484.199999999997</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6573</v>
      </c>
    </row>
    <row r="3623" spans="1:29" ht="18">
      <c r="A3623" s="2714"/>
      <c r="B3623" s="371">
        <v>103</v>
      </c>
      <c r="C3623" s="371"/>
      <c r="D3623" s="2716">
        <f t="shared" si="410"/>
        <v>1</v>
      </c>
      <c r="E3623" s="2721">
        <v>1</v>
      </c>
      <c r="F3623" s="294"/>
      <c r="G3623" s="1474" t="s">
        <v>3897</v>
      </c>
      <c r="H3623" s="2275"/>
      <c r="I3623" s="2275"/>
      <c r="J3623" s="2275"/>
      <c r="K3623" s="1477">
        <f>H3623+I3623-J3623</f>
        <v>0</v>
      </c>
      <c r="L3623" s="291"/>
      <c r="M3623" s="291"/>
      <c r="N3623" s="291"/>
      <c r="O3623" s="291"/>
      <c r="S3623" s="364"/>
      <c r="Z3623" s="609" t="s">
        <v>3893</v>
      </c>
      <c r="AA3623" s="609" t="s">
        <v>5678</v>
      </c>
    </row>
    <row r="3624" spans="1:29" ht="18">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5678</v>
      </c>
    </row>
    <row r="3625" spans="1:29" ht="18">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5678</v>
      </c>
    </row>
    <row r="3626" spans="1:29" ht="18.75" thickBot="1">
      <c r="A3626" s="2714"/>
      <c r="B3626" s="371"/>
      <c r="C3626" s="371"/>
      <c r="D3626" s="2716">
        <f t="shared" si="410"/>
        <v>1</v>
      </c>
      <c r="E3626" s="2721" t="s">
        <v>2751</v>
      </c>
      <c r="F3626" s="294"/>
      <c r="G3626" s="374" t="s">
        <v>2752</v>
      </c>
      <c r="H3626" s="1478">
        <f>SUMPRODUCT($E3620:$E3625,H3620:H3625)</f>
        <v>306477.86</v>
      </c>
      <c r="I3626" s="1478">
        <f>SUMPRODUCT($E3620:$E3625,I3620:I3625)</f>
        <v>4807140.33</v>
      </c>
      <c r="J3626" s="1478">
        <f>SUMPRODUCT($E3620:$E3625,J3620:J3625)</f>
        <v>4492284.0999999996</v>
      </c>
      <c r="K3626" s="1479">
        <f>SUMPRODUCT($E3620:$E3625,K3620:K3625)</f>
        <v>621334.09</v>
      </c>
      <c r="L3626" s="291"/>
      <c r="M3626" s="291"/>
      <c r="N3626" s="291"/>
      <c r="O3626" s="291"/>
      <c r="S3626" s="364"/>
      <c r="Z3626" s="609" t="s">
        <v>3893</v>
      </c>
      <c r="AA3626" s="609" t="s">
        <v>5678</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581849.89</v>
      </c>
      <c r="L3628" s="345"/>
      <c r="M3628" s="301" t="s">
        <v>2745</v>
      </c>
      <c r="N3628" s="2210">
        <f>H3648</f>
        <v>279430.26</v>
      </c>
      <c r="O3628" s="345"/>
      <c r="P3628" s="301"/>
      <c r="Q3628" s="290" t="str">
        <f>IF($I3628="不适用","",IF(ROUND(SUM($H$3631:$K$3648),2)=0,"请输入",""))</f>
        <v/>
      </c>
      <c r="S3628" s="364"/>
      <c r="Z3628" s="609" t="s">
        <v>3893</v>
      </c>
      <c r="AA3628" s="609" t="s">
        <v>5678</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5305</v>
      </c>
      <c r="M3630" s="291"/>
      <c r="N3630" s="291"/>
      <c r="O3630" s="291"/>
      <c r="S3630" s="364"/>
      <c r="Z3630" s="609" t="s">
        <v>3893</v>
      </c>
      <c r="AA3630" s="609" t="s">
        <v>5678</v>
      </c>
    </row>
    <row r="3631" spans="1:29" ht="18">
      <c r="A3631" s="2714"/>
      <c r="B3631" s="371">
        <v>101</v>
      </c>
      <c r="C3631" s="371"/>
      <c r="D3631" s="2716">
        <f t="shared" ref="D3631:D3648" si="411">IF(OR(G3631="*",G3631="",G3631=0),0,COUNTIF($G$3631:$G$3648,G3631))</f>
        <v>1</v>
      </c>
      <c r="E3631" s="2721">
        <v>1</v>
      </c>
      <c r="F3631" s="340"/>
      <c r="G3631" s="1474" t="s">
        <v>3900</v>
      </c>
      <c r="H3631" s="2275">
        <v>263164.86</v>
      </c>
      <c r="I3631" s="2275">
        <f>500000+3343350.16-180500-AJE!O13</f>
        <v>3657585.16</v>
      </c>
      <c r="J3631" s="2275">
        <f>14190+3355153.84</f>
        <v>3369343.84</v>
      </c>
      <c r="K3631" s="1477">
        <f>H3631+I3631-J3631</f>
        <v>551406.18000000005</v>
      </c>
      <c r="L3631" s="291"/>
      <c r="M3631" s="291"/>
      <c r="N3631" s="291"/>
      <c r="O3631" s="291"/>
      <c r="S3631" s="364"/>
      <c r="Z3631" s="609" t="s">
        <v>3893</v>
      </c>
      <c r="AA3631" s="609" t="s">
        <v>5678</v>
      </c>
    </row>
    <row r="3632" spans="1:29" ht="18">
      <c r="A3632" s="2714"/>
      <c r="B3632" s="371">
        <v>102</v>
      </c>
      <c r="C3632" s="371"/>
      <c r="D3632" s="2716">
        <f t="shared" si="411"/>
        <v>1</v>
      </c>
      <c r="E3632" s="2721">
        <v>1</v>
      </c>
      <c r="F3632" s="340"/>
      <c r="G3632" s="1474" t="s">
        <v>3901</v>
      </c>
      <c r="H3632" s="2275"/>
      <c r="I3632" s="2275">
        <v>5670</v>
      </c>
      <c r="J3632" s="2275">
        <v>5670</v>
      </c>
      <c r="K3632" s="1477">
        <f t="shared" ref="K3632:K3647" si="412">H3632+I3632-J3632</f>
        <v>0</v>
      </c>
      <c r="L3632" s="291"/>
      <c r="M3632" s="291"/>
      <c r="N3632" s="291"/>
      <c r="O3632" s="291"/>
      <c r="S3632" s="364"/>
      <c r="Z3632" s="609" t="s">
        <v>3893</v>
      </c>
      <c r="AA3632" s="609" t="s">
        <v>5678</v>
      </c>
    </row>
    <row r="3633" spans="1:27" ht="18">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5678</v>
      </c>
    </row>
    <row r="3634" spans="1:27" ht="18">
      <c r="A3634" s="2714"/>
      <c r="B3634" s="371">
        <v>103.001</v>
      </c>
      <c r="C3634" s="371"/>
      <c r="D3634" s="2716">
        <f t="shared" si="411"/>
        <v>1</v>
      </c>
      <c r="E3634" s="2721" t="s">
        <v>3903</v>
      </c>
      <c r="F3634" s="340"/>
      <c r="G3634" s="1474" t="s">
        <v>3905</v>
      </c>
      <c r="H3634" s="2275">
        <v>13668.4</v>
      </c>
      <c r="I3634" s="2275">
        <f>12150+278719.9</f>
        <v>290869.90000000002</v>
      </c>
      <c r="J3634" s="2275">
        <f>12150+266593.5</f>
        <v>278743.5</v>
      </c>
      <c r="K3634" s="1477">
        <f t="shared" si="412"/>
        <v>25794.799999999999</v>
      </c>
      <c r="L3634" s="291"/>
      <c r="M3634" s="291"/>
      <c r="N3634" s="291"/>
      <c r="O3634" s="291"/>
      <c r="S3634" s="364"/>
      <c r="Z3634" s="609" t="s">
        <v>3893</v>
      </c>
      <c r="AA3634" s="609" t="s">
        <v>5678</v>
      </c>
    </row>
    <row r="3635" spans="1:27" ht="18">
      <c r="A3635" s="2714"/>
      <c r="B3635" s="371">
        <v>103.002</v>
      </c>
      <c r="C3635" s="371"/>
      <c r="D3635" s="2716">
        <f t="shared" si="411"/>
        <v>1</v>
      </c>
      <c r="E3635" s="2721" t="s">
        <v>3903</v>
      </c>
      <c r="F3635" s="340"/>
      <c r="G3635" s="603" t="s">
        <v>3906</v>
      </c>
      <c r="H3635" s="2275">
        <v>1503.52</v>
      </c>
      <c r="I3635" s="2275">
        <v>29146.45</v>
      </c>
      <c r="J3635" s="2275">
        <v>28064.66</v>
      </c>
      <c r="K3635" s="1477">
        <f t="shared" si="412"/>
        <v>2585.31</v>
      </c>
      <c r="L3635" s="291"/>
      <c r="M3635" s="291"/>
      <c r="N3635" s="291"/>
      <c r="O3635" s="291"/>
      <c r="S3635" s="364"/>
      <c r="Z3635" s="609" t="s">
        <v>3893</v>
      </c>
      <c r="AA3635" s="609" t="s">
        <v>5678</v>
      </c>
    </row>
    <row r="3636" spans="1:27" ht="18">
      <c r="A3636" s="2714"/>
      <c r="B3636" s="371">
        <v>103.003</v>
      </c>
      <c r="C3636" s="371"/>
      <c r="D3636" s="2716">
        <f t="shared" si="411"/>
        <v>1</v>
      </c>
      <c r="E3636" s="2721" t="s">
        <v>3903</v>
      </c>
      <c r="F3636" s="340"/>
      <c r="G3636" s="603" t="s">
        <v>3907</v>
      </c>
      <c r="H3636" s="2275">
        <v>1093.48</v>
      </c>
      <c r="I3636" s="2275">
        <v>22297.75</v>
      </c>
      <c r="J3636" s="2275">
        <v>21327.63</v>
      </c>
      <c r="K3636" s="1477">
        <f t="shared" si="412"/>
        <v>2063.6</v>
      </c>
      <c r="L3636" s="291"/>
      <c r="M3636" s="291"/>
      <c r="N3636" s="291"/>
      <c r="O3636" s="291"/>
      <c r="S3636" s="364"/>
      <c r="Z3636" s="609" t="s">
        <v>3893</v>
      </c>
      <c r="AA3636" s="609" t="s">
        <v>5678</v>
      </c>
    </row>
    <row r="3637" spans="1:27" ht="18">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5678</v>
      </c>
    </row>
    <row r="3638" spans="1:27" ht="18">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5678</v>
      </c>
    </row>
    <row r="3639" spans="1:27" ht="18">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5678</v>
      </c>
    </row>
    <row r="3640" spans="1:27" ht="18">
      <c r="A3640" s="2714"/>
      <c r="B3640" s="371">
        <v>103.999</v>
      </c>
      <c r="C3640" s="371" t="s">
        <v>2793</v>
      </c>
      <c r="D3640" s="2716">
        <f t="shared" si="411"/>
        <v>1</v>
      </c>
      <c r="E3640" s="2721">
        <v>1</v>
      </c>
      <c r="F3640" s="340"/>
      <c r="G3640" s="1474" t="s">
        <v>3903</v>
      </c>
      <c r="H3640" s="1476">
        <f>SUMIF($E$3630:$E$3647,$G3640,H$3630:H$3647)</f>
        <v>16265.4</v>
      </c>
      <c r="I3640" s="1476">
        <f>SUMIF($E$3630:$E$3647,$G3640,I$3630:I$3647)</f>
        <v>342314.1</v>
      </c>
      <c r="J3640" s="1476">
        <f>SUMIF($E$3630:$E$3647,$G3640,J$3630:J$3647)</f>
        <v>328135.78999999998</v>
      </c>
      <c r="K3640" s="1477">
        <f>SUMIF($E$3630:$E$3647,$G3640,K$3630:K$3647)</f>
        <v>30443.71</v>
      </c>
      <c r="L3640" s="291"/>
      <c r="M3640" s="291"/>
      <c r="N3640" s="291"/>
      <c r="O3640" s="291"/>
      <c r="S3640" s="364"/>
      <c r="Z3640" s="609" t="s">
        <v>3893</v>
      </c>
      <c r="AA3640" s="609" t="s">
        <v>5678</v>
      </c>
    </row>
    <row r="3641" spans="1:27" ht="18">
      <c r="A3641" s="2714"/>
      <c r="B3641" s="371">
        <v>104</v>
      </c>
      <c r="C3641" s="371"/>
      <c r="D3641" s="2716">
        <f t="shared" si="411"/>
        <v>1</v>
      </c>
      <c r="E3641" s="2721">
        <v>1</v>
      </c>
      <c r="F3641" s="340"/>
      <c r="G3641" s="1474" t="s">
        <v>3908</v>
      </c>
      <c r="H3641" s="2275"/>
      <c r="I3641" s="2275">
        <v>334224</v>
      </c>
      <c r="J3641" s="2275">
        <v>334224</v>
      </c>
      <c r="K3641" s="1477">
        <f t="shared" si="412"/>
        <v>0</v>
      </c>
      <c r="L3641" s="291"/>
      <c r="M3641" s="291"/>
      <c r="N3641" s="291"/>
      <c r="O3641" s="291"/>
      <c r="S3641" s="364"/>
      <c r="Z3641" s="609" t="s">
        <v>3893</v>
      </c>
      <c r="AA3641" s="609" t="s">
        <v>5678</v>
      </c>
    </row>
    <row r="3642" spans="1:27" ht="18">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5678</v>
      </c>
    </row>
    <row r="3643" spans="1:27" ht="18">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5678</v>
      </c>
    </row>
    <row r="3644" spans="1:27" ht="18">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5678</v>
      </c>
    </row>
    <row r="3645" spans="1:27" ht="18">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5678</v>
      </c>
    </row>
    <row r="3646" spans="1:27" ht="18">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5678</v>
      </c>
    </row>
    <row r="3647" spans="1:27" ht="18">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5678</v>
      </c>
    </row>
    <row r="3648" spans="1:27" ht="18.75" thickBot="1">
      <c r="A3648" s="2714"/>
      <c r="B3648" s="371"/>
      <c r="C3648" s="371"/>
      <c r="D3648" s="2716">
        <f t="shared" si="411"/>
        <v>1</v>
      </c>
      <c r="E3648" s="2721" t="s">
        <v>2751</v>
      </c>
      <c r="F3648" s="340"/>
      <c r="G3648" s="374" t="s">
        <v>2752</v>
      </c>
      <c r="H3648" s="1478">
        <f>SUMPRODUCT($E3630:$E3647,H3630:H3647)</f>
        <v>279430.26</v>
      </c>
      <c r="I3648" s="1478">
        <f>SUMPRODUCT($E3630:$E3647,I3630:I3647)</f>
        <v>4339793.26</v>
      </c>
      <c r="J3648" s="1478">
        <f>SUMPRODUCT($E3630:$E3647,J3630:J3647)</f>
        <v>4037373.63</v>
      </c>
      <c r="K3648" s="1479">
        <f>SUMPRODUCT($E3630:$E3647,K3630:K3647)</f>
        <v>581849.89</v>
      </c>
      <c r="L3648" s="291"/>
      <c r="M3648" s="291"/>
      <c r="N3648" s="291"/>
      <c r="O3648" s="291"/>
      <c r="S3648" s="364"/>
      <c r="Z3648" s="609" t="s">
        <v>3893</v>
      </c>
      <c r="AA3648" s="609" t="s">
        <v>5678</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8.75" thickTop="1">
      <c r="A3650" s="2714"/>
      <c r="B3650" s="371"/>
      <c r="C3650" s="371" t="s">
        <v>2565</v>
      </c>
      <c r="D3650" s="371"/>
      <c r="F3650" s="294"/>
      <c r="G3650" s="1561" t="s">
        <v>5367</v>
      </c>
      <c r="H3650" s="1550" t="str">
        <f>G3618</f>
        <v>(1)应付职工薪酬列示</v>
      </c>
      <c r="I3650" s="1552"/>
      <c r="J3650" s="1552"/>
      <c r="K3650" s="1552"/>
      <c r="L3650" s="1553" t="s">
        <v>5368</v>
      </c>
      <c r="M3650" s="291"/>
      <c r="N3650" s="291"/>
      <c r="O3650" s="291"/>
      <c r="S3650" s="364"/>
      <c r="Z3650" s="609" t="s">
        <v>3893</v>
      </c>
      <c r="AA3650" s="609" t="s">
        <v>5678</v>
      </c>
    </row>
    <row r="3651" spans="1:27" ht="18">
      <c r="A3651" s="2714"/>
      <c r="B3651" s="371"/>
      <c r="C3651" s="371" t="s">
        <v>2565</v>
      </c>
      <c r="D3651" s="371"/>
      <c r="F3651" s="294"/>
      <c r="G3651" s="604" t="str">
        <f>"注释A:"&amp; G3621</f>
        <v>注释A:一、短期薪酬</v>
      </c>
      <c r="H3651" s="2252">
        <f ca="1">HYPERLINK("#'"&amp;$G$1&amp;"'!"&amp;ADDRESS(ROW(Notes!H3621),COLUMN(Notes!H3621),4),H3621)</f>
        <v>279430.26</v>
      </c>
      <c r="I3651" s="2252">
        <f ca="1">HYPERLINK("#'"&amp;$G$1&amp;"'!"&amp;ADDRESS(ROW(Notes!I3621),COLUMN(Notes!I3621),4),I3621)</f>
        <v>4339793.26</v>
      </c>
      <c r="J3651" s="2252">
        <f ca="1">HYPERLINK("#'"&amp;$G$1&amp;"'!"&amp;ADDRESS(ROW(Notes!J3621),COLUMN(Notes!J3621),4),J3621)</f>
        <v>4037373.63</v>
      </c>
      <c r="K3651" s="2252">
        <f ca="1">HYPERLINK("#'"&amp;$G$1&amp;"'!"&amp;ADDRESS(ROW(Notes!K3621),COLUMN(Notes!K3621),4),K3621)</f>
        <v>581849.89</v>
      </c>
      <c r="L3651" s="2632" t="str">
        <f>H3618</f>
        <v>2211a</v>
      </c>
      <c r="M3651" s="291"/>
      <c r="N3651" s="291"/>
      <c r="O3651" s="291"/>
      <c r="S3651" s="364"/>
      <c r="Z3651" s="609" t="s">
        <v>3893</v>
      </c>
      <c r="AA3651" s="609" t="s">
        <v>5678</v>
      </c>
    </row>
    <row r="3652" spans="1:27" ht="18">
      <c r="A3652" s="2714"/>
      <c r="B3652" s="371"/>
      <c r="C3652" s="371" t="s">
        <v>2565</v>
      </c>
      <c r="D3652" s="371"/>
      <c r="F3652" s="294"/>
      <c r="G3652" s="604" t="str">
        <f>"本注释B:"&amp; G3648</f>
        <v>本注释B:合       计</v>
      </c>
      <c r="H3652" s="456">
        <f>H3648</f>
        <v>279430.26</v>
      </c>
      <c r="I3652" s="456">
        <f t="shared" ref="I3652:K3652" si="413">I3648</f>
        <v>4339793.26</v>
      </c>
      <c r="J3652" s="456">
        <f t="shared" si="413"/>
        <v>4037373.63</v>
      </c>
      <c r="K3652" s="456">
        <f t="shared" si="413"/>
        <v>581849.89</v>
      </c>
      <c r="L3652" s="2638" t="s">
        <v>1505</v>
      </c>
      <c r="M3652" s="291"/>
      <c r="N3652" s="291"/>
      <c r="O3652" s="291"/>
      <c r="S3652" s="364"/>
      <c r="Z3652" s="609" t="s">
        <v>3893</v>
      </c>
      <c r="AA3652" s="609" t="s">
        <v>5678</v>
      </c>
    </row>
    <row r="3653" spans="1:27" ht="18.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5678</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8">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5678</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5678</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39484.199999999997</v>
      </c>
      <c r="L3657" s="345"/>
      <c r="M3657" s="301" t="s">
        <v>2745</v>
      </c>
      <c r="N3657" s="2210">
        <f>H3672</f>
        <v>27047.599999999999</v>
      </c>
      <c r="O3657" s="345"/>
      <c r="P3657" s="301"/>
      <c r="Q3657" s="290" t="str">
        <f>IF($I3657="不适用","",IF(ROUND(SUM($H$3660:$K$3672),2)=0,"请输入",""))</f>
        <v/>
      </c>
      <c r="S3657" s="364"/>
      <c r="Z3657" s="609" t="s">
        <v>3893</v>
      </c>
      <c r="AA3657" s="609" t="s">
        <v>5678</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5305</v>
      </c>
      <c r="M3659" s="291"/>
      <c r="N3659" s="291"/>
      <c r="O3659" s="291"/>
      <c r="S3659" s="364"/>
      <c r="Z3659" s="609" t="s">
        <v>3893</v>
      </c>
      <c r="AA3659" s="609" t="s">
        <v>5678</v>
      </c>
    </row>
    <row r="3660" spans="1:27" ht="18">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5678</v>
      </c>
    </row>
    <row r="3661" spans="1:27" ht="18">
      <c r="A3661" s="2714"/>
      <c r="B3661" s="371">
        <v>101.001</v>
      </c>
      <c r="C3661" s="371"/>
      <c r="D3661" s="2716">
        <f t="shared" si="414"/>
        <v>1</v>
      </c>
      <c r="E3661" s="2721" t="s">
        <v>3914</v>
      </c>
      <c r="F3661" s="294"/>
      <c r="G3661" s="603" t="s">
        <v>3915</v>
      </c>
      <c r="H3661" s="2275">
        <v>25954.76</v>
      </c>
      <c r="I3661" s="2275">
        <v>446153.56</v>
      </c>
      <c r="J3661" s="2275">
        <v>434504.32</v>
      </c>
      <c r="K3661" s="1477">
        <f>H3661+I3661-J3661</f>
        <v>37604</v>
      </c>
      <c r="L3661" s="291"/>
      <c r="M3661" s="291"/>
      <c r="N3661" s="291"/>
      <c r="O3661" s="291"/>
      <c r="S3661" s="364"/>
      <c r="Z3661" s="609" t="s">
        <v>3893</v>
      </c>
      <c r="AA3661" s="609" t="s">
        <v>5678</v>
      </c>
    </row>
    <row r="3662" spans="1:27" ht="18">
      <c r="A3662" s="2714"/>
      <c r="B3662" s="371">
        <v>101.002</v>
      </c>
      <c r="C3662" s="371"/>
      <c r="D3662" s="2716">
        <f t="shared" si="414"/>
        <v>1</v>
      </c>
      <c r="E3662" s="2721" t="s">
        <v>3914</v>
      </c>
      <c r="F3662" s="294"/>
      <c r="G3662" s="603" t="s">
        <v>3916</v>
      </c>
      <c r="H3662" s="2275">
        <v>1092.8399999999999</v>
      </c>
      <c r="I3662" s="2275">
        <v>21193.51</v>
      </c>
      <c r="J3662" s="2275">
        <v>20406.150000000001</v>
      </c>
      <c r="K3662" s="1477">
        <f>H3662+I3662-J3662</f>
        <v>1880.2</v>
      </c>
      <c r="L3662" s="291"/>
      <c r="M3662" s="291"/>
      <c r="N3662" s="291"/>
      <c r="O3662" s="291"/>
      <c r="S3662" s="364"/>
      <c r="Z3662" s="609" t="s">
        <v>3893</v>
      </c>
      <c r="AA3662" s="609" t="s">
        <v>5678</v>
      </c>
    </row>
    <row r="3663" spans="1:27" ht="18">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5678</v>
      </c>
    </row>
    <row r="3664" spans="1:27" ht="18">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5678</v>
      </c>
    </row>
    <row r="3665" spans="1:29" ht="18">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5678</v>
      </c>
    </row>
    <row r="3666" spans="1:29" ht="18">
      <c r="A3666" s="2714"/>
      <c r="B3666" s="371">
        <v>101.999</v>
      </c>
      <c r="C3666" s="371" t="s">
        <v>2793</v>
      </c>
      <c r="D3666" s="2716">
        <f t="shared" si="414"/>
        <v>1</v>
      </c>
      <c r="E3666" s="2721">
        <v>1</v>
      </c>
      <c r="F3666" s="294"/>
      <c r="G3666" s="1474" t="s">
        <v>3914</v>
      </c>
      <c r="H3666" s="1476">
        <f>SUMIF($E$3659:$E$3671,$G3666,H$3659:H$3671)</f>
        <v>27047.599999999999</v>
      </c>
      <c r="I3666" s="1476">
        <f>SUMIF($E$3659:$E$3671,$G3666,I$3659:I$3671)</f>
        <v>467347.07</v>
      </c>
      <c r="J3666" s="1476">
        <f>SUMIF($E$3659:$E$3671,$G3666,J$3659:J$3671)</f>
        <v>454910.47</v>
      </c>
      <c r="K3666" s="1477">
        <f>SUMIF($E$3659:$E$3671,$G3666,K$3659:K$3671)</f>
        <v>39484.199999999997</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6573</v>
      </c>
    </row>
    <row r="3667" spans="1:29" ht="18">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5678</v>
      </c>
    </row>
    <row r="3668" spans="1:29" ht="18">
      <c r="A3668" s="2714"/>
      <c r="B3668" s="371">
        <v>103</v>
      </c>
      <c r="C3668" s="371" t="s">
        <v>2791</v>
      </c>
      <c r="D3668" s="2716">
        <f t="shared" si="414"/>
        <v>1</v>
      </c>
      <c r="E3668" s="2721">
        <v>0</v>
      </c>
      <c r="F3668" s="294"/>
      <c r="G3668" s="578" t="s">
        <v>3919</v>
      </c>
      <c r="H3668" s="2275"/>
      <c r="I3668" s="2275"/>
      <c r="J3668" s="2275"/>
      <c r="K3668" s="1477">
        <f>H3668+I3668-J3668</f>
        <v>0</v>
      </c>
      <c r="L3668" s="355" t="s">
        <v>6073</v>
      </c>
      <c r="M3668" s="291"/>
      <c r="N3668" s="291"/>
      <c r="O3668" s="291"/>
      <c r="S3668" s="364"/>
      <c r="Z3668" s="609" t="s">
        <v>3893</v>
      </c>
      <c r="AA3668" s="609" t="s">
        <v>5678</v>
      </c>
    </row>
    <row r="3669" spans="1:29" ht="18">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5678</v>
      </c>
    </row>
    <row r="3670" spans="1:29" ht="18">
      <c r="A3670" s="2714"/>
      <c r="B3670" s="371">
        <v>105</v>
      </c>
      <c r="C3670" s="371" t="s">
        <v>6532</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5678</v>
      </c>
    </row>
    <row r="3671" spans="1:29" ht="18">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5678</v>
      </c>
    </row>
    <row r="3672" spans="1:29" ht="18.75" thickBot="1">
      <c r="A3672" s="2714"/>
      <c r="B3672" s="371"/>
      <c r="C3672" s="371"/>
      <c r="D3672" s="2716">
        <f t="shared" si="414"/>
        <v>1</v>
      </c>
      <c r="E3672" s="2721" t="s">
        <v>2751</v>
      </c>
      <c r="F3672" s="294"/>
      <c r="G3672" s="374" t="s">
        <v>2752</v>
      </c>
      <c r="H3672" s="1496">
        <f>SUMPRODUCT($E3659:$E3671,H3659:H3671)</f>
        <v>27047.599999999999</v>
      </c>
      <c r="I3672" s="1496">
        <f>SUMPRODUCT($E3659:$E3671,I3659:I3671)</f>
        <v>467347.07</v>
      </c>
      <c r="J3672" s="1496">
        <f>SUMPRODUCT($E3659:$E3671,J3659:J3671)</f>
        <v>454910.47</v>
      </c>
      <c r="K3672" s="2594">
        <f>SUMPRODUCT($E3659:$E3671,K3659:K3671)</f>
        <v>39484.199999999997</v>
      </c>
      <c r="L3672" s="291"/>
      <c r="M3672" s="291"/>
      <c r="N3672" s="291"/>
      <c r="O3672" s="291"/>
      <c r="S3672" s="364"/>
      <c r="Z3672" s="609" t="s">
        <v>3893</v>
      </c>
      <c r="AA3672" s="609" t="s">
        <v>5678</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8.75" thickTop="1">
      <c r="A3674" s="2714"/>
      <c r="B3674" s="371"/>
      <c r="C3674" s="371" t="s">
        <v>2565</v>
      </c>
      <c r="D3674" s="371"/>
      <c r="F3674" s="294"/>
      <c r="G3674" s="1561" t="s">
        <v>5367</v>
      </c>
      <c r="H3674" s="1550" t="str">
        <f>G3618</f>
        <v>(1)应付职工薪酬列示</v>
      </c>
      <c r="I3674" s="1552"/>
      <c r="J3674" s="1552"/>
      <c r="K3674" s="1552"/>
      <c r="L3674" s="1553" t="s">
        <v>5368</v>
      </c>
      <c r="M3674" s="291"/>
      <c r="N3674" s="291"/>
      <c r="O3674" s="291"/>
      <c r="S3674" s="364"/>
      <c r="Z3674" s="609" t="s">
        <v>3893</v>
      </c>
      <c r="AA3674" s="609" t="s">
        <v>5678</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27047.599999999999</v>
      </c>
      <c r="I3675" s="2252">
        <f ca="1">HYPERLINK("#'"&amp;$G$1&amp;"'!"&amp;ADDRESS(ROW(Notes!I3622),COLUMN(Notes!I3622),4),I3622)</f>
        <v>467347.07</v>
      </c>
      <c r="J3675" s="2252">
        <f ca="1">HYPERLINK("#'"&amp;$G$1&amp;"'!"&amp;ADDRESS(ROW(Notes!J3622),COLUMN(Notes!J3622),4),J3622)</f>
        <v>454910.47</v>
      </c>
      <c r="K3675" s="2252">
        <f ca="1">HYPERLINK("#'"&amp;$G$1&amp;"'!"&amp;ADDRESS(ROW(Notes!K3622),COLUMN(Notes!K3622),4),K3622)</f>
        <v>39484.199999999997</v>
      </c>
      <c r="L3675" s="2632" t="str">
        <f>H3618</f>
        <v>2211a</v>
      </c>
      <c r="M3675" s="291"/>
      <c r="N3675" s="291"/>
      <c r="O3675" s="291"/>
      <c r="S3675" s="364"/>
      <c r="Z3675" s="609" t="s">
        <v>3893</v>
      </c>
      <c r="AA3675" s="609" t="s">
        <v>5678</v>
      </c>
    </row>
    <row r="3676" spans="1:29" ht="18">
      <c r="A3676" s="2714"/>
      <c r="B3676" s="371"/>
      <c r="C3676" s="371" t="s">
        <v>2565</v>
      </c>
      <c r="D3676" s="371"/>
      <c r="F3676" s="294"/>
      <c r="G3676" s="604" t="str">
        <f>"本注释B:"&amp; G3666</f>
        <v>本注释B:离职后福利小计</v>
      </c>
      <c r="H3676" s="2252">
        <f ca="1">HYPERLINK("#'"&amp;$G$1&amp;"'!"&amp;ADDRESS(ROW(Notes!H3666),COLUMN(Notes!H3666),4),H3666)</f>
        <v>27047.599999999999</v>
      </c>
      <c r="I3676" s="2252">
        <f ca="1">HYPERLINK("#'"&amp;$G$1&amp;"'!"&amp;ADDRESS(ROW(Notes!I3666),COLUMN(Notes!I3666),4),I3666)</f>
        <v>467347.07</v>
      </c>
      <c r="J3676" s="2252">
        <f ca="1">HYPERLINK("#'"&amp;$G$1&amp;"'!"&amp;ADDRESS(ROW(Notes!J3666),COLUMN(Notes!J3666),4),J3666)</f>
        <v>454910.47</v>
      </c>
      <c r="K3676" s="2252">
        <f ca="1">HYPERLINK("#'"&amp;$G$1&amp;"'!"&amp;ADDRESS(ROW(Notes!K3666),COLUMN(Notes!K3666),4),K3666)</f>
        <v>39484.199999999997</v>
      </c>
      <c r="L3676" s="2638" t="s">
        <v>1510</v>
      </c>
      <c r="M3676" s="291"/>
      <c r="N3676" s="291"/>
      <c r="O3676" s="291"/>
      <c r="S3676" s="364"/>
      <c r="Z3676" s="609" t="s">
        <v>3893</v>
      </c>
      <c r="AA3676" s="609" t="s">
        <v>5678</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5678</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5678</v>
      </c>
    </row>
    <row r="3681" spans="1:27" ht="18">
      <c r="A3681" s="2714" t="s">
        <v>1515</v>
      </c>
      <c r="B3681" s="371">
        <v>4</v>
      </c>
      <c r="C3681" s="371"/>
      <c r="D3681" s="2716" t="str">
        <f>VLOOKUP($A3681,Sheet_NoteList,2,0)</f>
        <v>应付职工薪酬分类列示</v>
      </c>
      <c r="E3681" s="2716" t="s">
        <v>6533</v>
      </c>
      <c r="F3681" s="294"/>
      <c r="G3681" s="372" t="str">
        <f>"("&amp;B3681&amp;")"&amp;D3681</f>
        <v>(4)应付职工薪酬分类列示</v>
      </c>
      <c r="H3681" s="1517" t="str">
        <f>$A3681</f>
        <v>2211d</v>
      </c>
      <c r="I3681" s="343" t="s">
        <v>5977</v>
      </c>
      <c r="J3681" s="301" t="s">
        <v>5979</v>
      </c>
      <c r="K3681" s="2210">
        <f>K3711</f>
        <v>0</v>
      </c>
      <c r="L3681" s="345"/>
      <c r="M3681" s="301" t="s">
        <v>5976</v>
      </c>
      <c r="N3681" s="2210">
        <f>H3711</f>
        <v>0</v>
      </c>
      <c r="O3681" s="345"/>
      <c r="P3681" s="301"/>
      <c r="S3681" s="364"/>
      <c r="Z3681" s="609" t="s">
        <v>3893</v>
      </c>
      <c r="AA3681" s="609" t="s">
        <v>5678</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6176</v>
      </c>
      <c r="M3683" s="291"/>
      <c r="N3683" s="291"/>
      <c r="O3683" s="291"/>
      <c r="S3683" s="364"/>
      <c r="Z3683" s="609" t="s">
        <v>3893</v>
      </c>
      <c r="AA3683" s="609" t="s">
        <v>5678</v>
      </c>
    </row>
    <row r="3684" spans="1:27" ht="18">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5678</v>
      </c>
    </row>
    <row r="3685" spans="1:27" ht="18">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5678</v>
      </c>
    </row>
    <row r="3686" spans="1:27" ht="18">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5678</v>
      </c>
    </row>
    <row r="3687" spans="1:27" ht="18">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5678</v>
      </c>
    </row>
    <row r="3688" spans="1:27" ht="18">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5678</v>
      </c>
    </row>
    <row r="3689" spans="1:27" ht="18">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5678</v>
      </c>
    </row>
    <row r="3690" spans="1:27" ht="18">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5678</v>
      </c>
    </row>
    <row r="3691" spans="1:27" ht="24">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5678</v>
      </c>
    </row>
    <row r="3692" spans="1:27" ht="18">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5678</v>
      </c>
    </row>
    <row r="3693" spans="1:27" ht="18">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5678</v>
      </c>
    </row>
    <row r="3694" spans="1:27" ht="18">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5678</v>
      </c>
    </row>
    <row r="3695" spans="1:27" ht="18">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5678</v>
      </c>
    </row>
    <row r="3696" spans="1:27" ht="18">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5678</v>
      </c>
    </row>
    <row r="3697" spans="1:27" ht="18">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5678</v>
      </c>
    </row>
    <row r="3698" spans="1:27" ht="18">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5678</v>
      </c>
    </row>
    <row r="3699" spans="1:27" ht="18">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5678</v>
      </c>
    </row>
    <row r="3700" spans="1:27" ht="18">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5678</v>
      </c>
    </row>
    <row r="3701" spans="1:27" ht="24">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5678</v>
      </c>
    </row>
    <row r="3702" spans="1:27" ht="18">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5678</v>
      </c>
    </row>
    <row r="3703" spans="1:27" ht="18">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5678</v>
      </c>
    </row>
    <row r="3704" spans="1:27" ht="18">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5678</v>
      </c>
    </row>
    <row r="3705" spans="1:27" ht="18">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5678</v>
      </c>
    </row>
    <row r="3706" spans="1:27" ht="18">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5678</v>
      </c>
    </row>
    <row r="3707" spans="1:27" ht="18">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5678</v>
      </c>
    </row>
    <row r="3708" spans="1:27" ht="18">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5678</v>
      </c>
    </row>
    <row r="3709" spans="1:27" ht="18">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5678</v>
      </c>
    </row>
    <row r="3710" spans="1:27" ht="18">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5678</v>
      </c>
    </row>
    <row r="3711" spans="1:27" ht="18.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5678</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8">
      <c r="A3713" s="2714" t="s">
        <v>1520</v>
      </c>
      <c r="B3713" s="371">
        <v>5</v>
      </c>
      <c r="C3713" s="371"/>
      <c r="D3713" s="2716" t="str">
        <f>VLOOKUP($A3713,Sheet_NoteList,2,0)</f>
        <v>应付职工薪酬补充资料</v>
      </c>
      <c r="E3713" s="2716" t="s">
        <v>6531</v>
      </c>
      <c r="F3713" s="294"/>
      <c r="G3713" s="307" t="str">
        <f>"("&amp;B3713&amp;")"&amp;D3713</f>
        <v>(5)应付职工薪酬补充资料</v>
      </c>
      <c r="H3713" s="1517" t="str">
        <f>$A3713</f>
        <v>2211x</v>
      </c>
      <c r="I3713" s="343" t="s">
        <v>5977</v>
      </c>
      <c r="J3713" s="301" t="s">
        <v>5975</v>
      </c>
      <c r="K3713" s="2210">
        <f>K3734</f>
        <v>0</v>
      </c>
      <c r="L3713" s="345"/>
      <c r="M3713" s="301" t="s">
        <v>5978</v>
      </c>
      <c r="N3713" s="2210">
        <f>H3734</f>
        <v>3407.4</v>
      </c>
      <c r="O3713" s="345"/>
      <c r="P3713" s="301"/>
      <c r="S3713" s="364"/>
      <c r="Z3713" s="609" t="s">
        <v>3893</v>
      </c>
      <c r="AA3713" s="609" t="s">
        <v>5678</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8">
      <c r="A3715" s="2714"/>
      <c r="B3715" s="371"/>
      <c r="C3715" s="371"/>
      <c r="D3715" s="371"/>
      <c r="E3715" s="2716" t="s">
        <v>2749</v>
      </c>
      <c r="F3715" s="294"/>
      <c r="G3715" s="2386" t="s">
        <v>47</v>
      </c>
      <c r="H3715" s="2387" t="s">
        <v>2887</v>
      </c>
      <c r="I3715" s="2394" t="s">
        <v>2508</v>
      </c>
      <c r="J3715" s="355" t="s">
        <v>6176</v>
      </c>
      <c r="K3715" s="291"/>
      <c r="L3715" s="291"/>
      <c r="M3715" s="291"/>
      <c r="N3715" s="291"/>
      <c r="O3715" s="291"/>
      <c r="S3715" s="364"/>
      <c r="Z3715" s="609" t="s">
        <v>3893</v>
      </c>
      <c r="AA3715" s="609" t="s">
        <v>5678</v>
      </c>
    </row>
    <row r="3716" spans="1:27" ht="24">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5678</v>
      </c>
    </row>
    <row r="3717" spans="1:27" ht="18">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5678</v>
      </c>
    </row>
    <row r="3718" spans="1:27" ht="18">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5678</v>
      </c>
    </row>
    <row r="3719" spans="1:27" ht="18">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5678</v>
      </c>
    </row>
    <row r="3720" spans="1:27" ht="18">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5678</v>
      </c>
    </row>
    <row r="3721" spans="1:27" ht="18">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5678</v>
      </c>
    </row>
    <row r="3722" spans="1:27" ht="18">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5678</v>
      </c>
    </row>
    <row r="3723" spans="1:27" ht="18">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5678</v>
      </c>
    </row>
    <row r="3724" spans="1:27" ht="18.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5678</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101055.66</v>
      </c>
      <c r="L3726" s="342"/>
      <c r="M3726" s="306" t="s">
        <v>2741</v>
      </c>
      <c r="N3726" s="341">
        <f>VLOOKUP($A3726,Sheet_Trialbal,10,0)</f>
        <v>27898.14</v>
      </c>
      <c r="O3726" s="306"/>
      <c r="P3726" s="301"/>
      <c r="S3726" s="364"/>
      <c r="Z3726" s="609" t="s">
        <v>3943</v>
      </c>
      <c r="AA3726" s="609" t="s">
        <v>5679</v>
      </c>
    </row>
    <row r="3727" spans="1:27" ht="18">
      <c r="A3727" s="2714" t="s">
        <v>1528</v>
      </c>
      <c r="B3727" s="371">
        <v>1</v>
      </c>
      <c r="C3727" s="371"/>
      <c r="D3727" s="2716" t="str">
        <f>VLOOKUP($A3727,Sheet_NoteList,2,0)</f>
        <v>应交税费本期增减变动</v>
      </c>
      <c r="E3727" s="2716" t="s">
        <v>6530</v>
      </c>
      <c r="F3727" s="294"/>
      <c r="G3727" s="307" t="str">
        <f>"("&amp;B3727&amp;")"&amp;D3727</f>
        <v>(1)应交税费本期增减变动</v>
      </c>
      <c r="H3727" s="1517" t="str">
        <f>$A3727</f>
        <v>2221a</v>
      </c>
      <c r="I3727" s="343" t="s">
        <v>5519</v>
      </c>
      <c r="J3727" s="301" t="s">
        <v>5517</v>
      </c>
      <c r="K3727" s="2210">
        <f>H3744</f>
        <v>101055.66</v>
      </c>
      <c r="L3727" s="345" t="str">
        <f>IF($I3727="适用",IF(ROUND(K3726-K3727,2)=0,"F/S",ROUND(K3726-K3727,2)),"#N/A")</f>
        <v>F/S</v>
      </c>
      <c r="M3727" s="301" t="s">
        <v>5518</v>
      </c>
      <c r="N3727" s="2210">
        <f>I3744</f>
        <v>27898.14</v>
      </c>
      <c r="O3727" s="345" t="str">
        <f>IF($I3727="适用",IF(ROUND(N3726-N3727,2)=0,"F/S",ROUND(N3726-N3727,2)),"#N/A")</f>
        <v>F/S</v>
      </c>
      <c r="P3727" s="301"/>
      <c r="Q3727" s="290" t="str">
        <f>IF($I3727="不适用","",IF(ROUND(SUM($H$3730:$K$3744),2)=0,"请输入",""))</f>
        <v/>
      </c>
      <c r="S3727" s="364"/>
      <c r="Z3727" s="609" t="s">
        <v>3943</v>
      </c>
      <c r="AA3727" s="609" t="s">
        <v>5679</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18">
      <c r="A3729" s="2714"/>
      <c r="B3729" s="371"/>
      <c r="C3729" s="371"/>
      <c r="D3729" s="371"/>
      <c r="E3729" s="2716" t="s">
        <v>2749</v>
      </c>
      <c r="F3729" s="294"/>
      <c r="G3729" s="514" t="s">
        <v>3951</v>
      </c>
      <c r="H3729" s="1454" t="str">
        <f>$V$2</f>
        <v>2019年12月31日</v>
      </c>
      <c r="I3729" s="1455" t="str">
        <f>$V$3</f>
        <v>2018年12月31日</v>
      </c>
      <c r="J3729" s="1606" t="s">
        <v>5538</v>
      </c>
      <c r="K3729" s="1605" t="s">
        <v>5539</v>
      </c>
      <c r="L3729" s="355" t="s">
        <v>5306</v>
      </c>
      <c r="M3729" s="472"/>
      <c r="N3729" s="442"/>
      <c r="O3729" s="442"/>
      <c r="P3729" s="442"/>
      <c r="Q3729" s="442"/>
      <c r="R3729" s="443"/>
      <c r="S3729" s="364"/>
      <c r="Z3729" s="609" t="s">
        <v>3943</v>
      </c>
      <c r="AA3729" s="609" t="s">
        <v>5679</v>
      </c>
    </row>
    <row r="3730" spans="1:29" ht="18">
      <c r="A3730" s="2714"/>
      <c r="B3730" s="371">
        <v>101</v>
      </c>
      <c r="C3730" s="371"/>
      <c r="D3730" s="2716">
        <f t="shared" ref="D3730:D3744" si="419">IF(OR(G3730="*",G3730="",G3730=0),0,COUNTIF($G$3730:$G$3744,G3730))</f>
        <v>1</v>
      </c>
      <c r="E3730" s="2721">
        <v>1</v>
      </c>
      <c r="F3730" s="294"/>
      <c r="G3730" s="380" t="s">
        <v>3944</v>
      </c>
      <c r="H3730" s="383">
        <v>48677.2</v>
      </c>
      <c r="I3730" s="383"/>
      <c r="J3730" s="383"/>
      <c r="K3730" s="401"/>
      <c r="L3730" s="473" t="s">
        <v>5540</v>
      </c>
      <c r="M3730" s="472"/>
      <c r="N3730" s="442"/>
      <c r="O3730" s="442"/>
      <c r="P3730" s="442"/>
      <c r="Q3730" s="442"/>
      <c r="R3730" s="443"/>
      <c r="S3730" s="364"/>
      <c r="Z3730" s="609" t="s">
        <v>3943</v>
      </c>
      <c r="AA3730" s="609" t="s">
        <v>5679</v>
      </c>
    </row>
    <row r="3731" spans="1:29" ht="18">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8">
      <c r="A3732" s="2714"/>
      <c r="B3732" s="371">
        <v>103</v>
      </c>
      <c r="C3732" s="371"/>
      <c r="D3732" s="2716">
        <f t="shared" si="419"/>
        <v>1</v>
      </c>
      <c r="E3732" s="2721">
        <v>1</v>
      </c>
      <c r="F3732" s="294"/>
      <c r="G3732" s="380" t="s">
        <v>3946</v>
      </c>
      <c r="H3732" s="383"/>
      <c r="I3732" s="383"/>
      <c r="J3732" s="383"/>
      <c r="K3732" s="401"/>
      <c r="L3732" s="1589" t="str">
        <f ca="1">HYPERLINK("#'"&amp;$G$1&amp;"'!"&amp;ADDRESS(ROW(Notes!K4961),COLUMN(Notes!K4961),4),"*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8">
      <c r="A3733" s="2714"/>
      <c r="B3733" s="371">
        <v>104</v>
      </c>
      <c r="C3733" s="371"/>
      <c r="D3733" s="2716">
        <f t="shared" si="419"/>
        <v>1</v>
      </c>
      <c r="E3733" s="2721">
        <v>1</v>
      </c>
      <c r="F3733" s="294"/>
      <c r="G3733" s="380" t="s">
        <v>3947</v>
      </c>
      <c r="H3733" s="383">
        <f>AJE!O13+41272.2</f>
        <v>46537.2</v>
      </c>
      <c r="I3733" s="383">
        <v>11293.94</v>
      </c>
      <c r="J3733" s="383"/>
      <c r="K3733" s="401"/>
      <c r="L3733" s="472"/>
      <c r="M3733" s="472"/>
      <c r="N3733" s="442"/>
      <c r="O3733" s="442"/>
      <c r="P3733" s="442"/>
      <c r="Q3733" s="442"/>
      <c r="R3733" s="443"/>
      <c r="S3733" s="364"/>
      <c r="Z3733" s="609" t="s">
        <v>3943</v>
      </c>
      <c r="AA3733" s="609" t="s">
        <v>5679</v>
      </c>
    </row>
    <row r="3734" spans="1:29" ht="18">
      <c r="A3734" s="2714"/>
      <c r="B3734" s="371">
        <v>105</v>
      </c>
      <c r="C3734" s="371"/>
      <c r="D3734" s="2716">
        <f t="shared" si="419"/>
        <v>1</v>
      </c>
      <c r="E3734" s="2721">
        <v>1</v>
      </c>
      <c r="F3734" s="294"/>
      <c r="G3734" s="380" t="s">
        <v>3948</v>
      </c>
      <c r="H3734" s="383">
        <v>3407.4</v>
      </c>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8">
      <c r="A3735" s="2714"/>
      <c r="B3735" s="371">
        <v>106</v>
      </c>
      <c r="C3735" s="371"/>
      <c r="D3735" s="2716">
        <f t="shared" si="419"/>
        <v>1</v>
      </c>
      <c r="E3735" s="2721">
        <v>1</v>
      </c>
      <c r="F3735" s="294"/>
      <c r="G3735" s="380" t="s">
        <v>3949</v>
      </c>
      <c r="H3735" s="383">
        <v>1460.32</v>
      </c>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4"/>
      <c r="B3736" s="371">
        <v>107</v>
      </c>
      <c r="C3736" s="371"/>
      <c r="D3736" s="2716">
        <f t="shared" si="419"/>
        <v>1</v>
      </c>
      <c r="E3736" s="2721">
        <v>1</v>
      </c>
      <c r="F3736" s="294"/>
      <c r="G3736" s="380" t="s">
        <v>5644</v>
      </c>
      <c r="H3736" s="383">
        <v>973.54</v>
      </c>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8">
      <c r="A3738" s="2714"/>
      <c r="B3738" s="371">
        <v>109</v>
      </c>
      <c r="C3738" s="371"/>
      <c r="D3738" s="2716">
        <f t="shared" si="419"/>
        <v>1</v>
      </c>
      <c r="E3738" s="2721">
        <v>1</v>
      </c>
      <c r="F3738" s="294"/>
      <c r="G3738" s="380" t="s">
        <v>5647</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4"/>
      <c r="B3739" s="371">
        <v>110</v>
      </c>
      <c r="C3739" s="371"/>
      <c r="D3739" s="2716">
        <f t="shared" si="419"/>
        <v>1</v>
      </c>
      <c r="E3739" s="2721">
        <v>1</v>
      </c>
      <c r="F3739" s="294"/>
      <c r="G3739" s="380" t="s">
        <v>5646</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4"/>
      <c r="B3740" s="371">
        <v>111</v>
      </c>
      <c r="C3740" s="371"/>
      <c r="D3740" s="2716">
        <f t="shared" si="419"/>
        <v>1</v>
      </c>
      <c r="E3740" s="2721">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8">
      <c r="A3741" s="2714"/>
      <c r="B3741" s="371">
        <v>112</v>
      </c>
      <c r="C3741" s="371" t="s">
        <v>2791</v>
      </c>
      <c r="D3741" s="2716">
        <f t="shared" si="419"/>
        <v>1</v>
      </c>
      <c r="E3741" s="2721">
        <v>1</v>
      </c>
      <c r="F3741" s="294"/>
      <c r="G3741" s="409" t="s">
        <v>6899</v>
      </c>
      <c r="H3741" s="383"/>
      <c r="I3741" s="383">
        <v>16604.2</v>
      </c>
      <c r="J3741" s="383"/>
      <c r="K3741" s="401"/>
      <c r="L3741" s="472"/>
      <c r="M3741" s="472"/>
      <c r="N3741" s="442"/>
      <c r="O3741" s="442"/>
      <c r="P3741" s="442"/>
      <c r="Q3741" s="442"/>
      <c r="R3741" s="443"/>
      <c r="S3741" s="364"/>
      <c r="Z3741" s="609" t="s">
        <v>3943</v>
      </c>
      <c r="AA3741" s="609" t="s">
        <v>5679</v>
      </c>
    </row>
    <row r="3742" spans="1:29" ht="18">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8">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5679</v>
      </c>
    </row>
    <row r="3744" spans="1:29" ht="18.75" thickBot="1">
      <c r="A3744" s="2714"/>
      <c r="B3744" s="371"/>
      <c r="C3744" s="371"/>
      <c r="D3744" s="2716">
        <f t="shared" si="419"/>
        <v>1</v>
      </c>
      <c r="E3744" s="2721" t="s">
        <v>2751</v>
      </c>
      <c r="F3744" s="294"/>
      <c r="G3744" s="403" t="s">
        <v>2752</v>
      </c>
      <c r="H3744" s="1498">
        <f>SUMPRODUCT($E3729:$E3743,H3729:H3743)</f>
        <v>101055.66</v>
      </c>
      <c r="I3744" s="1498">
        <f>SUMPRODUCT($E3729:$E3743,I3729:I3743)</f>
        <v>27898.14</v>
      </c>
      <c r="J3744" s="1498">
        <f>SUMPRODUCT($E3729:$E3743,J3729:J3743)</f>
        <v>0</v>
      </c>
      <c r="K3744" s="1499">
        <f>SUMPRODUCT($E3729:$E3743,K3729:K3743)</f>
        <v>0</v>
      </c>
      <c r="L3744" s="472"/>
      <c r="M3744" s="472"/>
      <c r="N3744" s="442"/>
      <c r="O3744" s="442"/>
      <c r="P3744" s="442"/>
      <c r="Q3744" s="442"/>
      <c r="R3744" s="443"/>
      <c r="S3744" s="364"/>
      <c r="Z3744" s="609" t="s">
        <v>3943</v>
      </c>
      <c r="AA3744" s="609" t="s">
        <v>5679</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8">
      <c r="A3746" s="2714" t="s">
        <v>1533</v>
      </c>
      <c r="B3746" s="371">
        <v>2</v>
      </c>
      <c r="C3746" s="371"/>
      <c r="D3746" s="2716" t="str">
        <f>VLOOKUP($A3746,Sheet_NoteList,2,0)</f>
        <v>应交税费补充资料</v>
      </c>
      <c r="E3746" s="2716" t="s">
        <v>6531</v>
      </c>
      <c r="F3746" s="294"/>
      <c r="G3746" s="307" t="str">
        <f>"("&amp;B3746&amp;")"&amp;D3746</f>
        <v>(2)应交税费补充资料</v>
      </c>
      <c r="H3746" s="1517" t="str">
        <f>$A3746</f>
        <v>2221x</v>
      </c>
      <c r="I3746" s="343" t="s">
        <v>5965</v>
      </c>
      <c r="J3746" s="301" t="s">
        <v>5963</v>
      </c>
      <c r="K3746" s="2210">
        <f>K3757</f>
        <v>0</v>
      </c>
      <c r="L3746" s="345"/>
      <c r="M3746" s="301" t="s">
        <v>5964</v>
      </c>
      <c r="N3746" s="2210">
        <f>H3757</f>
        <v>0</v>
      </c>
      <c r="O3746" s="345"/>
      <c r="P3746" s="301"/>
      <c r="S3746" s="364"/>
      <c r="Z3746" s="609" t="s">
        <v>3943</v>
      </c>
      <c r="AA3746" s="609" t="s">
        <v>5679</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6176</v>
      </c>
      <c r="M3748" s="291"/>
      <c r="S3748" s="364"/>
      <c r="Z3748" s="609" t="s">
        <v>3943</v>
      </c>
      <c r="AA3748" s="609" t="s">
        <v>5679</v>
      </c>
    </row>
    <row r="3749" spans="1:27" ht="18">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5679</v>
      </c>
    </row>
    <row r="3750" spans="1:27" ht="18">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5679</v>
      </c>
    </row>
    <row r="3751" spans="1:27" ht="18">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5679</v>
      </c>
    </row>
    <row r="3752" spans="1:27" ht="18">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5679</v>
      </c>
    </row>
    <row r="3753" spans="1:27" ht="18">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5679</v>
      </c>
    </row>
    <row r="3754" spans="1:27" ht="18">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5679</v>
      </c>
    </row>
    <row r="3755" spans="1:27" ht="18">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5679</v>
      </c>
    </row>
    <row r="3756" spans="1:27" ht="18">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5679</v>
      </c>
    </row>
    <row r="3757" spans="1:27" ht="18.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5679</v>
      </c>
    </row>
    <row r="3758" spans="1:27" ht="18">
      <c r="A3758" s="2714"/>
      <c r="B3758" s="371"/>
      <c r="C3758" s="371" t="s">
        <v>2755</v>
      </c>
      <c r="D3758" s="371"/>
      <c r="F3758" s="294"/>
      <c r="G3758" s="301"/>
      <c r="H3758" s="315"/>
      <c r="I3758" s="315"/>
      <c r="J3758" s="315"/>
      <c r="K3758" s="315"/>
      <c r="L3758" s="291"/>
      <c r="M3758" s="291"/>
      <c r="S3758" s="364"/>
      <c r="Z3758" s="609" t="s">
        <v>3943</v>
      </c>
      <c r="AA3758" s="609" t="s">
        <v>5679</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4224459.3600000003</v>
      </c>
      <c r="L3759" s="342"/>
      <c r="M3759" s="306" t="s">
        <v>2741</v>
      </c>
      <c r="N3759" s="341">
        <f>VLOOKUP($A3759,Sheet_Trialbal,10,0)</f>
        <v>113852180.2</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4224459.3600000003</v>
      </c>
      <c r="L3760" s="349"/>
      <c r="M3760" s="301" t="s">
        <v>2745</v>
      </c>
      <c r="N3760" s="2210">
        <f>I3767</f>
        <v>113852180.2</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5307</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1"/>
        <v>1</v>
      </c>
      <c r="E3765" s="2721">
        <v>1</v>
      </c>
      <c r="F3765" s="371"/>
      <c r="G3765" s="308" t="s">
        <v>513</v>
      </c>
      <c r="H3765" s="309">
        <v>4224459.3600000003</v>
      </c>
      <c r="I3765" s="394">
        <v>113852180.2</v>
      </c>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1"/>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1"/>
        <v>1</v>
      </c>
      <c r="E3767" s="2721" t="s">
        <v>2751</v>
      </c>
      <c r="F3767" s="371"/>
      <c r="G3767" s="374" t="s">
        <v>2752</v>
      </c>
      <c r="H3767" s="1478">
        <f>SUMPRODUCT($E3762:$E3766,H3762:H3766)</f>
        <v>4224459.3600000003</v>
      </c>
      <c r="I3767" s="1479">
        <f>SUMPRODUCT($E3762:$E3766,I3762:I3766)</f>
        <v>113852180.2</v>
      </c>
      <c r="J3767" s="301"/>
      <c r="K3767" s="1531">
        <f t="shared" ref="K3767:L3767" ca="1" si="422">SUM(K3763:K3766)</f>
        <v>0</v>
      </c>
      <c r="L3767" s="1531">
        <f t="shared" ca="1" si="422"/>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5495</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18">
      <c r="A3772" s="2714"/>
      <c r="B3772" s="371"/>
      <c r="C3772" s="371"/>
      <c r="D3772" s="371"/>
      <c r="E3772" s="2716" t="s">
        <v>2749</v>
      </c>
      <c r="F3772" s="294"/>
      <c r="G3772" s="1490" t="s">
        <v>47</v>
      </c>
      <c r="H3772" s="1454" t="str">
        <f>$V$2</f>
        <v>2019年12月31日</v>
      </c>
      <c r="I3772" s="1455" t="str">
        <f>$V$3</f>
        <v>2018年12月31日</v>
      </c>
      <c r="J3772" s="355" t="s">
        <v>5307</v>
      </c>
      <c r="K3772" s="291"/>
      <c r="L3772" s="291"/>
      <c r="M3772" s="291"/>
      <c r="S3772" s="364"/>
      <c r="Z3772" s="609" t="s">
        <v>3961</v>
      </c>
      <c r="AA3772" s="609" t="s">
        <v>5680</v>
      </c>
    </row>
    <row r="3773" spans="1:27" ht="24">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5680</v>
      </c>
    </row>
    <row r="3774" spans="1:27" ht="18">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5680</v>
      </c>
    </row>
    <row r="3775" spans="1:27" ht="18">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5680</v>
      </c>
    </row>
    <row r="3776" spans="1:27" ht="18">
      <c r="A3776" s="2714"/>
      <c r="B3776" s="371">
        <v>104</v>
      </c>
      <c r="C3776" s="371"/>
      <c r="D3776" s="2716">
        <f t="shared" si="423"/>
        <v>1</v>
      </c>
      <c r="E3776" s="2721" t="s">
        <v>6534</v>
      </c>
      <c r="F3776" s="294"/>
      <c r="G3776" s="308" t="s">
        <v>5219</v>
      </c>
      <c r="H3776" s="309"/>
      <c r="I3776" s="346"/>
      <c r="J3776" s="291"/>
      <c r="K3776" s="291"/>
      <c r="L3776" s="291"/>
      <c r="M3776" s="291"/>
      <c r="S3776" s="364"/>
      <c r="Z3776" s="609" t="s">
        <v>3961</v>
      </c>
      <c r="AA3776" s="609" t="s">
        <v>5680</v>
      </c>
    </row>
    <row r="3777" spans="1:29" ht="18">
      <c r="A3777" s="2714"/>
      <c r="B3777" s="371">
        <v>104.001</v>
      </c>
      <c r="C3777" s="371" t="s">
        <v>2791</v>
      </c>
      <c r="D3777" s="2716">
        <f t="shared" si="423"/>
        <v>1</v>
      </c>
      <c r="E3777" s="2721" t="s">
        <v>5220</v>
      </c>
      <c r="F3777" s="294"/>
      <c r="G3777" s="1489" t="s">
        <v>5225</v>
      </c>
      <c r="H3777" s="309"/>
      <c r="I3777" s="346"/>
      <c r="J3777" s="355" t="s">
        <v>6073</v>
      </c>
      <c r="K3777" s="291"/>
      <c r="L3777" s="291"/>
      <c r="M3777" s="291"/>
      <c r="S3777" s="364"/>
      <c r="Z3777" s="609" t="s">
        <v>3961</v>
      </c>
      <c r="AA3777" s="609" t="s">
        <v>5680</v>
      </c>
    </row>
    <row r="3778" spans="1:29" ht="18">
      <c r="A3778" s="2714"/>
      <c r="B3778" s="371">
        <v>104.002</v>
      </c>
      <c r="C3778" s="371" t="s">
        <v>2791</v>
      </c>
      <c r="D3778" s="2716">
        <f t="shared" si="423"/>
        <v>0</v>
      </c>
      <c r="E3778" s="2721" t="s">
        <v>5220</v>
      </c>
      <c r="F3778" s="294"/>
      <c r="G3778" s="1489" t="s">
        <v>5235</v>
      </c>
      <c r="H3778" s="309"/>
      <c r="I3778" s="346"/>
      <c r="J3778" s="291"/>
      <c r="K3778" s="291"/>
      <c r="L3778" s="291"/>
      <c r="M3778" s="291"/>
      <c r="S3778" s="364"/>
      <c r="Z3778" s="609" t="s">
        <v>3961</v>
      </c>
      <c r="AA3778" s="609" t="s">
        <v>5680</v>
      </c>
    </row>
    <row r="3779" spans="1:29" ht="18">
      <c r="A3779" s="2714"/>
      <c r="B3779" s="371">
        <v>104.003</v>
      </c>
      <c r="C3779" s="371" t="s">
        <v>2791</v>
      </c>
      <c r="D3779" s="2716">
        <f t="shared" si="423"/>
        <v>0</v>
      </c>
      <c r="E3779" s="2721" t="s">
        <v>5220</v>
      </c>
      <c r="F3779" s="294"/>
      <c r="G3779" s="1489" t="s">
        <v>2792</v>
      </c>
      <c r="H3779" s="309"/>
      <c r="I3779" s="346"/>
      <c r="J3779" s="291"/>
      <c r="K3779" s="291"/>
      <c r="L3779" s="291"/>
      <c r="M3779" s="291"/>
      <c r="S3779" s="364"/>
      <c r="Z3779" s="609" t="s">
        <v>3961</v>
      </c>
      <c r="AA3779" s="609" t="s">
        <v>5680</v>
      </c>
    </row>
    <row r="3780" spans="1:29" ht="24">
      <c r="A3780" s="2714"/>
      <c r="B3780" s="371">
        <v>104.999</v>
      </c>
      <c r="C3780" s="371" t="s">
        <v>2793</v>
      </c>
      <c r="D3780" s="2716">
        <f t="shared" si="423"/>
        <v>1</v>
      </c>
      <c r="E3780" s="2721">
        <v>1</v>
      </c>
      <c r="F3780" s="294"/>
      <c r="G3780" s="308" t="s">
        <v>5221</v>
      </c>
      <c r="H3780" s="1476">
        <f>SUMIF($E$3772:$E$3787,$G3780,H$3772:H$3787)</f>
        <v>0</v>
      </c>
      <c r="I3780" s="1477">
        <f>SUMIF($E$3772:$E$3787,$G3780,I$3772:I$3787)</f>
        <v>0</v>
      </c>
      <c r="J3780" s="291"/>
      <c r="K3780" s="291"/>
      <c r="L3780" s="291"/>
      <c r="M3780" s="291"/>
      <c r="S3780" s="364"/>
      <c r="Z3780" s="609" t="s">
        <v>3961</v>
      </c>
      <c r="AA3780" s="609" t="s">
        <v>5680</v>
      </c>
    </row>
    <row r="3781" spans="1:29" ht="18">
      <c r="A3781" s="2714"/>
      <c r="B3781" s="371">
        <v>105</v>
      </c>
      <c r="C3781" s="371"/>
      <c r="D3781" s="2716">
        <f t="shared" si="423"/>
        <v>1</v>
      </c>
      <c r="E3781" s="2721" t="s">
        <v>41</v>
      </c>
      <c r="F3781" s="294"/>
      <c r="G3781" s="308" t="s">
        <v>5222</v>
      </c>
      <c r="H3781" s="309"/>
      <c r="I3781" s="346"/>
      <c r="J3781" s="291"/>
      <c r="K3781" s="291"/>
      <c r="L3781" s="291"/>
      <c r="M3781" s="291"/>
      <c r="S3781" s="364"/>
      <c r="Z3781" s="609" t="s">
        <v>3961</v>
      </c>
      <c r="AA3781" s="609" t="s">
        <v>5680</v>
      </c>
    </row>
    <row r="3782" spans="1:29" ht="18">
      <c r="A3782" s="2714"/>
      <c r="B3782" s="371">
        <v>105.001</v>
      </c>
      <c r="C3782" s="371" t="s">
        <v>2791</v>
      </c>
      <c r="D3782" s="2716">
        <f t="shared" si="423"/>
        <v>1</v>
      </c>
      <c r="E3782" s="2721" t="s">
        <v>5223</v>
      </c>
      <c r="F3782" s="294"/>
      <c r="G3782" s="1489" t="s">
        <v>5236</v>
      </c>
      <c r="H3782" s="309"/>
      <c r="I3782" s="346"/>
      <c r="J3782" s="355" t="s">
        <v>6073</v>
      </c>
      <c r="K3782" s="291"/>
      <c r="L3782" s="291"/>
      <c r="M3782" s="291"/>
      <c r="S3782" s="364"/>
      <c r="Z3782" s="609" t="s">
        <v>3961</v>
      </c>
      <c r="AA3782" s="609" t="s">
        <v>5680</v>
      </c>
    </row>
    <row r="3783" spans="1:29" ht="18">
      <c r="A3783" s="2714"/>
      <c r="B3783" s="371">
        <v>105.002</v>
      </c>
      <c r="C3783" s="371" t="s">
        <v>2791</v>
      </c>
      <c r="D3783" s="2716">
        <f t="shared" si="423"/>
        <v>0</v>
      </c>
      <c r="E3783" s="2721" t="s">
        <v>5223</v>
      </c>
      <c r="F3783" s="294"/>
      <c r="G3783" s="1489" t="s">
        <v>5226</v>
      </c>
      <c r="H3783" s="309"/>
      <c r="I3783" s="346"/>
      <c r="J3783" s="291"/>
      <c r="K3783" s="291"/>
      <c r="L3783" s="291"/>
      <c r="M3783" s="291"/>
      <c r="S3783" s="364"/>
      <c r="Z3783" s="609" t="s">
        <v>3961</v>
      </c>
      <c r="AA3783" s="609" t="s">
        <v>5680</v>
      </c>
    </row>
    <row r="3784" spans="1:29" ht="18">
      <c r="A3784" s="2714"/>
      <c r="B3784" s="371">
        <v>105.003</v>
      </c>
      <c r="C3784" s="371" t="s">
        <v>6532</v>
      </c>
      <c r="D3784" s="2716">
        <f t="shared" si="423"/>
        <v>0</v>
      </c>
      <c r="E3784" s="2721" t="s">
        <v>5223</v>
      </c>
      <c r="F3784" s="294"/>
      <c r="G3784" s="1489" t="s">
        <v>2792</v>
      </c>
      <c r="H3784" s="309"/>
      <c r="I3784" s="346"/>
      <c r="J3784" s="291"/>
      <c r="K3784" s="291"/>
      <c r="L3784" s="291"/>
      <c r="M3784" s="291"/>
      <c r="S3784" s="364"/>
      <c r="Z3784" s="609" t="s">
        <v>3961</v>
      </c>
      <c r="AA3784" s="609" t="s">
        <v>5680</v>
      </c>
    </row>
    <row r="3785" spans="1:29" ht="24">
      <c r="A3785" s="2714"/>
      <c r="B3785" s="371">
        <v>105.999</v>
      </c>
      <c r="C3785" s="371" t="s">
        <v>6562</v>
      </c>
      <c r="D3785" s="2716">
        <f t="shared" si="423"/>
        <v>1</v>
      </c>
      <c r="E3785" s="2721">
        <v>1</v>
      </c>
      <c r="F3785" s="294"/>
      <c r="G3785" s="308" t="s">
        <v>5224</v>
      </c>
      <c r="H3785" s="1476">
        <f>SUMIF($E$3772:$E$3787,$G3785,H$3772:H$3787)</f>
        <v>0</v>
      </c>
      <c r="I3785" s="1477">
        <f>SUMIF($E$3772:$E$3787,$G3785,I$3772:I$3787)</f>
        <v>0</v>
      </c>
      <c r="J3785" s="291"/>
      <c r="K3785" s="291"/>
      <c r="L3785" s="291"/>
      <c r="M3785" s="291"/>
      <c r="S3785" s="364"/>
      <c r="Z3785" s="609" t="s">
        <v>3961</v>
      </c>
      <c r="AA3785" s="609" t="s">
        <v>5680</v>
      </c>
    </row>
    <row r="3786" spans="1:29" ht="18">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5680</v>
      </c>
    </row>
    <row r="3787" spans="1:29" ht="18">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5680</v>
      </c>
    </row>
    <row r="3788" spans="1:29" ht="18.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6573</v>
      </c>
    </row>
    <row r="3789" spans="1:29" ht="18">
      <c r="A3789" s="2714"/>
      <c r="B3789" s="371"/>
      <c r="C3789" s="371" t="s">
        <v>2755</v>
      </c>
      <c r="D3789" s="371"/>
      <c r="F3789" s="294"/>
      <c r="G3789" s="301"/>
      <c r="H3789" s="315"/>
      <c r="I3789" s="315"/>
      <c r="J3789" s="291"/>
      <c r="K3789" s="291"/>
      <c r="L3789" s="291"/>
      <c r="M3789" s="291"/>
      <c r="S3789" s="364"/>
      <c r="Z3789" s="609" t="s">
        <v>3961</v>
      </c>
      <c r="AA3789" s="609" t="s">
        <v>5680</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4">
      <c r="A3792" s="2714"/>
      <c r="B3792" s="371"/>
      <c r="C3792" s="371"/>
      <c r="D3792" s="371"/>
      <c r="E3792" s="586" t="s">
        <v>2749</v>
      </c>
      <c r="F3792" s="363"/>
      <c r="G3792" s="2362" t="s">
        <v>1545</v>
      </c>
      <c r="H3792" s="2368" t="s">
        <v>3968</v>
      </c>
      <c r="I3792" s="2373" t="s">
        <v>3130</v>
      </c>
      <c r="J3792" s="355" t="s">
        <v>5307</v>
      </c>
      <c r="K3792" s="291"/>
      <c r="L3792" s="291"/>
      <c r="M3792" s="291"/>
      <c r="S3792" s="364"/>
      <c r="Z3792" s="609" t="s">
        <v>3961</v>
      </c>
      <c r="AA3792" s="609" t="s">
        <v>5680</v>
      </c>
    </row>
    <row r="3793" spans="1:27" ht="18">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5680</v>
      </c>
    </row>
    <row r="3794" spans="1:27" ht="18">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5680</v>
      </c>
    </row>
    <row r="3795" spans="1:27" ht="18">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5680</v>
      </c>
    </row>
    <row r="3796" spans="1:27" ht="18">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5680</v>
      </c>
    </row>
    <row r="3797" spans="1:27" ht="18">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5680</v>
      </c>
    </row>
    <row r="3798" spans="1:27" ht="18.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5680</v>
      </c>
    </row>
    <row r="3799" spans="1:27" ht="18">
      <c r="A3799" s="2714"/>
      <c r="B3799" s="371"/>
      <c r="C3799" s="371" t="s">
        <v>2755</v>
      </c>
      <c r="D3799" s="371"/>
      <c r="F3799" s="294"/>
      <c r="G3799" s="301"/>
      <c r="H3799" s="315"/>
      <c r="I3799" s="393"/>
      <c r="J3799" s="291"/>
      <c r="K3799" s="291"/>
      <c r="L3799" s="291"/>
      <c r="M3799" s="291"/>
      <c r="S3799" s="364"/>
      <c r="Z3799" s="609" t="s">
        <v>3961</v>
      </c>
      <c r="AA3799" s="609" t="s">
        <v>5680</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5681</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5681</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18">
      <c r="A3803" s="2714"/>
      <c r="B3803" s="371"/>
      <c r="C3803" s="371"/>
      <c r="D3803" s="371"/>
      <c r="E3803" s="2716" t="s">
        <v>2749</v>
      </c>
      <c r="F3803" s="294"/>
      <c r="G3803" s="1516" t="s">
        <v>5358</v>
      </c>
      <c r="H3803" s="1454" t="str">
        <f>$V$2</f>
        <v>2019年12月31日</v>
      </c>
      <c r="I3803" s="1455" t="str">
        <f>$V$3</f>
        <v>2018年12月31日</v>
      </c>
      <c r="J3803" s="355" t="s">
        <v>5307</v>
      </c>
      <c r="K3803" s="291"/>
      <c r="L3803" s="291"/>
      <c r="M3803" s="291"/>
      <c r="N3803" s="291"/>
      <c r="S3803" s="364"/>
      <c r="Z3803" s="609" t="s">
        <v>3969</v>
      </c>
      <c r="AA3803" s="609" t="s">
        <v>5681</v>
      </c>
    </row>
    <row r="3804" spans="1:27" ht="18">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5681</v>
      </c>
    </row>
    <row r="3805" spans="1:27" ht="18">
      <c r="A3805" s="2714"/>
      <c r="B3805" s="371">
        <v>102</v>
      </c>
      <c r="C3805" s="371"/>
      <c r="D3805" s="2716">
        <f t="shared" si="425"/>
        <v>1</v>
      </c>
      <c r="E3805" s="2721" t="s">
        <v>41</v>
      </c>
      <c r="F3805" s="294"/>
      <c r="G3805" s="308" t="s">
        <v>5227</v>
      </c>
      <c r="H3805" s="309"/>
      <c r="I3805" s="346"/>
      <c r="J3805" s="291"/>
      <c r="K3805" s="291"/>
      <c r="L3805" s="291"/>
      <c r="M3805" s="291"/>
      <c r="N3805" s="291"/>
      <c r="S3805" s="364"/>
      <c r="Z3805" s="609" t="s">
        <v>3969</v>
      </c>
      <c r="AA3805" s="609" t="s">
        <v>5681</v>
      </c>
    </row>
    <row r="3806" spans="1:27" ht="18">
      <c r="A3806" s="2714"/>
      <c r="B3806" s="371">
        <v>102.001</v>
      </c>
      <c r="C3806" s="371" t="s">
        <v>2791</v>
      </c>
      <c r="D3806" s="2716">
        <f t="shared" si="425"/>
        <v>1</v>
      </c>
      <c r="E3806" s="2721" t="s">
        <v>5229</v>
      </c>
      <c r="F3806" s="294"/>
      <c r="G3806" s="1489" t="s">
        <v>5228</v>
      </c>
      <c r="H3806" s="309"/>
      <c r="I3806" s="346"/>
      <c r="J3806" s="291"/>
      <c r="K3806" s="291"/>
      <c r="L3806" s="291"/>
      <c r="M3806" s="291"/>
      <c r="N3806" s="291"/>
      <c r="S3806" s="364"/>
      <c r="Z3806" s="609" t="s">
        <v>3969</v>
      </c>
      <c r="AA3806" s="609" t="s">
        <v>5681</v>
      </c>
    </row>
    <row r="3807" spans="1:27" ht="18">
      <c r="A3807" s="2714"/>
      <c r="B3807" s="371">
        <v>102.002</v>
      </c>
      <c r="C3807" s="371" t="s">
        <v>2791</v>
      </c>
      <c r="D3807" s="2716">
        <f t="shared" si="425"/>
        <v>0</v>
      </c>
      <c r="E3807" s="2721" t="s">
        <v>5229</v>
      </c>
      <c r="F3807" s="294"/>
      <c r="G3807" s="1489" t="s">
        <v>5226</v>
      </c>
      <c r="H3807" s="309"/>
      <c r="I3807" s="346"/>
      <c r="J3807" s="291"/>
      <c r="K3807" s="291"/>
      <c r="L3807" s="291"/>
      <c r="M3807" s="291"/>
      <c r="N3807" s="291"/>
      <c r="S3807" s="364"/>
      <c r="Z3807" s="609" t="s">
        <v>3969</v>
      </c>
      <c r="AA3807" s="609" t="s">
        <v>5681</v>
      </c>
    </row>
    <row r="3808" spans="1:27" ht="18">
      <c r="A3808" s="2714"/>
      <c r="B3808" s="371">
        <v>102.003</v>
      </c>
      <c r="C3808" s="371" t="s">
        <v>2791</v>
      </c>
      <c r="D3808" s="2716">
        <f t="shared" si="425"/>
        <v>0</v>
      </c>
      <c r="E3808" s="2721" t="s">
        <v>5229</v>
      </c>
      <c r="F3808" s="294"/>
      <c r="G3808" s="1489" t="s">
        <v>2792</v>
      </c>
      <c r="H3808" s="309"/>
      <c r="I3808" s="346"/>
      <c r="J3808" s="291"/>
      <c r="K3808" s="291"/>
      <c r="L3808" s="291"/>
      <c r="M3808" s="291"/>
      <c r="N3808" s="291"/>
      <c r="S3808" s="364"/>
      <c r="Z3808" s="609" t="s">
        <v>3969</v>
      </c>
      <c r="AA3808" s="609" t="s">
        <v>5681</v>
      </c>
    </row>
    <row r="3809" spans="1:29" ht="24">
      <c r="A3809" s="2714"/>
      <c r="B3809" s="371">
        <v>102.999</v>
      </c>
      <c r="C3809" s="371" t="s">
        <v>2793</v>
      </c>
      <c r="D3809" s="2716">
        <f t="shared" si="425"/>
        <v>1</v>
      </c>
      <c r="E3809" s="2721">
        <v>1</v>
      </c>
      <c r="F3809" s="294"/>
      <c r="G3809" s="308" t="s">
        <v>5230</v>
      </c>
      <c r="H3809" s="1476">
        <f>SUMIF($E$3803:$E$3815,$G3809,H$3803:H$3815)</f>
        <v>0</v>
      </c>
      <c r="I3809" s="1477">
        <f>SUMIF($E$3803:$E$3815,$G3809,I$3803:I$3815)</f>
        <v>0</v>
      </c>
      <c r="J3809" s="291"/>
      <c r="K3809" s="291"/>
      <c r="L3809" s="291"/>
      <c r="M3809" s="291"/>
      <c r="N3809" s="291"/>
      <c r="S3809" s="364"/>
      <c r="Z3809" s="609" t="s">
        <v>3969</v>
      </c>
      <c r="AA3809" s="609" t="s">
        <v>5681</v>
      </c>
    </row>
    <row r="3810" spans="1:29" ht="18">
      <c r="A3810" s="2714"/>
      <c r="B3810" s="371">
        <v>103</v>
      </c>
      <c r="C3810" s="371"/>
      <c r="D3810" s="2716">
        <f t="shared" si="425"/>
        <v>1</v>
      </c>
      <c r="E3810" s="2721" t="s">
        <v>41</v>
      </c>
      <c r="F3810" s="294"/>
      <c r="G3810" s="308" t="s">
        <v>5231</v>
      </c>
      <c r="H3810" s="309"/>
      <c r="I3810" s="346"/>
      <c r="J3810" s="291"/>
      <c r="K3810" s="291"/>
      <c r="L3810" s="291"/>
      <c r="M3810" s="291"/>
      <c r="N3810" s="291"/>
      <c r="S3810" s="364"/>
      <c r="Z3810" s="609" t="s">
        <v>3969</v>
      </c>
      <c r="AA3810" s="609" t="s">
        <v>5681</v>
      </c>
    </row>
    <row r="3811" spans="1:29" ht="18">
      <c r="A3811" s="2714"/>
      <c r="B3811" s="371">
        <v>103.001</v>
      </c>
      <c r="C3811" s="371" t="s">
        <v>2791</v>
      </c>
      <c r="D3811" s="2716">
        <f t="shared" si="425"/>
        <v>1</v>
      </c>
      <c r="E3811" s="2721" t="s">
        <v>5233</v>
      </c>
      <c r="F3811" s="294"/>
      <c r="G3811" s="1489" t="s">
        <v>5232</v>
      </c>
      <c r="H3811" s="309"/>
      <c r="I3811" s="346"/>
      <c r="J3811" s="291"/>
      <c r="K3811" s="291"/>
      <c r="L3811" s="291"/>
      <c r="M3811" s="291"/>
      <c r="N3811" s="291"/>
      <c r="S3811" s="364"/>
      <c r="Z3811" s="609" t="s">
        <v>3969</v>
      </c>
      <c r="AA3811" s="609" t="s">
        <v>5681</v>
      </c>
    </row>
    <row r="3812" spans="1:29" ht="18">
      <c r="A3812" s="2714"/>
      <c r="B3812" s="371">
        <v>103.002</v>
      </c>
      <c r="C3812" s="371" t="s">
        <v>2791</v>
      </c>
      <c r="D3812" s="2716">
        <f t="shared" si="425"/>
        <v>0</v>
      </c>
      <c r="E3812" s="2721" t="s">
        <v>5233</v>
      </c>
      <c r="F3812" s="294"/>
      <c r="G3812" s="1489" t="s">
        <v>5226</v>
      </c>
      <c r="H3812" s="309"/>
      <c r="I3812" s="346"/>
      <c r="J3812" s="291"/>
      <c r="K3812" s="291"/>
      <c r="L3812" s="291"/>
      <c r="M3812" s="291"/>
      <c r="N3812" s="291"/>
      <c r="S3812" s="364"/>
      <c r="Z3812" s="609" t="s">
        <v>3969</v>
      </c>
      <c r="AA3812" s="609" t="s">
        <v>5681</v>
      </c>
    </row>
    <row r="3813" spans="1:29" ht="18">
      <c r="A3813" s="2714"/>
      <c r="B3813" s="371">
        <v>103.003</v>
      </c>
      <c r="C3813" s="371" t="s">
        <v>6532</v>
      </c>
      <c r="D3813" s="2716">
        <f t="shared" si="425"/>
        <v>0</v>
      </c>
      <c r="E3813" s="2721" t="s">
        <v>5233</v>
      </c>
      <c r="F3813" s="294"/>
      <c r="G3813" s="1489" t="s">
        <v>2792</v>
      </c>
      <c r="H3813" s="309"/>
      <c r="I3813" s="346"/>
      <c r="J3813" s="291"/>
      <c r="K3813" s="291"/>
      <c r="L3813" s="291"/>
      <c r="M3813" s="291"/>
      <c r="N3813" s="291"/>
      <c r="S3813" s="364"/>
      <c r="Z3813" s="609" t="s">
        <v>3969</v>
      </c>
      <c r="AA3813" s="609" t="s">
        <v>5681</v>
      </c>
    </row>
    <row r="3814" spans="1:29" ht="24">
      <c r="A3814" s="2714"/>
      <c r="B3814" s="371">
        <v>103.999</v>
      </c>
      <c r="C3814" s="371" t="s">
        <v>2793</v>
      </c>
      <c r="D3814" s="2716">
        <f t="shared" si="425"/>
        <v>1</v>
      </c>
      <c r="E3814" s="2721">
        <v>1</v>
      </c>
      <c r="F3814" s="294"/>
      <c r="G3814" s="308" t="s">
        <v>5234</v>
      </c>
      <c r="H3814" s="1476">
        <f>SUMIF($E$3803:$E$3815,$G3814,H$3803:H$3815)</f>
        <v>0</v>
      </c>
      <c r="I3814" s="1477">
        <f>SUMIF($E$3803:$E$3815,$G3814,I$3803:I$3815)</f>
        <v>0</v>
      </c>
      <c r="J3814" s="291"/>
      <c r="K3814" s="291"/>
      <c r="L3814" s="291"/>
      <c r="M3814" s="291"/>
      <c r="N3814" s="291"/>
      <c r="S3814" s="364"/>
      <c r="Z3814" s="609" t="s">
        <v>3969</v>
      </c>
      <c r="AA3814" s="609" t="s">
        <v>5681</v>
      </c>
    </row>
    <row r="3815" spans="1:29" ht="18">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5681</v>
      </c>
    </row>
    <row r="3816" spans="1:29" ht="18.75" thickBot="1">
      <c r="A3816" s="2714"/>
      <c r="B3816" s="371"/>
      <c r="C3816" s="371"/>
      <c r="D3816" s="2716">
        <f t="shared" si="425"/>
        <v>1</v>
      </c>
      <c r="E3816" s="2721" t="s">
        <v>2751</v>
      </c>
      <c r="F3816" s="294"/>
      <c r="G3816" s="374" t="s">
        <v>5357</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6573</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5681</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4">
      <c r="A3820" s="2714"/>
      <c r="B3820" s="371"/>
      <c r="C3820" s="371"/>
      <c r="D3820" s="371"/>
      <c r="E3820" s="2716"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8">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5681</v>
      </c>
    </row>
    <row r="3822" spans="1:29" ht="18">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5681</v>
      </c>
    </row>
    <row r="3823" spans="1:29" ht="18">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5681</v>
      </c>
    </row>
    <row r="3824" spans="1:29" ht="18">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5681</v>
      </c>
    </row>
    <row r="3825" spans="1:29" ht="18">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5681</v>
      </c>
    </row>
    <row r="3826" spans="1:29" ht="18.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5681</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5681</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4224459.3600000003</v>
      </c>
      <c r="L3828" s="342"/>
      <c r="M3828" s="306" t="s">
        <v>2741</v>
      </c>
      <c r="N3828" s="341">
        <f>VLOOKUP($A3828,Sheet_Trialbal,10,0)</f>
        <v>113852180.2</v>
      </c>
      <c r="O3828" s="306"/>
      <c r="P3828" s="301"/>
      <c r="S3828" s="364"/>
      <c r="Z3828" s="609" t="s">
        <v>3975</v>
      </c>
      <c r="AA3828" s="609" t="s">
        <v>5682</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4224459.3600000003</v>
      </c>
      <c r="L3829" s="345" t="str">
        <f>IF($I3829="适用",IF(ROUND(K$3828-K3829,2)=0,"F/S",ROUND(K$3828-K3829,2)),"#N/A")</f>
        <v>F/S</v>
      </c>
      <c r="M3829" s="301" t="s">
        <v>2745</v>
      </c>
      <c r="N3829" s="2210">
        <f>I3837</f>
        <v>113852180.2</v>
      </c>
      <c r="O3829" s="345" t="str">
        <f>IF($I3829="适用",IF(ROUND(N$3828-N3829,2)=0,"F/S",ROUND(N$3828-N3829,2)),"#N/A")</f>
        <v>F/S</v>
      </c>
      <c r="P3829" s="301"/>
      <c r="Q3829" s="290" t="str">
        <f>IF($I3829="不适用","",IF(ROUND(SUM($H$3832:$I$3837),2)=0,"请输入",""))</f>
        <v/>
      </c>
      <c r="S3829" s="364"/>
      <c r="Z3829" s="609" t="s">
        <v>3975</v>
      </c>
      <c r="AA3829" s="609" t="s">
        <v>5682</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18">
      <c r="A3831" s="2714"/>
      <c r="B3831" s="371"/>
      <c r="C3831" s="371"/>
      <c r="D3831" s="371"/>
      <c r="E3831" s="586" t="s">
        <v>2749</v>
      </c>
      <c r="F3831" s="363"/>
      <c r="G3831" s="2362" t="s">
        <v>47</v>
      </c>
      <c r="H3831" s="2225" t="str">
        <f>$V$2</f>
        <v>2019年12月31日</v>
      </c>
      <c r="I3831" s="2226" t="str">
        <f>$V$3</f>
        <v>2018年12月31日</v>
      </c>
      <c r="J3831" s="355" t="s">
        <v>5307</v>
      </c>
      <c r="K3831" s="291"/>
      <c r="L3831" s="291"/>
      <c r="M3831" s="291"/>
      <c r="S3831" s="364"/>
      <c r="Z3831" s="609" t="s">
        <v>3975</v>
      </c>
      <c r="AA3831" s="609" t="s">
        <v>5682</v>
      </c>
    </row>
    <row r="3832" spans="1:29" ht="18">
      <c r="A3832" s="2714"/>
      <c r="B3832" s="371">
        <v>101</v>
      </c>
      <c r="C3832" s="371" t="s">
        <v>2791</v>
      </c>
      <c r="D3832" s="2716">
        <f t="shared" ref="D3832:D3837" si="427">IF(OR(G3832="*",G3832="",G3832=0),0,COUNTIF($G$3832:$G$3837,G3832))</f>
        <v>1</v>
      </c>
      <c r="E3832" s="2721">
        <v>1</v>
      </c>
      <c r="F3832" s="294"/>
      <c r="G3832" s="2375" t="s">
        <v>6900</v>
      </c>
      <c r="H3832" s="2275">
        <v>24459.360000000001</v>
      </c>
      <c r="I3832" s="2296">
        <v>13949.2</v>
      </c>
      <c r="J3832" s="291"/>
      <c r="K3832" s="291"/>
      <c r="L3832" s="291"/>
      <c r="M3832" s="291"/>
      <c r="S3832" s="364"/>
      <c r="Z3832" s="609" t="s">
        <v>3975</v>
      </c>
      <c r="AA3832" s="609" t="s">
        <v>5682</v>
      </c>
    </row>
    <row r="3833" spans="1:29" ht="18">
      <c r="A3833" s="2714"/>
      <c r="B3833" s="371">
        <v>102</v>
      </c>
      <c r="C3833" s="371" t="s">
        <v>2791</v>
      </c>
      <c r="D3833" s="2716">
        <f t="shared" si="427"/>
        <v>1</v>
      </c>
      <c r="E3833" s="2721">
        <v>1</v>
      </c>
      <c r="F3833" s="294"/>
      <c r="G3833" s="2375" t="s">
        <v>6901</v>
      </c>
      <c r="H3833" s="2275">
        <v>4200000</v>
      </c>
      <c r="I3833" s="2296">
        <v>78070000</v>
      </c>
      <c r="J3833" s="291"/>
      <c r="K3833" s="291"/>
      <c r="L3833" s="291"/>
      <c r="M3833" s="291"/>
      <c r="S3833" s="364"/>
      <c r="Z3833" s="609" t="s">
        <v>3975</v>
      </c>
      <c r="AA3833" s="609" t="s">
        <v>5682</v>
      </c>
    </row>
    <row r="3834" spans="1:29" ht="18">
      <c r="A3834" s="2714"/>
      <c r="B3834" s="371">
        <v>103</v>
      </c>
      <c r="C3834" s="371" t="s">
        <v>2791</v>
      </c>
      <c r="D3834" s="2716">
        <f t="shared" si="427"/>
        <v>1</v>
      </c>
      <c r="E3834" s="2721">
        <v>1</v>
      </c>
      <c r="F3834" s="294"/>
      <c r="G3834" s="2375" t="s">
        <v>6902</v>
      </c>
      <c r="H3834" s="2275"/>
      <c r="I3834" s="2296">
        <v>15400000</v>
      </c>
      <c r="J3834" s="291"/>
      <c r="K3834" s="291"/>
      <c r="L3834" s="291"/>
      <c r="M3834" s="291"/>
      <c r="S3834" s="364"/>
      <c r="Z3834" s="609" t="s">
        <v>3975</v>
      </c>
      <c r="AA3834" s="609" t="s">
        <v>5682</v>
      </c>
    </row>
    <row r="3835" spans="1:29" ht="18">
      <c r="A3835" s="2714"/>
      <c r="B3835" s="371">
        <v>104</v>
      </c>
      <c r="C3835" s="371" t="s">
        <v>2791</v>
      </c>
      <c r="D3835" s="2716">
        <f t="shared" si="427"/>
        <v>1</v>
      </c>
      <c r="E3835" s="2721">
        <v>1</v>
      </c>
      <c r="F3835" s="294"/>
      <c r="G3835" s="2375" t="s">
        <v>6903</v>
      </c>
      <c r="H3835" s="2275"/>
      <c r="I3835" s="2296">
        <v>20368231</v>
      </c>
      <c r="J3835" s="291"/>
      <c r="K3835" s="291"/>
      <c r="L3835" s="291"/>
      <c r="M3835" s="291"/>
      <c r="S3835" s="364"/>
      <c r="Z3835" s="609" t="s">
        <v>3975</v>
      </c>
      <c r="AA3835" s="609" t="s">
        <v>5682</v>
      </c>
    </row>
    <row r="3836" spans="1:29" ht="18">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5682</v>
      </c>
    </row>
    <row r="3837" spans="1:29" ht="18.75" thickBot="1">
      <c r="A3837" s="2714"/>
      <c r="B3837" s="371"/>
      <c r="C3837" s="371"/>
      <c r="D3837" s="2716">
        <f t="shared" si="427"/>
        <v>1</v>
      </c>
      <c r="E3837" s="2721" t="s">
        <v>2751</v>
      </c>
      <c r="F3837" s="294"/>
      <c r="G3837" s="374" t="s">
        <v>2752</v>
      </c>
      <c r="H3837" s="1478">
        <f>SUMPRODUCT($E3831:$E3836,H3831:H3836)</f>
        <v>4224459.3600000003</v>
      </c>
      <c r="I3837" s="1479">
        <f>SUMPRODUCT($E3831:$E3836,I3831:I3836)</f>
        <v>113852180.2</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6573</v>
      </c>
    </row>
    <row r="3838" spans="1:29" ht="18">
      <c r="A3838" s="2714"/>
      <c r="B3838" s="371"/>
      <c r="C3838" s="371" t="s">
        <v>2755</v>
      </c>
      <c r="D3838" s="371"/>
      <c r="F3838" s="294"/>
      <c r="G3838" s="301"/>
      <c r="H3838" s="315"/>
      <c r="I3838" s="315"/>
      <c r="J3838" s="291"/>
      <c r="K3838" s="291"/>
      <c r="L3838" s="291"/>
      <c r="M3838" s="291"/>
      <c r="S3838" s="364"/>
      <c r="Z3838" s="609" t="s">
        <v>3975</v>
      </c>
      <c r="AA3838" s="609" t="s">
        <v>5682</v>
      </c>
    </row>
    <row r="3839" spans="1:29" ht="18">
      <c r="A3839" s="2714" t="s">
        <v>1569</v>
      </c>
      <c r="B3839" s="371">
        <v>2</v>
      </c>
      <c r="C3839" s="371"/>
      <c r="D3839" s="2716" t="str">
        <f>VLOOKUP($A3839,Sheet_NoteList,2,0)</f>
        <v>其他应付款按账龄列示</v>
      </c>
      <c r="E3839" s="2716" t="s">
        <v>6531</v>
      </c>
      <c r="F3839" s="294"/>
      <c r="G3839" s="372" t="str">
        <f>"("&amp;B3839&amp;")"&amp;D3839</f>
        <v>(2)其他应付款按账龄列示</v>
      </c>
      <c r="H3839" s="1517" t="str">
        <f>$A3839</f>
        <v>2241f</v>
      </c>
      <c r="I3839" s="343" t="s">
        <v>5569</v>
      </c>
      <c r="J3839" s="301" t="s">
        <v>5567</v>
      </c>
      <c r="K3839" s="2210">
        <f>H3847</f>
        <v>0</v>
      </c>
      <c r="L3839" s="345">
        <f>IF($I3839="适用",IF(ROUND(K$3828-K3839,2)=0,"F/S",ROUND(K$3828-K3839,2)),"#N/A")</f>
        <v>4224459.3600000003</v>
      </c>
      <c r="M3839" s="301" t="s">
        <v>5568</v>
      </c>
      <c r="N3839" s="2210">
        <f>I3847</f>
        <v>0</v>
      </c>
      <c r="O3839" s="345">
        <f>IF($I3839="适用",IF(ROUND(N$3828-N3839,2)=0,"F/S",ROUND(N$3828-N3839,2)),"#N/A")</f>
        <v>113852180.2</v>
      </c>
      <c r="P3839" s="301"/>
      <c r="S3839" s="364"/>
      <c r="Z3839" s="609" t="s">
        <v>3975</v>
      </c>
      <c r="AA3839" s="609" t="s">
        <v>5682</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8">
      <c r="A3841" s="2714"/>
      <c r="B3841" s="371"/>
      <c r="C3841" s="371"/>
      <c r="D3841" s="371"/>
      <c r="E3841" s="2716" t="s">
        <v>2749</v>
      </c>
      <c r="F3841" s="294"/>
      <c r="G3841" s="1615" t="s">
        <v>1439</v>
      </c>
      <c r="H3841" s="1613" t="s">
        <v>2775</v>
      </c>
      <c r="I3841" s="1614" t="s">
        <v>2776</v>
      </c>
      <c r="J3841" s="355" t="s">
        <v>6176</v>
      </c>
      <c r="K3841" s="291"/>
      <c r="L3841" s="291"/>
      <c r="M3841" s="291"/>
      <c r="S3841" s="364"/>
      <c r="Z3841" s="609" t="s">
        <v>3975</v>
      </c>
      <c r="AA3841" s="609" t="s">
        <v>5682</v>
      </c>
    </row>
    <row r="3842" spans="1:27" ht="18">
      <c r="A3842" s="2714"/>
      <c r="B3842" s="371">
        <v>101</v>
      </c>
      <c r="C3842" s="371" t="s">
        <v>2791</v>
      </c>
      <c r="D3842" s="2716">
        <f t="shared" ref="D3842:D3847" si="428">IF(OR(G3842="*",G3842="",G3842=0),0,COUNTIF($G$3842:$G$3847,G3842))</f>
        <v>1</v>
      </c>
      <c r="E3842" s="2721">
        <v>1</v>
      </c>
      <c r="F3842" s="294"/>
      <c r="G3842" s="1616" t="s">
        <v>3855</v>
      </c>
      <c r="H3842" s="309"/>
      <c r="I3842" s="346"/>
      <c r="J3842" s="579"/>
      <c r="K3842" s="291"/>
      <c r="L3842" s="291"/>
      <c r="M3842" s="291"/>
      <c r="S3842" s="364"/>
      <c r="Z3842" s="609" t="s">
        <v>3975</v>
      </c>
      <c r="AA3842" s="609" t="s">
        <v>5682</v>
      </c>
    </row>
    <row r="3843" spans="1:27" ht="18">
      <c r="A3843" s="2714"/>
      <c r="B3843" s="371">
        <v>102</v>
      </c>
      <c r="C3843" s="371" t="s">
        <v>2791</v>
      </c>
      <c r="D3843" s="2716">
        <f t="shared" si="428"/>
        <v>1</v>
      </c>
      <c r="E3843" s="2721">
        <v>1</v>
      </c>
      <c r="F3843" s="294"/>
      <c r="G3843" s="1616" t="s">
        <v>3856</v>
      </c>
      <c r="H3843" s="309"/>
      <c r="I3843" s="346"/>
      <c r="J3843" s="291"/>
      <c r="K3843" s="291"/>
      <c r="L3843" s="291"/>
      <c r="M3843" s="291"/>
      <c r="S3843" s="364"/>
      <c r="Z3843" s="609" t="s">
        <v>3975</v>
      </c>
      <c r="AA3843" s="609" t="s">
        <v>5682</v>
      </c>
    </row>
    <row r="3844" spans="1:27" ht="18">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5682</v>
      </c>
    </row>
    <row r="3845" spans="1:27" ht="18">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5682</v>
      </c>
    </row>
    <row r="3846" spans="1:27" ht="18">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5682</v>
      </c>
    </row>
    <row r="3847" spans="1:27" ht="18.75" thickBot="1">
      <c r="A3847" s="2714"/>
      <c r="B3847" s="371"/>
      <c r="C3847" s="371"/>
      <c r="D3847" s="2716">
        <f t="shared" si="428"/>
        <v>1</v>
      </c>
      <c r="E3847" s="2721" t="s">
        <v>2751</v>
      </c>
      <c r="F3847" s="294"/>
      <c r="G3847" s="1529" t="s">
        <v>2752</v>
      </c>
      <c r="H3847" s="1527">
        <f>SUMPRODUCT($E3841:$E3846,H3841:H3846)</f>
        <v>0</v>
      </c>
      <c r="I3847" s="1528">
        <f>SUMPRODUCT($E3841:$E3846,I3841:I3846)</f>
        <v>0</v>
      </c>
      <c r="J3847" s="291"/>
      <c r="K3847" s="291"/>
      <c r="L3847" s="291"/>
      <c r="M3847" s="291"/>
      <c r="S3847" s="364"/>
      <c r="Z3847" s="609" t="s">
        <v>3975</v>
      </c>
      <c r="AA3847" s="609" t="s">
        <v>5682</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8.75" thickTop="1">
      <c r="A3849" s="2714"/>
      <c r="B3849" s="371"/>
      <c r="C3849" s="371" t="s">
        <v>2565</v>
      </c>
      <c r="D3849" s="371"/>
      <c r="F3849" s="294"/>
      <c r="G3849" s="1561" t="s">
        <v>5367</v>
      </c>
      <c r="H3849" s="1550" t="str">
        <f>G3829</f>
        <v>(1)按款项性质列示其他应付款</v>
      </c>
      <c r="I3849" s="1552"/>
      <c r="J3849" s="1553" t="s">
        <v>5368</v>
      </c>
      <c r="K3849" s="291"/>
      <c r="L3849" s="291"/>
      <c r="M3849" s="291"/>
      <c r="S3849" s="364"/>
      <c r="Z3849" s="609" t="s">
        <v>3975</v>
      </c>
      <c r="AA3849" s="609" t="s">
        <v>5682</v>
      </c>
    </row>
    <row r="3850" spans="1:27" ht="18">
      <c r="A3850" s="2714"/>
      <c r="B3850" s="371"/>
      <c r="C3850" s="371" t="s">
        <v>2565</v>
      </c>
      <c r="D3850" s="371"/>
      <c r="F3850" s="294"/>
      <c r="G3850" s="316" t="str">
        <f>"注释A:"&amp; G3837</f>
        <v>注释A:合       计</v>
      </c>
      <c r="H3850" s="2252">
        <f ca="1">HYPERLINK("#'"&amp;$G$1&amp;"'!"&amp;ADDRESS(ROW(Notes!H3837),COLUMN(Notes!H3837),4),H3837)</f>
        <v>4224459.3600000003</v>
      </c>
      <c r="I3850" s="2252">
        <f ca="1">HYPERLINK("#'"&amp;$G$1&amp;"'!"&amp;ADDRESS(ROW(Notes!I3837),COLUMN(Notes!I3837),4),I3837)</f>
        <v>113852180.2</v>
      </c>
      <c r="J3850" s="2632" t="str">
        <f>H3829</f>
        <v>2241e</v>
      </c>
      <c r="K3850" s="291"/>
      <c r="L3850" s="291"/>
      <c r="M3850" s="291"/>
      <c r="S3850" s="364"/>
      <c r="Z3850" s="609" t="s">
        <v>3975</v>
      </c>
      <c r="AA3850" s="609" t="s">
        <v>5682</v>
      </c>
    </row>
    <row r="3851" spans="1:27" ht="18">
      <c r="A3851" s="2714"/>
      <c r="B3851" s="371"/>
      <c r="C3851" s="371" t="s">
        <v>2565</v>
      </c>
      <c r="D3851" s="371"/>
      <c r="F3851" s="294"/>
      <c r="G3851" s="316" t="str">
        <f>"本注释B:"&amp; G3847</f>
        <v>本注释B:合       计</v>
      </c>
      <c r="H3851" s="456">
        <f>H3837</f>
        <v>4224459.3600000003</v>
      </c>
      <c r="I3851" s="456">
        <f>I3837</f>
        <v>113852180.2</v>
      </c>
      <c r="J3851" s="2638" t="s">
        <v>1569</v>
      </c>
      <c r="K3851" s="291"/>
      <c r="L3851" s="291"/>
      <c r="M3851" s="291"/>
      <c r="S3851" s="364"/>
      <c r="Z3851" s="609" t="s">
        <v>3975</v>
      </c>
      <c r="AA3851" s="609" t="s">
        <v>5682</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5682</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8">
      <c r="A3855" s="2714"/>
      <c r="B3855" s="371"/>
      <c r="C3855" s="371" t="s">
        <v>2565</v>
      </c>
      <c r="D3855" s="371"/>
      <c r="F3855" s="294"/>
      <c r="G3855" s="354"/>
      <c r="H3855" s="461"/>
      <c r="I3855" s="461"/>
      <c r="J3855" s="354"/>
      <c r="K3855" s="291"/>
      <c r="L3855" s="291"/>
      <c r="M3855" s="291"/>
      <c r="S3855" s="364"/>
      <c r="Z3855" s="609" t="s">
        <v>3975</v>
      </c>
      <c r="AA3855" s="609" t="s">
        <v>5682</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84"/>
      <c r="O3856" s="315"/>
      <c r="P3856" s="301"/>
      <c r="Q3856" s="290" t="str">
        <f>IF($I3856="不适用","",IF(ROUND(SUM($H$3859:$I$3864),2)=0,"请输入",""))</f>
        <v>请输入</v>
      </c>
      <c r="S3856" s="364"/>
      <c r="Z3856" s="609" t="s">
        <v>3975</v>
      </c>
      <c r="AA3856" s="609" t="s">
        <v>5682</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4">
      <c r="A3858" s="2714"/>
      <c r="B3858" s="371"/>
      <c r="C3858" s="371"/>
      <c r="D3858" s="371"/>
      <c r="E3858" s="586" t="s">
        <v>2749</v>
      </c>
      <c r="F3858" s="363"/>
      <c r="G3858" s="2362" t="s">
        <v>47</v>
      </c>
      <c r="H3858" s="2225" t="str">
        <f>$W$2&amp;"余额"</f>
        <v>2019年12月31日余额</v>
      </c>
      <c r="I3858" s="2373" t="s">
        <v>5251</v>
      </c>
      <c r="J3858" s="355" t="s">
        <v>5307</v>
      </c>
      <c r="K3858" s="291"/>
      <c r="L3858" s="291"/>
      <c r="M3858" s="291"/>
      <c r="N3858" s="291"/>
      <c r="S3858" s="364"/>
      <c r="Z3858" s="609" t="s">
        <v>3975</v>
      </c>
      <c r="AA3858" s="609" t="s">
        <v>5682</v>
      </c>
    </row>
    <row r="3859" spans="1:27" ht="18">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5682</v>
      </c>
    </row>
    <row r="3860" spans="1:27" ht="18">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5682</v>
      </c>
    </row>
    <row r="3861" spans="1:27" ht="18">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5682</v>
      </c>
    </row>
    <row r="3862" spans="1:27" ht="18">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5682</v>
      </c>
    </row>
    <row r="3863" spans="1:27" ht="18">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5682</v>
      </c>
    </row>
    <row r="3864" spans="1:27" ht="18.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5682</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5682</v>
      </c>
    </row>
    <row r="3866" spans="1:27" ht="24">
      <c r="A3866" s="2714" t="s">
        <v>1579</v>
      </c>
      <c r="B3866" s="371">
        <v>4</v>
      </c>
      <c r="C3866" s="371"/>
      <c r="D3866" s="2716" t="str">
        <f>VLOOKUP($A3866,Sheet_NoteList,2,0)</f>
        <v>单项金额较大的其他应付款</v>
      </c>
      <c r="E3866" s="2716" t="s">
        <v>6531</v>
      </c>
      <c r="F3866" s="294"/>
      <c r="G3866" s="372" t="str">
        <f>"("&amp;B3866&amp;")"&amp;D3866</f>
        <v>(4)单项金额较大的其他应付款</v>
      </c>
      <c r="H3866" s="1517" t="str">
        <f>$A3866</f>
        <v>2241b</v>
      </c>
      <c r="I3866" s="343" t="s">
        <v>5974</v>
      </c>
      <c r="J3866" s="301" t="s">
        <v>5973</v>
      </c>
      <c r="K3866" s="2210">
        <f>H3874</f>
        <v>0</v>
      </c>
      <c r="L3866" s="345" t="str">
        <f>IF($I3866="适用",IF(ROUND(K$3828-K3866,2)&gt;=0,"","#Logical!"),"#N/A")</f>
        <v/>
      </c>
      <c r="M3866" s="301"/>
      <c r="N3866" s="3084"/>
      <c r="O3866" s="315"/>
      <c r="P3866" s="301"/>
      <c r="S3866" s="364"/>
      <c r="Z3866" s="609" t="s">
        <v>3975</v>
      </c>
      <c r="AA3866" s="609" t="s">
        <v>5682</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18">
      <c r="A3868" s="2714"/>
      <c r="B3868" s="371"/>
      <c r="C3868" s="371"/>
      <c r="D3868" s="371"/>
      <c r="E3868" s="586" t="s">
        <v>2749</v>
      </c>
      <c r="F3868" s="363"/>
      <c r="G3868" s="2363" t="s">
        <v>3865</v>
      </c>
      <c r="H3868" s="2364" t="s">
        <v>3866</v>
      </c>
      <c r="I3868" s="2364" t="s">
        <v>2961</v>
      </c>
      <c r="J3868" s="2365" t="s">
        <v>3867</v>
      </c>
      <c r="K3868" s="355" t="s">
        <v>6141</v>
      </c>
      <c r="L3868" s="291"/>
      <c r="M3868" s="291"/>
      <c r="N3868" s="291"/>
      <c r="S3868" s="364"/>
      <c r="Z3868" s="609" t="s">
        <v>3975</v>
      </c>
      <c r="AA3868" s="609" t="s">
        <v>5682</v>
      </c>
    </row>
    <row r="3869" spans="1:27" ht="18">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5682</v>
      </c>
    </row>
    <row r="3870" spans="1:27" ht="18">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5682</v>
      </c>
    </row>
    <row r="3871" spans="1:27" ht="18">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5682</v>
      </c>
    </row>
    <row r="3872" spans="1:27" ht="18">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5682</v>
      </c>
    </row>
    <row r="3873" spans="1:27" ht="18">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5682</v>
      </c>
    </row>
    <row r="3874" spans="1:27" ht="18.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5682</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5682</v>
      </c>
    </row>
    <row r="3876" spans="1:27" ht="18">
      <c r="A3876" s="2714" t="s">
        <v>1584</v>
      </c>
      <c r="B3876" s="371">
        <v>5</v>
      </c>
      <c r="C3876" s="371"/>
      <c r="D3876" s="2716" t="str">
        <f>VLOOKUP($A3876,Sheet_NoteList,2,0)</f>
        <v>外币其他应付款</v>
      </c>
      <c r="E3876" s="2716" t="s">
        <v>6531</v>
      </c>
      <c r="F3876" s="294"/>
      <c r="G3876" s="307" t="str">
        <f>"("&amp;B3876&amp;")"&amp;D3876</f>
        <v>(5)外币其他应付款</v>
      </c>
      <c r="H3876" s="1517" t="str">
        <f>$A3876</f>
        <v>2241g</v>
      </c>
      <c r="I3876" s="343" t="s">
        <v>5578</v>
      </c>
      <c r="J3876" s="301" t="s">
        <v>5579</v>
      </c>
      <c r="K3876" s="2210">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5682</v>
      </c>
    </row>
    <row r="3878" spans="1:27" ht="24">
      <c r="A3878" s="2714"/>
      <c r="B3878" s="371"/>
      <c r="C3878" s="371"/>
      <c r="D3878" s="371"/>
      <c r="E3878" s="2716" t="s">
        <v>2749</v>
      </c>
      <c r="F3878" s="294"/>
      <c r="G3878" s="1630" t="s">
        <v>1371</v>
      </c>
      <c r="H3878" s="1622" t="s">
        <v>3076</v>
      </c>
      <c r="I3878" s="1622" t="s">
        <v>3077</v>
      </c>
      <c r="J3878" s="1623" t="s">
        <v>3078</v>
      </c>
      <c r="K3878" s="355" t="s">
        <v>5604</v>
      </c>
      <c r="L3878" s="291"/>
      <c r="S3878" s="364"/>
      <c r="Z3878" s="609" t="s">
        <v>3975</v>
      </c>
      <c r="AA3878" s="609" t="s">
        <v>5682</v>
      </c>
    </row>
    <row r="3879" spans="1:27" ht="18">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5364</v>
      </c>
      <c r="L3879" s="1522" t="s">
        <v>5365</v>
      </c>
      <c r="S3879" s="364"/>
      <c r="Z3879" s="609" t="s">
        <v>3975</v>
      </c>
      <c r="AA3879" s="609" t="s">
        <v>5682</v>
      </c>
    </row>
    <row r="3880" spans="1:27" ht="18">
      <c r="A3880" s="2714"/>
      <c r="B3880" s="371">
        <v>102</v>
      </c>
      <c r="C3880" s="371" t="s">
        <v>2791</v>
      </c>
      <c r="D3880" s="2716">
        <f t="shared" si="431"/>
        <v>1</v>
      </c>
      <c r="E3880" s="2721">
        <v>1</v>
      </c>
      <c r="F3880" s="294"/>
      <c r="G3880" s="1625" t="s">
        <v>3080</v>
      </c>
      <c r="H3880" s="309"/>
      <c r="I3880" s="360"/>
      <c r="J3880" s="346"/>
      <c r="S3880" s="364"/>
      <c r="Z3880" s="609" t="s">
        <v>3975</v>
      </c>
      <c r="AA3880" s="609" t="s">
        <v>5682</v>
      </c>
    </row>
    <row r="3881" spans="1:27" ht="18">
      <c r="A3881" s="2714"/>
      <c r="B3881" s="371">
        <v>103</v>
      </c>
      <c r="C3881" s="371" t="s">
        <v>2791</v>
      </c>
      <c r="D3881" s="2716">
        <f t="shared" si="431"/>
        <v>1</v>
      </c>
      <c r="E3881" s="2721">
        <v>1</v>
      </c>
      <c r="F3881" s="294"/>
      <c r="G3881" s="1625" t="s">
        <v>3081</v>
      </c>
      <c r="H3881" s="309"/>
      <c r="I3881" s="360"/>
      <c r="J3881" s="346"/>
      <c r="S3881" s="364"/>
      <c r="Z3881" s="609" t="s">
        <v>3975</v>
      </c>
      <c r="AA3881" s="609" t="s">
        <v>5682</v>
      </c>
    </row>
    <row r="3882" spans="1:27" ht="18">
      <c r="A3882" s="2714"/>
      <c r="B3882" s="371">
        <v>104</v>
      </c>
      <c r="C3882" s="371" t="s">
        <v>2791</v>
      </c>
      <c r="D3882" s="2716">
        <f t="shared" si="431"/>
        <v>0</v>
      </c>
      <c r="E3882" s="2721">
        <v>1</v>
      </c>
      <c r="F3882" s="294"/>
      <c r="G3882" s="1625" t="s">
        <v>2792</v>
      </c>
      <c r="H3882" s="309"/>
      <c r="I3882" s="360"/>
      <c r="J3882" s="346"/>
      <c r="S3882" s="364"/>
      <c r="Z3882" s="609" t="s">
        <v>3975</v>
      </c>
      <c r="AA3882" s="609" t="s">
        <v>5682</v>
      </c>
    </row>
    <row r="3883" spans="1:27" ht="18">
      <c r="A3883" s="2714"/>
      <c r="B3883" s="371">
        <v>105</v>
      </c>
      <c r="C3883" s="371" t="s">
        <v>2791</v>
      </c>
      <c r="D3883" s="2716">
        <f t="shared" si="431"/>
        <v>0</v>
      </c>
      <c r="E3883" s="2721">
        <v>1</v>
      </c>
      <c r="F3883" s="294"/>
      <c r="G3883" s="1625" t="s">
        <v>2792</v>
      </c>
      <c r="H3883" s="309"/>
      <c r="I3883" s="360"/>
      <c r="J3883" s="346"/>
      <c r="S3883" s="364"/>
      <c r="Z3883" s="609" t="s">
        <v>3975</v>
      </c>
      <c r="AA3883" s="609" t="s">
        <v>5682</v>
      </c>
    </row>
    <row r="3884" spans="1:27" ht="18.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5682</v>
      </c>
    </row>
    <row r="3885" spans="1:27" ht="18">
      <c r="A3885" s="2714"/>
      <c r="B3885" s="371"/>
      <c r="C3885" s="371" t="s">
        <v>2755</v>
      </c>
      <c r="D3885" s="371"/>
      <c r="F3885" s="294"/>
      <c r="G3885" s="301"/>
      <c r="H3885" s="315"/>
      <c r="I3885" s="393"/>
      <c r="J3885" s="315"/>
      <c r="S3885" s="364"/>
      <c r="Z3885" s="609" t="s">
        <v>3975</v>
      </c>
      <c r="AA3885" s="609" t="s">
        <v>5682</v>
      </c>
    </row>
    <row r="3886" spans="1:27" ht="24">
      <c r="A3886" s="2714" t="s">
        <v>1574</v>
      </c>
      <c r="B3886" s="371">
        <v>6</v>
      </c>
      <c r="C3886" s="371"/>
      <c r="D3886" s="2716" t="str">
        <f>VLOOKUP($A3886,Sheet_NoteList,2,0)</f>
        <v>关联方应收应付款项——其他应付款</v>
      </c>
      <c r="E3886" s="2716" t="s">
        <v>6531</v>
      </c>
      <c r="F3886" s="294"/>
      <c r="G3886" s="372" t="str">
        <f>"("&amp;B3886&amp;")"&amp;D3886</f>
        <v>(6)关联方应收应付款项——其他应付款</v>
      </c>
      <c r="H3886" s="1517" t="str">
        <f>$A3886</f>
        <v>2241a</v>
      </c>
      <c r="I3886" s="343" t="s">
        <v>5614</v>
      </c>
      <c r="J3886" s="301"/>
      <c r="K3886" s="3084"/>
      <c r="L3886" s="315"/>
      <c r="M3886" s="301"/>
      <c r="N3886" s="3084"/>
      <c r="O3886" s="315"/>
      <c r="P3886" s="301"/>
      <c r="Q3886" s="290" t="str">
        <f>IF($I3886="不适用","",IF(ROUND(SUM($H$3889:$I$3894),2)=0,"请输入",""))</f>
        <v>请输入</v>
      </c>
      <c r="S3886" s="364"/>
      <c r="Z3886" s="609" t="s">
        <v>3975</v>
      </c>
      <c r="AA3886" s="609" t="s">
        <v>5682</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5682</v>
      </c>
    </row>
    <row r="3889" spans="1:27" ht="18">
      <c r="A3889" s="2714"/>
      <c r="B3889" s="371">
        <v>101</v>
      </c>
      <c r="C3889" s="371" t="s">
        <v>2791</v>
      </c>
      <c r="D3889" s="2716">
        <f t="shared" ref="D3889:D3894" si="432">IF(OR(G3889="*",G3889="",G3889=0),0,COUNTIF($G$3889:$G$3894,G3889))</f>
        <v>0</v>
      </c>
      <c r="E3889" s="2721">
        <v>1</v>
      </c>
      <c r="F3889" s="294"/>
      <c r="G3889" s="1634" t="s">
        <v>2792</v>
      </c>
      <c r="H3889" s="309"/>
      <c r="I3889" s="346"/>
      <c r="J3889" s="355" t="s">
        <v>5364</v>
      </c>
      <c r="K3889" s="1522" t="s">
        <v>5613</v>
      </c>
      <c r="L3889" s="291"/>
      <c r="M3889" s="291"/>
      <c r="S3889" s="364"/>
      <c r="Z3889" s="609" t="s">
        <v>3975</v>
      </c>
      <c r="AA3889" s="609" t="s">
        <v>5682</v>
      </c>
    </row>
    <row r="3890" spans="1:27" ht="18">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5682</v>
      </c>
    </row>
    <row r="3891" spans="1:27" ht="18">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5682</v>
      </c>
    </row>
    <row r="3892" spans="1:27" ht="18">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5682</v>
      </c>
    </row>
    <row r="3893" spans="1:27" ht="18">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5682</v>
      </c>
    </row>
    <row r="3894" spans="1:27" ht="18.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5682</v>
      </c>
    </row>
    <row r="3895" spans="1:27" ht="18">
      <c r="A3895" s="2714"/>
      <c r="B3895" s="371"/>
      <c r="C3895" s="371" t="s">
        <v>2755</v>
      </c>
      <c r="D3895" s="371"/>
      <c r="F3895" s="294"/>
      <c r="G3895" s="301"/>
      <c r="H3895" s="315"/>
      <c r="I3895" s="315"/>
      <c r="J3895" s="291"/>
      <c r="K3895" s="291"/>
      <c r="L3895" s="291"/>
      <c r="M3895" s="291"/>
      <c r="S3895" s="364"/>
      <c r="Z3895" s="609" t="s">
        <v>3975</v>
      </c>
      <c r="AA3895" s="609" t="s">
        <v>5682</v>
      </c>
    </row>
    <row r="3896" spans="1:27" ht="18">
      <c r="A3896" s="2714" t="s">
        <v>1589</v>
      </c>
      <c r="B3896" s="371">
        <v>7</v>
      </c>
      <c r="C3896" s="371"/>
      <c r="D3896" s="2716" t="str">
        <f>VLOOKUP($A3896,Sheet_NoteList,2,0)</f>
        <v>其他应付款补充资料</v>
      </c>
      <c r="E3896" s="2716" t="s">
        <v>6531</v>
      </c>
      <c r="F3896" s="294"/>
      <c r="G3896" s="597" t="str">
        <f>"("&amp;B3896&amp;")"&amp;D3896</f>
        <v>(7)其他应付款补充资料</v>
      </c>
      <c r="H3896" s="1517" t="str">
        <f>$A3896</f>
        <v>2241x</v>
      </c>
      <c r="I3896" s="343" t="s">
        <v>5965</v>
      </c>
      <c r="J3896" s="301" t="s">
        <v>5963</v>
      </c>
      <c r="K3896" s="2210">
        <f>H3913</f>
        <v>0</v>
      </c>
      <c r="L3896" s="345"/>
      <c r="M3896" s="301"/>
      <c r="N3896" s="3084"/>
      <c r="O3896" s="315"/>
      <c r="P3896" s="301"/>
      <c r="S3896" s="364"/>
      <c r="Z3896" s="609" t="s">
        <v>3975</v>
      </c>
      <c r="AA3896" s="609" t="s">
        <v>5682</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8">
      <c r="A3898" s="2714"/>
      <c r="B3898" s="371"/>
      <c r="C3898" s="371"/>
      <c r="D3898" s="371"/>
      <c r="E3898" s="2716" t="s">
        <v>2749</v>
      </c>
      <c r="F3898" s="294"/>
      <c r="G3898" s="2386" t="s">
        <v>1465</v>
      </c>
      <c r="H3898" s="2398" t="s">
        <v>2775</v>
      </c>
      <c r="I3898" s="2388" t="s">
        <v>2508</v>
      </c>
      <c r="J3898" s="355" t="s">
        <v>6141</v>
      </c>
      <c r="K3898" s="291"/>
      <c r="L3898" s="291"/>
      <c r="M3898" s="291"/>
      <c r="N3898" s="291"/>
      <c r="S3898" s="364"/>
      <c r="Z3898" s="609" t="s">
        <v>3975</v>
      </c>
      <c r="AA3898" s="609" t="s">
        <v>5682</v>
      </c>
    </row>
    <row r="3899" spans="1:27" ht="24">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5682</v>
      </c>
    </row>
    <row r="3900" spans="1:27" ht="18">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5682</v>
      </c>
    </row>
    <row r="3901" spans="1:27" ht="18">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5682</v>
      </c>
    </row>
    <row r="3902" spans="1:27" ht="18">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5682</v>
      </c>
    </row>
    <row r="3903" spans="1:27" ht="18">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5682</v>
      </c>
    </row>
    <row r="3904" spans="1:27" ht="18">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5682</v>
      </c>
    </row>
    <row r="3905" spans="1:27" ht="24">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5682</v>
      </c>
    </row>
    <row r="3906" spans="1:27" ht="18">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5682</v>
      </c>
    </row>
    <row r="3907" spans="1:27" ht="18">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5682</v>
      </c>
    </row>
    <row r="3908" spans="1:27" ht="18">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5682</v>
      </c>
    </row>
    <row r="3909" spans="1:27" ht="18">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5682</v>
      </c>
    </row>
    <row r="3910" spans="1:27" ht="18">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5682</v>
      </c>
    </row>
    <row r="3911" spans="1:27" ht="18">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5682</v>
      </c>
    </row>
    <row r="3912" spans="1:27" ht="18">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5682</v>
      </c>
    </row>
    <row r="3913" spans="1:27" ht="18.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5682</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5682</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18">
      <c r="A3918" s="2714"/>
      <c r="B3918" s="371"/>
      <c r="C3918" s="371"/>
      <c r="D3918" s="371"/>
      <c r="E3918" s="2716" t="s">
        <v>2749</v>
      </c>
      <c r="F3918" s="294"/>
      <c r="G3918" s="410" t="s">
        <v>47</v>
      </c>
      <c r="H3918" s="1454" t="str">
        <f>$V$2</f>
        <v>2019年12月31日</v>
      </c>
      <c r="I3918" s="1455" t="str">
        <f>$V$3</f>
        <v>2018年12月31日</v>
      </c>
      <c r="J3918" s="355" t="s">
        <v>5308</v>
      </c>
      <c r="K3918" s="291"/>
      <c r="L3918" s="291"/>
      <c r="M3918" s="291"/>
      <c r="S3918" s="364"/>
      <c r="Z3918" s="609" t="s">
        <v>3985</v>
      </c>
      <c r="AA3918" s="609" t="s">
        <v>5683</v>
      </c>
    </row>
    <row r="3919" spans="1:27" ht="18">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5683</v>
      </c>
    </row>
    <row r="3920" spans="1:27" ht="18">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5683</v>
      </c>
    </row>
    <row r="3921" spans="1:29" ht="18">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5683</v>
      </c>
    </row>
    <row r="3922" spans="1:29" ht="18">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5683</v>
      </c>
    </row>
    <row r="3923" spans="1:29" ht="18">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5683</v>
      </c>
    </row>
    <row r="3924" spans="1:29" ht="18.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8">
      <c r="A3925" s="2714"/>
      <c r="B3925" s="371"/>
      <c r="C3925" s="371" t="s">
        <v>2755</v>
      </c>
      <c r="D3925" s="371"/>
      <c r="F3925" s="294"/>
      <c r="G3925" s="301"/>
      <c r="H3925" s="315"/>
      <c r="I3925" s="315"/>
      <c r="J3925" s="291"/>
      <c r="K3925" s="291"/>
      <c r="L3925" s="291"/>
      <c r="M3925" s="291"/>
      <c r="S3925" s="364"/>
      <c r="Z3925" s="609" t="s">
        <v>3985</v>
      </c>
      <c r="AA3925" s="609" t="s">
        <v>5683</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5684</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5684</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5309</v>
      </c>
      <c r="K3929" s="1584" t="str">
        <f>""&amp;"&gt;本期:"&amp;""</f>
        <v>&gt;本期:</v>
      </c>
      <c r="L3929" s="1584" t="str">
        <f>""&amp;"&gt;上期:"&amp;""</f>
        <v>&gt;上期:</v>
      </c>
      <c r="M3929" s="2658" t="str">
        <f>""&amp;"NoteID"&amp;""</f>
        <v>NoteID</v>
      </c>
      <c r="S3929" s="364"/>
      <c r="Z3929" s="609" t="s">
        <v>3987</v>
      </c>
      <c r="AA3929" s="609" t="s">
        <v>5684</v>
      </c>
    </row>
    <row r="3930" spans="1:29" ht="18">
      <c r="A3930" s="2714"/>
      <c r="B3930" s="371">
        <v>101</v>
      </c>
      <c r="C3930" s="371"/>
      <c r="D3930" s="2716">
        <f t="shared" ref="D3930:D3935" si="435">IF(OR(G3930="*",G3930="",G3930=0),0,COUNTIF($G$3930:$G$3935,G3930))</f>
        <v>1</v>
      </c>
      <c r="E3930" s="2721">
        <v>1</v>
      </c>
      <c r="F3930" s="294"/>
      <c r="G3930" s="1474" t="s">
        <v>6357</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5684</v>
      </c>
      <c r="AC3930" s="369" t="s">
        <v>2794</v>
      </c>
    </row>
    <row r="3931" spans="1:29" ht="18">
      <c r="A3931" s="2714"/>
      <c r="B3931" s="371">
        <v>102</v>
      </c>
      <c r="C3931" s="371"/>
      <c r="D3931" s="2716">
        <f t="shared" si="435"/>
        <v>1</v>
      </c>
      <c r="E3931" s="2721">
        <v>1</v>
      </c>
      <c r="F3931" s="294"/>
      <c r="G3931" s="1474" t="s">
        <v>6358</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5684</v>
      </c>
      <c r="AC3931" s="369" t="s">
        <v>2794</v>
      </c>
    </row>
    <row r="3932" spans="1:29" ht="18">
      <c r="A3932" s="2714"/>
      <c r="B3932" s="371">
        <v>103</v>
      </c>
      <c r="C3932" s="371"/>
      <c r="D3932" s="2716">
        <f t="shared" si="435"/>
        <v>1</v>
      </c>
      <c r="E3932" s="2721">
        <v>1</v>
      </c>
      <c r="F3932" s="294"/>
      <c r="G3932" s="1474" t="s">
        <v>6359</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5684</v>
      </c>
      <c r="AC3932" s="369" t="s">
        <v>2794</v>
      </c>
    </row>
    <row r="3933" spans="1:29" ht="18">
      <c r="A3933" s="2714"/>
      <c r="B3933" s="371">
        <v>104</v>
      </c>
      <c r="C3933" s="371" t="s">
        <v>2791</v>
      </c>
      <c r="D3933" s="2716">
        <f t="shared" si="435"/>
        <v>0</v>
      </c>
      <c r="E3933" s="2721">
        <v>1</v>
      </c>
      <c r="F3933" s="294"/>
      <c r="G3933" s="2375" t="s">
        <v>2792</v>
      </c>
      <c r="H3933" s="2275"/>
      <c r="I3933" s="2296"/>
      <c r="J3933" s="291"/>
      <c r="K3933" s="456"/>
      <c r="L3933" s="456"/>
      <c r="M3933" s="2666"/>
      <c r="S3933" s="364"/>
      <c r="Z3933" s="609" t="s">
        <v>3987</v>
      </c>
      <c r="AA3933" s="609" t="s">
        <v>5684</v>
      </c>
    </row>
    <row r="3934" spans="1:29" ht="18">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5684</v>
      </c>
    </row>
    <row r="3935" spans="1:29" ht="18.75" thickBot="1">
      <c r="A3935" s="2714"/>
      <c r="B3935" s="371"/>
      <c r="C3935" s="371"/>
      <c r="D3935" s="2716">
        <f t="shared" si="435"/>
        <v>1</v>
      </c>
      <c r="E3935" s="2721" t="s">
        <v>2751</v>
      </c>
      <c r="F3935" s="294"/>
      <c r="G3935" s="374" t="s">
        <v>2752</v>
      </c>
      <c r="H3935" s="1478">
        <f>SUMPRODUCT($E3929:$E3934,H3929:H3934)</f>
        <v>0</v>
      </c>
      <c r="I3935" s="1479">
        <f>SUMPRODUCT($E3929:$E3934,I3929:I3934)</f>
        <v>0</v>
      </c>
      <c r="J3935" s="291"/>
      <c r="K3935" s="1531">
        <f t="shared" ref="K3935:L3935" ca="1" si="436">SUM(K3930:K3934)</f>
        <v>0</v>
      </c>
      <c r="L3935" s="1531">
        <f t="shared" ca="1" si="436"/>
        <v>0</v>
      </c>
      <c r="M3935" s="2667"/>
      <c r="S3935" s="364"/>
      <c r="Z3935" s="609" t="s">
        <v>3987</v>
      </c>
      <c r="AA3935" s="609" t="s">
        <v>5684</v>
      </c>
    </row>
    <row r="3936" spans="1:29" ht="18">
      <c r="A3936" s="2714"/>
      <c r="B3936" s="371"/>
      <c r="C3936" s="371" t="s">
        <v>2755</v>
      </c>
      <c r="D3936" s="371"/>
      <c r="F3936" s="294"/>
      <c r="G3936" s="301"/>
      <c r="H3936" s="315"/>
      <c r="I3936" s="315"/>
      <c r="J3936" s="291"/>
      <c r="K3936" s="1539" t="s">
        <v>5505</v>
      </c>
      <c r="L3936" s="354"/>
      <c r="M3936" s="354"/>
      <c r="S3936" s="364"/>
      <c r="Z3936" s="609" t="s">
        <v>3987</v>
      </c>
      <c r="AA3936" s="609" t="s">
        <v>5684</v>
      </c>
    </row>
    <row r="3937" spans="1:27" ht="18">
      <c r="A3937" s="2714" t="s">
        <v>1608</v>
      </c>
      <c r="B3937" s="371">
        <v>2</v>
      </c>
      <c r="C3937" s="371"/>
      <c r="D3937" s="2716" t="str">
        <f>VLOOKUP($A3937,Sheet_NoteList,2,0)</f>
        <v>一年内到期的长期借款</v>
      </c>
      <c r="E3937" s="2716" t="s">
        <v>6531</v>
      </c>
      <c r="F3937" s="294"/>
      <c r="G3937" s="307" t="str">
        <f>"("&amp;B3937&amp;")"&amp;D3937</f>
        <v>(2)一年内到期的长期借款</v>
      </c>
      <c r="H3937" s="1517" t="str">
        <f>$A3937</f>
        <v>2395b</v>
      </c>
      <c r="I3937" s="343" t="s">
        <v>5965</v>
      </c>
      <c r="J3937" s="301" t="s">
        <v>5963</v>
      </c>
      <c r="K3937" s="2210">
        <f>H3945</f>
        <v>0</v>
      </c>
      <c r="L3937" s="345" t="str">
        <f>IF($I3937="适用",IF(ROUND(K$3926-K3937,2)&gt;=0,"","#Logical!"),"#N/A")</f>
        <v/>
      </c>
      <c r="M3937" s="301" t="s">
        <v>5970</v>
      </c>
      <c r="N3937" s="2210">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8">
      <c r="A3939" s="2714"/>
      <c r="B3939" s="371"/>
      <c r="C3939" s="371"/>
      <c r="D3939" s="371"/>
      <c r="E3939" s="586" t="s">
        <v>2749</v>
      </c>
      <c r="F3939" s="363"/>
      <c r="G3939" s="2363" t="s">
        <v>47</v>
      </c>
      <c r="H3939" s="2364" t="s">
        <v>2775</v>
      </c>
      <c r="I3939" s="2365" t="s">
        <v>2776</v>
      </c>
      <c r="J3939" s="355" t="s">
        <v>6141</v>
      </c>
      <c r="K3939" s="291"/>
      <c r="L3939" s="291"/>
      <c r="M3939" s="291"/>
      <c r="S3939" s="364"/>
      <c r="Z3939" s="609" t="s">
        <v>3987</v>
      </c>
      <c r="AA3939" s="609" t="s">
        <v>5684</v>
      </c>
    </row>
    <row r="3940" spans="1:27" ht="18">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5684</v>
      </c>
    </row>
    <row r="3941" spans="1:27" ht="18">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5684</v>
      </c>
    </row>
    <row r="3942" spans="1:27" ht="18">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5684</v>
      </c>
    </row>
    <row r="3943" spans="1:27" ht="18">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5684</v>
      </c>
    </row>
    <row r="3944" spans="1:27" ht="18">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5684</v>
      </c>
    </row>
    <row r="3945" spans="1:27" ht="18.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5684</v>
      </c>
    </row>
    <row r="3946" spans="1:27" ht="18">
      <c r="A3946" s="2714"/>
      <c r="B3946" s="371"/>
      <c r="C3946" s="371" t="s">
        <v>2755</v>
      </c>
      <c r="D3946" s="371"/>
      <c r="F3946" s="294"/>
      <c r="G3946" s="557"/>
      <c r="H3946" s="315"/>
      <c r="I3946" s="315"/>
      <c r="J3946" s="291"/>
      <c r="K3946" s="291"/>
      <c r="L3946" s="291"/>
      <c r="M3946" s="291"/>
      <c r="S3946" s="364"/>
      <c r="Z3946" s="609" t="s">
        <v>3987</v>
      </c>
      <c r="AA3946" s="609" t="s">
        <v>5684</v>
      </c>
    </row>
    <row r="3947" spans="1:27" ht="18">
      <c r="A3947" s="2714" t="s">
        <v>1612</v>
      </c>
      <c r="B3947" s="371">
        <v>3</v>
      </c>
      <c r="C3947" s="371"/>
      <c r="D3947" s="2716" t="str">
        <f>VLOOKUP($A3947,Sheet_NoteList,2,0)</f>
        <v>一年内到期的应付债券</v>
      </c>
      <c r="E3947" s="2716" t="s">
        <v>6531</v>
      </c>
      <c r="F3947" s="294"/>
      <c r="G3947" s="307" t="str">
        <f>"("&amp;B3947&amp;")"&amp;D3947</f>
        <v>(3)一年内到期的应付债券</v>
      </c>
      <c r="H3947" s="1517" t="str">
        <f>$A3947</f>
        <v>2395e</v>
      </c>
      <c r="I3947" s="343" t="s">
        <v>5965</v>
      </c>
      <c r="J3947" s="301" t="s">
        <v>5963</v>
      </c>
      <c r="K3947" s="2210">
        <f>Q3955</f>
        <v>0</v>
      </c>
      <c r="L3947" s="345" t="str">
        <f>IF($I3947="适用",IF(ROUND(K$3926-K3947,2)&gt;=0,"","#Logical!"),"#N/A")</f>
        <v/>
      </c>
      <c r="M3947" s="301" t="s">
        <v>5964</v>
      </c>
      <c r="N3947" s="2210">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6141</v>
      </c>
      <c r="S3949" s="364"/>
      <c r="T3949" s="291"/>
      <c r="Z3949" s="609" t="s">
        <v>3987</v>
      </c>
      <c r="AA3949" s="609" t="s">
        <v>5684</v>
      </c>
    </row>
    <row r="3950" spans="1:27" ht="18">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5684</v>
      </c>
    </row>
    <row r="3951" spans="1:27" ht="18">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5684</v>
      </c>
    </row>
    <row r="3952" spans="1:27" ht="18">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5684</v>
      </c>
    </row>
    <row r="3953" spans="1:27" ht="18">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5684</v>
      </c>
    </row>
    <row r="3954" spans="1:27" ht="18">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5684</v>
      </c>
    </row>
    <row r="3955" spans="1:27" ht="18.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5684</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4">
      <c r="A3957" s="2714" t="s">
        <v>1617</v>
      </c>
      <c r="B3957" s="371">
        <v>4</v>
      </c>
      <c r="C3957" s="371"/>
      <c r="D3957" s="2716" t="str">
        <f>VLOOKUP($A3957,Sheet_NoteList,2,0)</f>
        <v>一年内到期的长期应付款项</v>
      </c>
      <c r="E3957" s="2716" t="s">
        <v>6531</v>
      </c>
      <c r="F3957" s="294"/>
      <c r="G3957" s="372" t="str">
        <f>"("&amp;B3957&amp;")"&amp;D3957</f>
        <v>(4)一年内到期的长期应付款项</v>
      </c>
      <c r="H3957" s="1517" t="str">
        <f>$A3957</f>
        <v>2395f</v>
      </c>
      <c r="I3957" s="343" t="s">
        <v>5966</v>
      </c>
      <c r="J3957" s="301" t="s">
        <v>5971</v>
      </c>
      <c r="K3957" s="2210">
        <f>H3965</f>
        <v>0</v>
      </c>
      <c r="L3957" s="345" t="str">
        <f>IF($I3957="适用",IF(ROUND(K$3926-K3957,2)&gt;=0,"","#Logical!"),"#N/A")</f>
        <v/>
      </c>
      <c r="M3957" s="301" t="s">
        <v>5967</v>
      </c>
      <c r="N3957" s="2210">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8">
      <c r="A3959" s="2714"/>
      <c r="B3959" s="371"/>
      <c r="C3959" s="371"/>
      <c r="D3959" s="371"/>
      <c r="E3959" s="586" t="s">
        <v>2749</v>
      </c>
      <c r="F3959" s="363"/>
      <c r="G3959" s="2363" t="s">
        <v>47</v>
      </c>
      <c r="H3959" s="2364" t="s">
        <v>2775</v>
      </c>
      <c r="I3959" s="2365" t="s">
        <v>2776</v>
      </c>
      <c r="J3959" s="355" t="s">
        <v>6141</v>
      </c>
      <c r="K3959" s="291"/>
      <c r="L3959" s="291"/>
      <c r="M3959" s="291"/>
      <c r="N3959" s="291"/>
      <c r="O3959" s="291"/>
      <c r="P3959" s="291"/>
      <c r="Q3959" s="367"/>
      <c r="R3959" s="367"/>
      <c r="S3959" s="364"/>
      <c r="Z3959" s="609" t="s">
        <v>3987</v>
      </c>
      <c r="AA3959" s="609" t="s">
        <v>5684</v>
      </c>
    </row>
    <row r="3960" spans="1:27" ht="18">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5684</v>
      </c>
    </row>
    <row r="3961" spans="1:27" ht="18">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5684</v>
      </c>
    </row>
    <row r="3962" spans="1:27" ht="18">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5684</v>
      </c>
    </row>
    <row r="3963" spans="1:27" ht="18">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5684</v>
      </c>
    </row>
    <row r="3964" spans="1:27" ht="18">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5684</v>
      </c>
    </row>
    <row r="3965" spans="1:27" ht="18.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5684</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5685</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t="str">
        <f>IF($I3968="适用",IF(ROUND(N3967-N3968,2)=0,"F/S",ROUND(N3967-N3968,2)),"#N/A")</f>
        <v>F/S</v>
      </c>
      <c r="P3968" s="301"/>
      <c r="Q3968" s="290" t="str">
        <f>IF($I3968="不适用","",IF(ROUND(SUM($H$3971:$I$3977),2)=0,"请输入",""))</f>
        <v>请输入</v>
      </c>
      <c r="S3968" s="364"/>
      <c r="Z3968" s="609" t="s">
        <v>4007</v>
      </c>
      <c r="AA3968" s="609" t="s">
        <v>5685</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18">
      <c r="A3970" s="2714"/>
      <c r="B3970" s="371"/>
      <c r="C3970" s="371"/>
      <c r="D3970" s="371"/>
      <c r="E3970" s="2716" t="s">
        <v>2749</v>
      </c>
      <c r="F3970" s="294"/>
      <c r="G3970" s="410" t="s">
        <v>47</v>
      </c>
      <c r="H3970" s="1454" t="str">
        <f>$V$2</f>
        <v>2019年12月31日</v>
      </c>
      <c r="I3970" s="1455" t="str">
        <f>$V$3</f>
        <v>2018年12月31日</v>
      </c>
      <c r="J3970" s="355" t="s">
        <v>5310</v>
      </c>
      <c r="K3970" s="291"/>
      <c r="L3970" s="291"/>
      <c r="M3970" s="291"/>
      <c r="S3970" s="364"/>
      <c r="Z3970" s="609" t="s">
        <v>4007</v>
      </c>
      <c r="AA3970" s="609" t="s">
        <v>5685</v>
      </c>
    </row>
    <row r="3971" spans="1:29" ht="18">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6573</v>
      </c>
    </row>
    <row r="3972" spans="1:29" ht="24">
      <c r="A3972" s="2714"/>
      <c r="B3972" s="371">
        <v>102</v>
      </c>
      <c r="C3972" s="371"/>
      <c r="D3972" s="2716">
        <f t="shared" si="441"/>
        <v>1</v>
      </c>
      <c r="E3972" s="2721">
        <v>1</v>
      </c>
      <c r="F3972" s="294"/>
      <c r="G3972" s="308" t="s">
        <v>5252</v>
      </c>
      <c r="H3972" s="309"/>
      <c r="I3972" s="346"/>
      <c r="J3972" s="357"/>
      <c r="K3972" s="291"/>
      <c r="L3972" s="291"/>
      <c r="M3972" s="291"/>
      <c r="S3972" s="364"/>
      <c r="Z3972" s="609" t="s">
        <v>4007</v>
      </c>
      <c r="AA3972" s="609" t="s">
        <v>5685</v>
      </c>
    </row>
    <row r="3973" spans="1:29" ht="18">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5685</v>
      </c>
    </row>
    <row r="3974" spans="1:29" ht="18">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5685</v>
      </c>
    </row>
    <row r="3975" spans="1:29" ht="18">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5685</v>
      </c>
    </row>
    <row r="3976" spans="1:29" ht="18">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5685</v>
      </c>
    </row>
    <row r="3977" spans="1:29" ht="18.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8">
      <c r="A3978" s="2714"/>
      <c r="B3978" s="371"/>
      <c r="C3978" s="371" t="s">
        <v>2755</v>
      </c>
      <c r="D3978" s="371"/>
      <c r="F3978" s="294"/>
      <c r="G3978" s="301"/>
      <c r="H3978" s="315"/>
      <c r="I3978" s="315"/>
      <c r="J3978" s="291"/>
      <c r="K3978" s="291"/>
      <c r="L3978" s="291"/>
      <c r="M3978" s="291"/>
      <c r="S3978" s="364"/>
      <c r="Z3978" s="609" t="s">
        <v>4007</v>
      </c>
      <c r="AA3978" s="609" t="s">
        <v>5685</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5685</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8">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8">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8">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8">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8">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8.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5685</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5685</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4"/>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18">
      <c r="A3999" s="2714"/>
      <c r="B3999" s="371"/>
      <c r="C3999" s="371"/>
      <c r="D3999" s="371"/>
      <c r="E3999" s="586" t="s">
        <v>2749</v>
      </c>
      <c r="F3999" s="363"/>
      <c r="G3999" s="2408" t="s">
        <v>1359</v>
      </c>
      <c r="H3999" s="2225" t="str">
        <f>$V$2</f>
        <v>2019年12月31日</v>
      </c>
      <c r="I3999" s="2225" t="str">
        <f>$V$3</f>
        <v>2018年12月31日</v>
      </c>
      <c r="J3999" s="2560" t="s">
        <v>6142</v>
      </c>
      <c r="K3999" s="355" t="s">
        <v>5311</v>
      </c>
      <c r="L3999" s="472"/>
      <c r="M3999" s="472"/>
      <c r="N3999" s="442"/>
      <c r="O3999" s="442"/>
      <c r="P3999" s="442"/>
      <c r="Q3999" s="442"/>
      <c r="R3999" s="443"/>
      <c r="S3999" s="364"/>
      <c r="Z3999" s="609" t="s">
        <v>4014</v>
      </c>
      <c r="AA3999" s="609" t="s">
        <v>5686</v>
      </c>
    </row>
    <row r="4000" spans="1:29" ht="18">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5686</v>
      </c>
      <c r="AC4000" s="369" t="s">
        <v>2794</v>
      </c>
    </row>
    <row r="4001" spans="1:29" ht="18">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5686</v>
      </c>
      <c r="AC4001" s="369" t="s">
        <v>2794</v>
      </c>
    </row>
    <row r="4002" spans="1:29" ht="18">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5686</v>
      </c>
      <c r="AC4002" s="369" t="s">
        <v>2794</v>
      </c>
    </row>
    <row r="4003" spans="1:29" ht="18">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5686</v>
      </c>
      <c r="AC4003" s="369" t="s">
        <v>2794</v>
      </c>
    </row>
    <row r="4004" spans="1:29" ht="18">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5686</v>
      </c>
    </row>
    <row r="4005" spans="1:29" ht="18">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5686</v>
      </c>
    </row>
    <row r="4006" spans="1:29" ht="18">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5686</v>
      </c>
    </row>
    <row r="4007" spans="1:29" ht="18">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6573</v>
      </c>
    </row>
    <row r="4008" spans="1:29" ht="18.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5686</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4">
      <c r="A4010" s="2714" t="s">
        <v>1642</v>
      </c>
      <c r="B4010" s="371">
        <v>1.1000000000000001</v>
      </c>
      <c r="C4010" s="371"/>
      <c r="D4010" s="2716" t="str">
        <f>VLOOKUP($A4010,Sheet_NoteList,2,0)</f>
        <v>长期借款中的质押借款明细列示</v>
      </c>
      <c r="E4010" s="2716" t="s">
        <v>6531</v>
      </c>
      <c r="F4010" s="294"/>
      <c r="G4010" s="483" t="str">
        <f>"("&amp;B4010&amp;")"&amp;D4010</f>
        <v>(1.1)长期借款中的质押借款明细列示</v>
      </c>
      <c r="H4010" s="1517" t="str">
        <f>$A4010</f>
        <v>2501d</v>
      </c>
      <c r="I4010" s="343" t="s">
        <v>5965</v>
      </c>
      <c r="J4010" s="301" t="s">
        <v>5963</v>
      </c>
      <c r="K4010" s="2210">
        <f>H4018</f>
        <v>0</v>
      </c>
      <c r="L4010" s="345"/>
      <c r="M4010" s="301"/>
      <c r="N4010" s="391"/>
      <c r="O4010" s="345"/>
      <c r="P4010" s="301"/>
      <c r="S4010" s="364"/>
      <c r="Z4010" s="609" t="s">
        <v>4014</v>
      </c>
      <c r="AA4010" s="609" t="s">
        <v>5686</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6141</v>
      </c>
      <c r="N4012" s="290"/>
      <c r="O4012" s="290"/>
      <c r="P4012" s="290"/>
      <c r="S4012" s="364"/>
      <c r="Z4012" s="609" t="s">
        <v>4014</v>
      </c>
      <c r="AA4012" s="609" t="s">
        <v>5686</v>
      </c>
    </row>
    <row r="4013" spans="1:29" ht="18">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5686</v>
      </c>
    </row>
    <row r="4014" spans="1:29" ht="18">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5686</v>
      </c>
    </row>
    <row r="4015" spans="1:29" ht="18">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5686</v>
      </c>
    </row>
    <row r="4016" spans="1:29" ht="18">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5686</v>
      </c>
    </row>
    <row r="4017" spans="1:27" ht="18">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5686</v>
      </c>
    </row>
    <row r="4018" spans="1:27" ht="18.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5686</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4">
      <c r="A4020" s="2714" t="s">
        <v>1647</v>
      </c>
      <c r="B4020" s="371">
        <v>1.2</v>
      </c>
      <c r="C4020" s="371"/>
      <c r="D4020" s="2716" t="str">
        <f>VLOOKUP($A4020,Sheet_NoteList,2,0)</f>
        <v>长期借款中的抵押借款明细列示</v>
      </c>
      <c r="E4020" s="2716" t="s">
        <v>6531</v>
      </c>
      <c r="F4020" s="294"/>
      <c r="G4020" s="483" t="str">
        <f>"("&amp;B4020&amp;")"&amp;D4020</f>
        <v>(1.2)长期借款中的抵押借款明细列示</v>
      </c>
      <c r="H4020" s="1517" t="str">
        <f>$A4020</f>
        <v>2501e</v>
      </c>
      <c r="I4020" s="343" t="s">
        <v>5966</v>
      </c>
      <c r="J4020" s="301" t="s">
        <v>5971</v>
      </c>
      <c r="K4020" s="2210">
        <f>H4028</f>
        <v>0</v>
      </c>
      <c r="L4020" s="345"/>
      <c r="M4020" s="301"/>
      <c r="N4020" s="391"/>
      <c r="O4020" s="345"/>
      <c r="P4020" s="301"/>
      <c r="S4020" s="364"/>
      <c r="Z4020" s="609" t="s">
        <v>4014</v>
      </c>
      <c r="AA4020" s="609" t="s">
        <v>5686</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6141</v>
      </c>
      <c r="N4022" s="290"/>
      <c r="O4022" s="290"/>
      <c r="P4022" s="290"/>
      <c r="S4022" s="364"/>
      <c r="Z4022" s="609" t="s">
        <v>4014</v>
      </c>
      <c r="AA4022" s="609" t="s">
        <v>5686</v>
      </c>
    </row>
    <row r="4023" spans="1:27" ht="18">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5686</v>
      </c>
    </row>
    <row r="4024" spans="1:27" ht="18">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5686</v>
      </c>
    </row>
    <row r="4025" spans="1:27" ht="18">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5686</v>
      </c>
    </row>
    <row r="4026" spans="1:27" ht="18">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5686</v>
      </c>
    </row>
    <row r="4027" spans="1:27" ht="18">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5686</v>
      </c>
    </row>
    <row r="4028" spans="1:27" ht="18.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5686</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4">
      <c r="A4030" s="2714" t="s">
        <v>1652</v>
      </c>
      <c r="B4030" s="371">
        <v>1.3</v>
      </c>
      <c r="C4030" s="371"/>
      <c r="D4030" s="2716" t="str">
        <f>VLOOKUP($A4030,Sheet_NoteList,2,0)</f>
        <v>长期借款中的保证借款明细列示</v>
      </c>
      <c r="E4030" s="2716" t="s">
        <v>6531</v>
      </c>
      <c r="F4030" s="294"/>
      <c r="G4030" s="483" t="str">
        <f>"("&amp;B4030&amp;")"&amp;D4030</f>
        <v>(1.3)长期借款中的保证借款明细列示</v>
      </c>
      <c r="H4030" s="1517" t="str">
        <f>$A4030</f>
        <v>2501f</v>
      </c>
      <c r="I4030" s="343" t="s">
        <v>5966</v>
      </c>
      <c r="J4030" s="301" t="s">
        <v>5971</v>
      </c>
      <c r="K4030" s="2210">
        <f>H4038</f>
        <v>0</v>
      </c>
      <c r="L4030" s="345"/>
      <c r="M4030" s="301"/>
      <c r="N4030" s="391"/>
      <c r="O4030" s="345"/>
      <c r="P4030" s="301"/>
      <c r="S4030" s="364"/>
      <c r="Z4030" s="609" t="s">
        <v>4014</v>
      </c>
      <c r="AA4030" s="609" t="s">
        <v>5686</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6141</v>
      </c>
      <c r="M4032" s="290"/>
      <c r="N4032" s="290"/>
      <c r="O4032" s="290"/>
      <c r="P4032" s="290"/>
      <c r="S4032" s="364"/>
      <c r="Z4032" s="609" t="s">
        <v>4014</v>
      </c>
      <c r="AA4032" s="609" t="s">
        <v>5686</v>
      </c>
    </row>
    <row r="4033" spans="1:27" ht="18">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5686</v>
      </c>
    </row>
    <row r="4034" spans="1:27" ht="18">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5686</v>
      </c>
    </row>
    <row r="4035" spans="1:27" ht="18">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5686</v>
      </c>
    </row>
    <row r="4036" spans="1:27" ht="18">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5686</v>
      </c>
    </row>
    <row r="4037" spans="1:27" ht="18">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5686</v>
      </c>
    </row>
    <row r="4038" spans="1:27" ht="18.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5686</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8">
      <c r="A4040" s="2714" t="s">
        <v>1657</v>
      </c>
      <c r="B4040" s="371">
        <v>2</v>
      </c>
      <c r="C4040" s="371"/>
      <c r="D4040" s="2716" t="str">
        <f>VLOOKUP($A4040,Sheet_NoteList,2,0)</f>
        <v>外币长期借款</v>
      </c>
      <c r="E4040" s="2716" t="s">
        <v>6531</v>
      </c>
      <c r="F4040" s="294"/>
      <c r="G4040" s="372" t="str">
        <f>"("&amp;B4040&amp;")"&amp;D4040</f>
        <v>(2)外币长期借款</v>
      </c>
      <c r="H4040" s="1517" t="str">
        <f>$A4040</f>
        <v>2501c</v>
      </c>
      <c r="I4040" s="343" t="s">
        <v>5582</v>
      </c>
      <c r="J4040" s="301" t="s">
        <v>5580</v>
      </c>
      <c r="K4040" s="2210">
        <f>J4048</f>
        <v>0</v>
      </c>
      <c r="L4040" s="345"/>
      <c r="M4040" s="301" t="s">
        <v>5581</v>
      </c>
      <c r="N4040" s="2210">
        <f>L4048</f>
        <v>0</v>
      </c>
      <c r="O4040" s="345"/>
      <c r="P4040" s="301"/>
      <c r="Q4040" s="290" t="str">
        <f>IF($I4040="不适用","",IF(ROUND(SUM($H$4043:$J$4048),2)=0,"请输入",""))</f>
        <v>请输入</v>
      </c>
      <c r="S4040" s="364"/>
      <c r="Z4040" s="609" t="s">
        <v>4014</v>
      </c>
      <c r="AA4040" s="609" t="s">
        <v>5686</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4">
      <c r="A4042" s="2714"/>
      <c r="B4042" s="371"/>
      <c r="C4042" s="371"/>
      <c r="D4042" s="371"/>
      <c r="E4042" s="2716" t="s">
        <v>2749</v>
      </c>
      <c r="F4042" s="294"/>
      <c r="G4042" s="1629" t="s">
        <v>1371</v>
      </c>
      <c r="H4042" s="1627" t="s">
        <v>3076</v>
      </c>
      <c r="I4042" s="1627" t="s">
        <v>3077</v>
      </c>
      <c r="J4042" s="1628" t="s">
        <v>3078</v>
      </c>
      <c r="K4042" s="355" t="s">
        <v>5604</v>
      </c>
      <c r="L4042" s="291"/>
      <c r="N4042" s="291"/>
      <c r="O4042" s="291"/>
      <c r="P4042" s="291"/>
      <c r="Q4042" s="367"/>
      <c r="R4042" s="367"/>
      <c r="S4042" s="364"/>
      <c r="Z4042" s="609" t="s">
        <v>4014</v>
      </c>
      <c r="AA4042" s="609" t="s">
        <v>5686</v>
      </c>
    </row>
    <row r="4043" spans="1:27" ht="18">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5364</v>
      </c>
      <c r="L4043" s="1522" t="s">
        <v>5365</v>
      </c>
      <c r="M4043" s="291"/>
      <c r="N4043" s="291"/>
      <c r="O4043" s="291"/>
      <c r="P4043" s="291"/>
      <c r="S4043" s="364"/>
      <c r="Z4043" s="609" t="s">
        <v>4014</v>
      </c>
      <c r="AA4043" s="609" t="s">
        <v>5686</v>
      </c>
    </row>
    <row r="4044" spans="1:27" ht="18">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5686</v>
      </c>
    </row>
    <row r="4045" spans="1:27" ht="18">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5686</v>
      </c>
    </row>
    <row r="4046" spans="1:27" ht="18">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5686</v>
      </c>
    </row>
    <row r="4047" spans="1:27" ht="18">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5686</v>
      </c>
    </row>
    <row r="4048" spans="1:27" ht="18.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5686</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18">
      <c r="A4053" s="2714"/>
      <c r="B4053" s="371"/>
      <c r="C4053" s="371"/>
      <c r="D4053" s="371"/>
      <c r="E4053" s="2716" t="s">
        <v>2749</v>
      </c>
      <c r="F4053" s="294"/>
      <c r="G4053" s="410" t="s">
        <v>47</v>
      </c>
      <c r="H4053" s="1454" t="str">
        <f>$V$2</f>
        <v>2019年12月31日</v>
      </c>
      <c r="I4053" s="1455" t="str">
        <f>$V$3</f>
        <v>2018年12月31日</v>
      </c>
      <c r="J4053" s="355" t="s">
        <v>5312</v>
      </c>
      <c r="K4053" s="291"/>
      <c r="L4053" s="291"/>
      <c r="M4053" s="291"/>
      <c r="N4053" s="291"/>
      <c r="O4053" s="291"/>
      <c r="P4053" s="291"/>
      <c r="Q4053" s="367"/>
      <c r="R4053" s="367"/>
      <c r="S4053" s="364"/>
      <c r="Z4053" s="609" t="s">
        <v>4025</v>
      </c>
      <c r="AA4053" s="609" t="s">
        <v>5687</v>
      </c>
    </row>
    <row r="4054" spans="1:29" ht="18">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8">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8">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8">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5687</v>
      </c>
    </row>
    <row r="4058" spans="1:29" ht="18">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6573</v>
      </c>
    </row>
    <row r="4059" spans="1:29" ht="18.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5687</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5312</v>
      </c>
      <c r="S4063" s="364"/>
      <c r="T4063" s="291"/>
      <c r="Z4063" s="609" t="s">
        <v>4025</v>
      </c>
      <c r="AA4063" s="609" t="s">
        <v>5687</v>
      </c>
    </row>
    <row r="4064" spans="1:29" ht="18">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8">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5687</v>
      </c>
    </row>
    <row r="4066" spans="1:27" ht="18">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5687</v>
      </c>
    </row>
    <row r="4067" spans="1:27" ht="18">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5687</v>
      </c>
    </row>
    <row r="4068" spans="1:27" ht="18">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5687</v>
      </c>
    </row>
    <row r="4069" spans="1:27" ht="18">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5687</v>
      </c>
    </row>
    <row r="4070" spans="1:27" ht="18">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5687</v>
      </c>
    </row>
    <row r="4071" spans="1:27" ht="18">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8.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5687</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5312</v>
      </c>
      <c r="R4076" s="364"/>
      <c r="S4076" s="288"/>
      <c r="Z4076" s="609" t="s">
        <v>4025</v>
      </c>
      <c r="AA4076" s="609" t="s">
        <v>5687</v>
      </c>
    </row>
    <row r="4077" spans="1:27" ht="18">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5687</v>
      </c>
    </row>
    <row r="4078" spans="1:27" ht="18">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5687</v>
      </c>
    </row>
    <row r="4079" spans="1:27" ht="18">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5687</v>
      </c>
    </row>
    <row r="4080" spans="1:27" ht="18">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5687</v>
      </c>
    </row>
    <row r="4081" spans="1:27" ht="18">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5687</v>
      </c>
    </row>
    <row r="4082" spans="1:27" ht="18.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5687</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5687</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4"/>
      <c r="B4087" s="371"/>
      <c r="C4087" s="371"/>
      <c r="D4087" s="371"/>
      <c r="E4087" s="2716" t="s">
        <v>2749</v>
      </c>
      <c r="F4087" s="294"/>
      <c r="G4087" s="3314" t="s">
        <v>1673</v>
      </c>
      <c r="H4087" s="3221" t="str">
        <f>$V$3</f>
        <v>2018年12月31日</v>
      </c>
      <c r="I4087" s="3223"/>
      <c r="J4087" s="3211" t="s">
        <v>3027</v>
      </c>
      <c r="K4087" s="3211"/>
      <c r="L4087" s="3211" t="s">
        <v>3028</v>
      </c>
      <c r="M4087" s="3211"/>
      <c r="N4087" s="3221" t="str">
        <f>$V$2</f>
        <v>2019年12月31日</v>
      </c>
      <c r="O4087" s="3222"/>
      <c r="P4087" s="355" t="s">
        <v>5312</v>
      </c>
      <c r="S4087" s="364"/>
      <c r="Z4087" s="609" t="s">
        <v>4025</v>
      </c>
      <c r="AA4087" s="609" t="s">
        <v>5687</v>
      </c>
    </row>
    <row r="4088" spans="1:27" ht="18">
      <c r="A4088" s="2714"/>
      <c r="B4088" s="371"/>
      <c r="C4088" s="371"/>
      <c r="D4088" s="371"/>
      <c r="E4088" s="2716" t="s">
        <v>2749</v>
      </c>
      <c r="F4088" s="294"/>
      <c r="G4088" s="3315"/>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8">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5687</v>
      </c>
    </row>
    <row r="4090" spans="1:27" ht="18">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5687</v>
      </c>
    </row>
    <row r="4091" spans="1:27" ht="18">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8">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8">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5687</v>
      </c>
    </row>
    <row r="4094" spans="1:27" ht="18.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5687</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8">
      <c r="A4096" s="2714" t="s">
        <v>5589</v>
      </c>
      <c r="B4096" s="371">
        <v>5</v>
      </c>
      <c r="C4096" s="371"/>
      <c r="D4096" s="2716" t="str">
        <f>VLOOKUP($A4096,Sheet_NoteList,2,0)</f>
        <v>外币应付债券</v>
      </c>
      <c r="E4096" s="2716" t="s">
        <v>6531</v>
      </c>
      <c r="F4096" s="293"/>
      <c r="G4096" s="372" t="str">
        <f>"("&amp;B4096&amp;")"&amp;D4096</f>
        <v>(5)外币应付债券</v>
      </c>
      <c r="H4096" s="1517" t="str">
        <f>$A4096</f>
        <v>2502e</v>
      </c>
      <c r="I4096" s="343" t="s">
        <v>5596</v>
      </c>
      <c r="J4096" s="301" t="s">
        <v>5597</v>
      </c>
      <c r="K4096" s="2210">
        <f>H4104</f>
        <v>0</v>
      </c>
      <c r="L4096" s="349" t="str">
        <f>IF($I4096="适用",IF(ROUND(K$4050-K4096,2)=0,"F/S",ROUND(K$4050-K4096,2)),"#N/A")</f>
        <v>F/S</v>
      </c>
      <c r="M4096" s="301" t="s">
        <v>5598</v>
      </c>
      <c r="N4096" s="2210">
        <f>I4104</f>
        <v>0</v>
      </c>
      <c r="O4096" s="349" t="str">
        <f>IF($I4096="适用",IF(ROUND(N$4050-N4096,2)=0,"F/S",ROUND(N$4050-N4096,2)),"#N/A")</f>
        <v>F/S</v>
      </c>
      <c r="P4096" s="301"/>
      <c r="S4096" s="364"/>
      <c r="Z4096" s="609" t="s">
        <v>4025</v>
      </c>
      <c r="AA4096" s="609" t="s">
        <v>5687</v>
      </c>
    </row>
    <row r="4097" spans="1:29" ht="0.75" customHeight="1" thickBot="1">
      <c r="A4097" s="2714"/>
      <c r="B4097" s="371"/>
      <c r="C4097" s="371"/>
      <c r="D4097" s="2716"/>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4">
      <c r="A4098" s="2714"/>
      <c r="B4098" s="371"/>
      <c r="C4098" s="371"/>
      <c r="D4098" s="2716"/>
      <c r="E4098" s="2716" t="s">
        <v>2749</v>
      </c>
      <c r="F4098" s="293"/>
      <c r="G4098" s="1635" t="s">
        <v>47</v>
      </c>
      <c r="H4098" s="1631" t="s">
        <v>3076</v>
      </c>
      <c r="I4098" s="1631" t="s">
        <v>3077</v>
      </c>
      <c r="J4098" s="1632" t="s">
        <v>3078</v>
      </c>
      <c r="K4098" s="355" t="s">
        <v>5604</v>
      </c>
      <c r="L4098" s="349"/>
      <c r="M4098" s="301"/>
      <c r="N4098" s="391"/>
      <c r="O4098" s="349"/>
      <c r="P4098" s="301"/>
      <c r="S4098" s="364"/>
      <c r="Z4098" s="609" t="s">
        <v>4025</v>
      </c>
      <c r="AA4098" s="609" t="s">
        <v>5687</v>
      </c>
    </row>
    <row r="4099" spans="1:29" ht="18">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5364</v>
      </c>
      <c r="L4099" s="1522" t="s">
        <v>5365</v>
      </c>
      <c r="M4099" s="301"/>
      <c r="N4099" s="391"/>
      <c r="O4099" s="349"/>
      <c r="P4099" s="301"/>
      <c r="S4099" s="364"/>
      <c r="Z4099" s="609" t="s">
        <v>4025</v>
      </c>
      <c r="AA4099" s="609" t="s">
        <v>5687</v>
      </c>
    </row>
    <row r="4100" spans="1:29" ht="18">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5687</v>
      </c>
    </row>
    <row r="4101" spans="1:29" ht="18">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5687</v>
      </c>
    </row>
    <row r="4102" spans="1:29" ht="18">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5687</v>
      </c>
    </row>
    <row r="4103" spans="1:29" ht="18">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5687</v>
      </c>
    </row>
    <row r="4104" spans="1:29" ht="18.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5687</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5687</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5313</v>
      </c>
      <c r="K4109" s="391"/>
      <c r="L4109" s="391"/>
      <c r="M4109" s="391"/>
      <c r="N4109" s="391"/>
      <c r="O4109" s="349"/>
      <c r="P4109" s="301"/>
      <c r="S4109" s="364"/>
      <c r="Z4109" s="609" t="s">
        <v>4062</v>
      </c>
      <c r="AA4109" s="609" t="s">
        <v>19</v>
      </c>
    </row>
    <row r="4110" spans="1:29" ht="18">
      <c r="A4110" s="2714"/>
      <c r="B4110" s="371">
        <v>101</v>
      </c>
      <c r="C4110" s="371"/>
      <c r="D4110" s="2716">
        <f t="shared" ref="D4110:D4115" si="459">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6573</v>
      </c>
    </row>
    <row r="4111" spans="1:29" ht="18">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59"/>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59"/>
        <v>1</v>
      </c>
      <c r="E4114" s="2721">
        <v>-1</v>
      </c>
      <c r="F4114" s="371"/>
      <c r="G4114" s="2568" t="s">
        <v>6143</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6573</v>
      </c>
    </row>
    <row r="4115" spans="1:29" ht="18.75" thickBot="1">
      <c r="A4115" s="2714"/>
      <c r="B4115" s="371"/>
      <c r="C4115" s="371"/>
      <c r="D4115" s="2716">
        <f t="shared" si="459"/>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5689</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5689</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18">
      <c r="A4120" s="2714"/>
      <c r="B4120" s="371"/>
      <c r="C4120" s="371"/>
      <c r="D4120" s="371"/>
      <c r="E4120" s="586" t="s">
        <v>2749</v>
      </c>
      <c r="F4120" s="363"/>
      <c r="G4120" s="2408" t="s">
        <v>47</v>
      </c>
      <c r="H4120" s="2225" t="str">
        <f>$V$2</f>
        <v>2019年12月31日</v>
      </c>
      <c r="I4120" s="2226" t="str">
        <f>$V$3</f>
        <v>2018年12月31日</v>
      </c>
      <c r="J4120" s="355" t="s">
        <v>5313</v>
      </c>
      <c r="N4120" s="291"/>
      <c r="O4120" s="291"/>
      <c r="P4120" s="291"/>
      <c r="Q4120" s="367"/>
      <c r="R4120" s="367"/>
      <c r="S4120" s="364"/>
      <c r="Z4120" s="609" t="s">
        <v>4064</v>
      </c>
      <c r="AA4120" s="609" t="s">
        <v>5689</v>
      </c>
    </row>
    <row r="4121" spans="1:29" ht="18">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5689</v>
      </c>
    </row>
    <row r="4122" spans="1:29" ht="18">
      <c r="A4122" s="2714"/>
      <c r="B4122" s="371">
        <v>101.001</v>
      </c>
      <c r="C4122" s="371" t="s">
        <v>2791</v>
      </c>
      <c r="D4122" s="2716">
        <f t="shared" si="460"/>
        <v>0</v>
      </c>
      <c r="E4122" s="2721" t="s">
        <v>4017</v>
      </c>
      <c r="F4122" s="294"/>
      <c r="G4122" s="2406" t="s">
        <v>2792</v>
      </c>
      <c r="H4122" s="2275"/>
      <c r="I4122" s="2296"/>
      <c r="N4122" s="291"/>
      <c r="O4122" s="291"/>
      <c r="P4122" s="291"/>
      <c r="Q4122" s="367"/>
      <c r="R4122" s="367"/>
      <c r="S4122" s="364"/>
      <c r="Z4122" s="609" t="s">
        <v>4064</v>
      </c>
      <c r="AA4122" s="609" t="s">
        <v>5689</v>
      </c>
    </row>
    <row r="4123" spans="1:29" ht="18">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5689</v>
      </c>
    </row>
    <row r="4124" spans="1:29" ht="18">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5689</v>
      </c>
    </row>
    <row r="4125" spans="1:29" ht="18">
      <c r="A4125" s="2714"/>
      <c r="B4125" s="371">
        <v>102</v>
      </c>
      <c r="C4125" s="371" t="s">
        <v>2793</v>
      </c>
      <c r="D4125" s="2716">
        <f t="shared" si="460"/>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6573</v>
      </c>
    </row>
    <row r="4126" spans="1:29" ht="18">
      <c r="A4126" s="2714"/>
      <c r="B4126" s="371">
        <v>103</v>
      </c>
      <c r="C4126" s="371" t="s">
        <v>2791</v>
      </c>
      <c r="D4126" s="2716">
        <f t="shared" si="460"/>
        <v>1</v>
      </c>
      <c r="E4126" s="2721">
        <v>-1</v>
      </c>
      <c r="F4126" s="294"/>
      <c r="G4126" s="2568" t="s">
        <v>4066</v>
      </c>
      <c r="H4126" s="2275"/>
      <c r="I4126" s="2296"/>
      <c r="N4126" s="291"/>
      <c r="O4126" s="291"/>
      <c r="P4126" s="291"/>
      <c r="Q4126" s="367"/>
      <c r="R4126" s="367"/>
      <c r="S4126" s="364"/>
      <c r="Z4126" s="609" t="s">
        <v>4064</v>
      </c>
      <c r="AA4126" s="609" t="s">
        <v>5689</v>
      </c>
    </row>
    <row r="4127" spans="1:29" ht="18.75" thickBot="1">
      <c r="A4127" s="2714"/>
      <c r="B4127" s="371"/>
      <c r="C4127" s="371"/>
      <c r="D4127" s="2716">
        <f t="shared" si="460"/>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5689</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8.75" thickTop="1">
      <c r="A4129" s="2714"/>
      <c r="B4129" s="371"/>
      <c r="C4129" s="371" t="s">
        <v>2565</v>
      </c>
      <c r="D4129" s="371"/>
      <c r="F4129" s="294"/>
      <c r="G4129" s="1561" t="s">
        <v>5367</v>
      </c>
      <c r="H4129" s="1550" t="str">
        <f>G4107</f>
        <v>(1)长期应付款分类列示</v>
      </c>
      <c r="I4129" s="1552"/>
      <c r="J4129" s="1553" t="s">
        <v>5368</v>
      </c>
      <c r="K4129" s="349"/>
      <c r="L4129" s="315"/>
      <c r="M4129" s="393"/>
      <c r="N4129" s="291"/>
      <c r="O4129" s="291"/>
      <c r="P4129" s="291"/>
      <c r="Q4129" s="367"/>
      <c r="R4129" s="367"/>
      <c r="S4129" s="364"/>
      <c r="Z4129" s="609" t="s">
        <v>4064</v>
      </c>
      <c r="AA4129" s="609" t="s">
        <v>5689</v>
      </c>
    </row>
    <row r="4130" spans="1:27" ht="18">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5689</v>
      </c>
    </row>
    <row r="4131" spans="1:27" ht="18">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5689</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5689</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5689</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8">
      <c r="A4136" s="2714" t="s">
        <v>1692</v>
      </c>
      <c r="B4136" s="371">
        <v>2</v>
      </c>
      <c r="C4136" s="371"/>
      <c r="D4136" s="2716" t="str">
        <f>VLOOKUP($A4136,Sheet_NoteList,2,0)</f>
        <v>外币长期应付款</v>
      </c>
      <c r="E4136" s="2716" t="s">
        <v>6533</v>
      </c>
      <c r="F4136" s="294"/>
      <c r="G4136" s="307" t="str">
        <f>"("&amp;B4136&amp;")"&amp;D4136</f>
        <v>(2)外币长期应付款</v>
      </c>
      <c r="H4136" s="1517" t="str">
        <f>$A4136</f>
        <v>2701d</v>
      </c>
      <c r="I4136" s="343" t="s">
        <v>5584</v>
      </c>
      <c r="J4136" s="301" t="s">
        <v>5583</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4">
      <c r="A4138" s="2714"/>
      <c r="B4138" s="371"/>
      <c r="C4138" s="371"/>
      <c r="D4138" s="371"/>
      <c r="E4138" s="2716" t="s">
        <v>2749</v>
      </c>
      <c r="F4138" s="294"/>
      <c r="G4138" s="1629" t="s">
        <v>1371</v>
      </c>
      <c r="H4138" s="1627" t="s">
        <v>3076</v>
      </c>
      <c r="I4138" s="1627" t="s">
        <v>3077</v>
      </c>
      <c r="J4138" s="1628" t="s">
        <v>3078</v>
      </c>
      <c r="K4138" s="355" t="s">
        <v>5604</v>
      </c>
      <c r="L4138" s="291"/>
      <c r="M4138" s="291"/>
      <c r="N4138" s="291"/>
      <c r="O4138" s="291"/>
      <c r="P4138" s="291"/>
      <c r="Q4138" s="367"/>
      <c r="R4138" s="367"/>
      <c r="S4138" s="364"/>
      <c r="Z4138" s="609" t="s">
        <v>4064</v>
      </c>
      <c r="AA4138" s="609" t="s">
        <v>5689</v>
      </c>
    </row>
    <row r="4139" spans="1:27" ht="18">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5364</v>
      </c>
      <c r="L4139" s="1522" t="s">
        <v>5365</v>
      </c>
      <c r="M4139" s="291"/>
      <c r="N4139" s="291"/>
      <c r="O4139" s="291"/>
      <c r="P4139" s="291"/>
      <c r="Q4139" s="367"/>
      <c r="R4139" s="367"/>
      <c r="S4139" s="364"/>
      <c r="Z4139" s="609" t="s">
        <v>4064</v>
      </c>
      <c r="AA4139" s="609" t="s">
        <v>5689</v>
      </c>
    </row>
    <row r="4140" spans="1:27" ht="18">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5689</v>
      </c>
    </row>
    <row r="4141" spans="1:27" ht="18">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5689</v>
      </c>
    </row>
    <row r="4142" spans="1:27" ht="18">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5689</v>
      </c>
    </row>
    <row r="4143" spans="1:27" ht="18">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5689</v>
      </c>
    </row>
    <row r="4144" spans="1:27" ht="18.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5689</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5313</v>
      </c>
      <c r="N4149" s="291"/>
      <c r="O4149" s="291"/>
      <c r="P4149" s="291"/>
      <c r="S4149" s="364"/>
      <c r="Z4149" s="609" t="s">
        <v>4068</v>
      </c>
      <c r="AA4149" s="609" t="s">
        <v>5690</v>
      </c>
    </row>
    <row r="4150" spans="1:27" ht="18">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5690</v>
      </c>
    </row>
    <row r="4151" spans="1:27" ht="18">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5690</v>
      </c>
    </row>
    <row r="4152" spans="1:27" ht="18">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5690</v>
      </c>
    </row>
    <row r="4153" spans="1:27" ht="18">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5690</v>
      </c>
    </row>
    <row r="4154" spans="1:27" ht="18">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5690</v>
      </c>
    </row>
    <row r="4155" spans="1:27" ht="18.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5690</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8">
      <c r="A4157" s="2714" t="s">
        <v>1702</v>
      </c>
      <c r="B4157" s="371">
        <v>2</v>
      </c>
      <c r="C4157" s="371"/>
      <c r="D4157" s="2716" t="str">
        <f>VLOOKUP($A4157,Sheet_NoteList,2,0)</f>
        <v>外币专项应付款</v>
      </c>
      <c r="E4157" s="2716" t="s">
        <v>6531</v>
      </c>
      <c r="F4157" s="294"/>
      <c r="G4157" s="307" t="str">
        <f>"("&amp;B4157&amp;")"&amp;D4157</f>
        <v>(2)外币专项应付款</v>
      </c>
      <c r="H4157" s="1517" t="str">
        <f>$A4157</f>
        <v>2711b</v>
      </c>
      <c r="I4157" s="343" t="s">
        <v>5584</v>
      </c>
      <c r="J4157" s="301" t="s">
        <v>5583</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4">
      <c r="A4159" s="2714"/>
      <c r="B4159" s="371"/>
      <c r="C4159" s="371"/>
      <c r="D4159" s="371"/>
      <c r="E4159" s="2716" t="s">
        <v>2749</v>
      </c>
      <c r="F4159" s="294"/>
      <c r="G4159" s="1629" t="s">
        <v>1371</v>
      </c>
      <c r="H4159" s="1627" t="s">
        <v>3076</v>
      </c>
      <c r="I4159" s="1627" t="s">
        <v>3077</v>
      </c>
      <c r="J4159" s="1628" t="s">
        <v>3078</v>
      </c>
      <c r="K4159" s="355" t="s">
        <v>5604</v>
      </c>
      <c r="L4159" s="291"/>
      <c r="M4159" s="291"/>
      <c r="N4159" s="291"/>
      <c r="O4159" s="291"/>
      <c r="P4159" s="291"/>
      <c r="Q4159" s="367"/>
      <c r="R4159" s="367"/>
      <c r="S4159" s="364"/>
      <c r="Z4159" s="609" t="s">
        <v>4068</v>
      </c>
      <c r="AA4159" s="609" t="s">
        <v>5690</v>
      </c>
    </row>
    <row r="4160" spans="1:27" ht="18">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5364</v>
      </c>
      <c r="L4160" s="1522" t="s">
        <v>5365</v>
      </c>
      <c r="M4160" s="291"/>
      <c r="N4160" s="291"/>
      <c r="O4160" s="291"/>
      <c r="P4160" s="291"/>
      <c r="Q4160" s="367"/>
      <c r="R4160" s="367"/>
      <c r="S4160" s="364"/>
      <c r="Z4160" s="609" t="s">
        <v>4068</v>
      </c>
      <c r="AA4160" s="609" t="s">
        <v>5690</v>
      </c>
    </row>
    <row r="4161" spans="1:27" ht="18">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5690</v>
      </c>
    </row>
    <row r="4162" spans="1:27" ht="18">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5690</v>
      </c>
    </row>
    <row r="4163" spans="1:27" ht="18">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5690</v>
      </c>
    </row>
    <row r="4164" spans="1:27" ht="18">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5690</v>
      </c>
    </row>
    <row r="4165" spans="1:27" ht="18.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5690</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18">
      <c r="A4170" s="2714"/>
      <c r="B4170" s="371"/>
      <c r="C4170" s="371"/>
      <c r="D4170" s="371"/>
      <c r="E4170" s="586" t="s">
        <v>2749</v>
      </c>
      <c r="F4170" s="363"/>
      <c r="G4170" s="2411" t="s">
        <v>47</v>
      </c>
      <c r="H4170" s="2225" t="str">
        <f>$V$2</f>
        <v>2019年12月31日</v>
      </c>
      <c r="I4170" s="2226" t="str">
        <f>$V$3</f>
        <v>2018年12月31日</v>
      </c>
      <c r="J4170" s="355" t="s">
        <v>5314</v>
      </c>
      <c r="N4170" s="291"/>
      <c r="O4170" s="291"/>
      <c r="P4170" s="291"/>
      <c r="Q4170" s="367"/>
      <c r="R4170" s="367"/>
      <c r="S4170" s="364"/>
      <c r="Z4170" s="609" t="s">
        <v>4073</v>
      </c>
      <c r="AA4170" s="609" t="s">
        <v>5691</v>
      </c>
    </row>
    <row r="4171" spans="1:27" ht="24">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5691</v>
      </c>
    </row>
    <row r="4172" spans="1:27" ht="18">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5691</v>
      </c>
    </row>
    <row r="4173" spans="1:27" ht="18">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5691</v>
      </c>
    </row>
    <row r="4174" spans="1:27" ht="18">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5691</v>
      </c>
    </row>
    <row r="4175" spans="1:27" ht="18">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5691</v>
      </c>
    </row>
    <row r="4176" spans="1:27" ht="18.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5691</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8">
      <c r="A4180" s="2714"/>
      <c r="B4180" s="371"/>
      <c r="C4180" s="371"/>
      <c r="D4180" s="371"/>
      <c r="E4180" s="586" t="s">
        <v>2749</v>
      </c>
      <c r="F4180" s="363"/>
      <c r="G4180" s="2410" t="s">
        <v>47</v>
      </c>
      <c r="H4180" s="2232" t="str">
        <f>$V$4</f>
        <v>2019年度</v>
      </c>
      <c r="I4180" s="2233" t="str">
        <f>$V$5</f>
        <v>2018年度</v>
      </c>
      <c r="J4180" s="355" t="s">
        <v>5314</v>
      </c>
      <c r="K4180" s="291"/>
      <c r="L4180" s="291"/>
      <c r="M4180" s="291"/>
      <c r="S4180" s="364"/>
      <c r="Z4180" s="609" t="s">
        <v>4073</v>
      </c>
      <c r="AA4180" s="609" t="s">
        <v>5691</v>
      </c>
    </row>
    <row r="4181" spans="1:27" ht="18">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5691</v>
      </c>
    </row>
    <row r="4182" spans="1:27" ht="24">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5691</v>
      </c>
    </row>
    <row r="4183" spans="1:27" ht="18">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5691</v>
      </c>
    </row>
    <row r="4184" spans="1:27" ht="18">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5691</v>
      </c>
    </row>
    <row r="4185" spans="1:27" ht="24">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5691</v>
      </c>
    </row>
    <row r="4186" spans="1:27" ht="18">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5691</v>
      </c>
    </row>
    <row r="4187" spans="1:27" ht="18">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5691</v>
      </c>
    </row>
    <row r="4188" spans="1:27" ht="24">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5691</v>
      </c>
    </row>
    <row r="4189" spans="1:27" ht="24">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5691</v>
      </c>
    </row>
    <row r="4190" spans="1:27" ht="18">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5691</v>
      </c>
    </row>
    <row r="4191" spans="1:27" ht="18">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5691</v>
      </c>
    </row>
    <row r="4192" spans="1:27" ht="18">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5691</v>
      </c>
    </row>
    <row r="4193" spans="1:27" ht="18">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5691</v>
      </c>
    </row>
    <row r="4194" spans="1:27" ht="18">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5691</v>
      </c>
    </row>
    <row r="4195" spans="1:27" ht="18">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5691</v>
      </c>
    </row>
    <row r="4196" spans="1:27" ht="18.75" thickBot="1">
      <c r="A4196" s="2714"/>
      <c r="B4196" s="371"/>
      <c r="C4196" s="371"/>
      <c r="D4196" s="2716">
        <f t="shared" si="465"/>
        <v>1</v>
      </c>
      <c r="E4196" s="2721" t="s">
        <v>2751</v>
      </c>
      <c r="F4196" s="294"/>
      <c r="G4196" s="2234" t="s">
        <v>3478</v>
      </c>
      <c r="H4196" s="2430"/>
      <c r="I4196" s="2431"/>
      <c r="J4196" s="355" t="s">
        <v>6074</v>
      </c>
      <c r="K4196" s="291"/>
      <c r="L4196" s="291"/>
      <c r="M4196" s="291"/>
      <c r="S4196" s="364"/>
      <c r="Z4196" s="609" t="s">
        <v>4073</v>
      </c>
      <c r="AA4196" s="609" t="s">
        <v>5691</v>
      </c>
    </row>
    <row r="4197" spans="1:27" ht="18">
      <c r="A4197" s="2714"/>
      <c r="B4197" s="371"/>
      <c r="C4197" s="371" t="s">
        <v>2755</v>
      </c>
      <c r="D4197" s="371"/>
      <c r="F4197" s="294"/>
      <c r="G4197" s="557"/>
      <c r="H4197" s="315"/>
      <c r="I4197" s="315"/>
      <c r="J4197" s="291"/>
      <c r="K4197" s="291"/>
      <c r="L4197" s="291"/>
      <c r="M4197" s="291"/>
      <c r="S4197" s="364"/>
      <c r="Z4197" s="609" t="s">
        <v>4073</v>
      </c>
      <c r="AA4197" s="609" t="s">
        <v>5691</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8">
      <c r="A4200" s="2714"/>
      <c r="B4200" s="371"/>
      <c r="C4200" s="371"/>
      <c r="D4200" s="371"/>
      <c r="E4200" s="586" t="s">
        <v>2749</v>
      </c>
      <c r="F4200" s="363"/>
      <c r="G4200" s="2410" t="s">
        <v>47</v>
      </c>
      <c r="H4200" s="2432" t="str">
        <f>$V$4</f>
        <v>2019年度</v>
      </c>
      <c r="I4200" s="2433" t="str">
        <f>$V$5</f>
        <v>2018年度</v>
      </c>
      <c r="J4200" s="355" t="s">
        <v>5314</v>
      </c>
      <c r="K4200" s="291"/>
      <c r="L4200" s="291"/>
      <c r="M4200" s="291"/>
      <c r="S4200" s="364"/>
      <c r="Z4200" s="609" t="s">
        <v>4073</v>
      </c>
      <c r="AA4200" s="609" t="s">
        <v>5691</v>
      </c>
    </row>
    <row r="4201" spans="1:27" ht="18">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5691</v>
      </c>
    </row>
    <row r="4202" spans="1:27" ht="24">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5691</v>
      </c>
    </row>
    <row r="4203" spans="1:27" ht="18">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5691</v>
      </c>
    </row>
    <row r="4204" spans="1:27" ht="18">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5691</v>
      </c>
    </row>
    <row r="4205" spans="1:27" ht="24">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5691</v>
      </c>
    </row>
    <row r="4206" spans="1:27" ht="24">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5691</v>
      </c>
    </row>
    <row r="4207" spans="1:27" ht="24">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5691</v>
      </c>
    </row>
    <row r="4208" spans="1:27" ht="18">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5691</v>
      </c>
    </row>
    <row r="4209" spans="1:27" ht="18">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5691</v>
      </c>
    </row>
    <row r="4210" spans="1:27" ht="18">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5691</v>
      </c>
    </row>
    <row r="4211" spans="1:27" ht="18.75" thickBot="1">
      <c r="A4211" s="2714"/>
      <c r="B4211" s="371"/>
      <c r="C4211" s="371"/>
      <c r="D4211" s="2716">
        <f t="shared" si="466"/>
        <v>1</v>
      </c>
      <c r="E4211" s="2721" t="s">
        <v>2751</v>
      </c>
      <c r="F4211" s="294"/>
      <c r="G4211" s="2234" t="s">
        <v>3478</v>
      </c>
      <c r="H4211" s="2308"/>
      <c r="I4211" s="2309"/>
      <c r="J4211" s="355" t="s">
        <v>6074</v>
      </c>
      <c r="K4211" s="291"/>
      <c r="L4211" s="291"/>
      <c r="M4211" s="291"/>
      <c r="S4211" s="364"/>
      <c r="Z4211" s="609" t="s">
        <v>4073</v>
      </c>
      <c r="AA4211" s="609" t="s">
        <v>5691</v>
      </c>
    </row>
    <row r="4212" spans="1:27" ht="18">
      <c r="A4212" s="2714"/>
      <c r="B4212" s="371"/>
      <c r="C4212" s="371" t="s">
        <v>2755</v>
      </c>
      <c r="D4212" s="371"/>
      <c r="F4212" s="294"/>
      <c r="G4212" s="557"/>
      <c r="H4212" s="315"/>
      <c r="I4212" s="315"/>
      <c r="J4212" s="291"/>
      <c r="K4212" s="291"/>
      <c r="L4212" s="291"/>
      <c r="M4212" s="291"/>
      <c r="S4212" s="364"/>
      <c r="Z4212" s="609" t="s">
        <v>4073</v>
      </c>
      <c r="AA4212" s="609" t="s">
        <v>5691</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8">
      <c r="A4215" s="2714"/>
      <c r="B4215" s="371"/>
      <c r="C4215" s="371"/>
      <c r="D4215" s="371"/>
      <c r="E4215" s="586" t="s">
        <v>2749</v>
      </c>
      <c r="F4215" s="363"/>
      <c r="G4215" s="2410" t="s">
        <v>47</v>
      </c>
      <c r="H4215" s="2432" t="str">
        <f>$V$4</f>
        <v>2019年度</v>
      </c>
      <c r="I4215" s="2433" t="str">
        <f>$V$5</f>
        <v>2018年度</v>
      </c>
      <c r="J4215" s="355" t="s">
        <v>5314</v>
      </c>
      <c r="K4215" s="291"/>
      <c r="L4215" s="291"/>
      <c r="M4215" s="291"/>
      <c r="S4215" s="364"/>
      <c r="Z4215" s="609" t="s">
        <v>4073</v>
      </c>
      <c r="AA4215" s="609" t="s">
        <v>5691</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5691</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5691</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5691</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5691</v>
      </c>
    </row>
    <row r="4220" spans="1:27" ht="18.75" thickBot="1">
      <c r="A4220" s="2714"/>
      <c r="B4220" s="371"/>
      <c r="C4220" s="371"/>
      <c r="D4220" s="2716">
        <f>IF(OR(G4220="*",G4220="",G4220=0),0,COUNTIF($G$4216:$G$4220,G4220))</f>
        <v>1</v>
      </c>
      <c r="E4220" s="2721" t="s">
        <v>2751</v>
      </c>
      <c r="F4220" s="294"/>
      <c r="G4220" s="2234" t="s">
        <v>3478</v>
      </c>
      <c r="H4220" s="2308"/>
      <c r="I4220" s="2309"/>
      <c r="J4220" s="355" t="s">
        <v>6074</v>
      </c>
      <c r="K4220" s="291"/>
      <c r="L4220" s="291"/>
      <c r="M4220" s="291"/>
      <c r="S4220" s="364"/>
      <c r="Z4220" s="609" t="s">
        <v>4073</v>
      </c>
      <c r="AA4220" s="609" t="s">
        <v>5691</v>
      </c>
    </row>
    <row r="4221" spans="1:27" ht="18">
      <c r="A4221" s="2714"/>
      <c r="B4221" s="371"/>
      <c r="C4221" s="371" t="s">
        <v>2755</v>
      </c>
      <c r="D4221" s="371"/>
      <c r="F4221" s="294"/>
      <c r="G4221" s="557"/>
      <c r="H4221" s="315"/>
      <c r="I4221" s="315"/>
      <c r="J4221" s="291"/>
      <c r="K4221" s="291"/>
      <c r="L4221" s="291"/>
      <c r="M4221" s="291"/>
      <c r="S4221" s="364"/>
      <c r="Z4221" s="609" t="s">
        <v>4073</v>
      </c>
      <c r="AA4221" s="609" t="s">
        <v>5691</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8">
      <c r="A4224" s="2714"/>
      <c r="B4224" s="371"/>
      <c r="C4224" s="371"/>
      <c r="D4224" s="371"/>
      <c r="E4224" s="586" t="s">
        <v>2749</v>
      </c>
      <c r="F4224" s="363"/>
      <c r="G4224" s="2410" t="s">
        <v>47</v>
      </c>
      <c r="H4224" s="2232" t="str">
        <f>$V$4</f>
        <v>2019年度</v>
      </c>
      <c r="I4224" s="2233" t="str">
        <f>$V$5</f>
        <v>2018年度</v>
      </c>
      <c r="J4224" s="355" t="s">
        <v>5314</v>
      </c>
      <c r="K4224" s="291"/>
      <c r="L4224" s="291"/>
      <c r="M4224" s="291"/>
      <c r="S4224" s="364"/>
      <c r="Z4224" s="609" t="s">
        <v>4073</v>
      </c>
      <c r="AA4224" s="609" t="s">
        <v>5691</v>
      </c>
    </row>
    <row r="4225" spans="1:27" ht="18">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5691</v>
      </c>
    </row>
    <row r="4226" spans="1:27" ht="18">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5691</v>
      </c>
    </row>
    <row r="4227" spans="1:27" ht="18">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5691</v>
      </c>
    </row>
    <row r="4228" spans="1:27" ht="18">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5691</v>
      </c>
    </row>
    <row r="4229" spans="1:27" ht="18">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5691</v>
      </c>
    </row>
    <row r="4230" spans="1:27" ht="18">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5691</v>
      </c>
    </row>
    <row r="4231" spans="1:27" ht="18.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5691</v>
      </c>
    </row>
    <row r="4232" spans="1:27" ht="18">
      <c r="A4232" s="2714"/>
      <c r="B4232" s="371"/>
      <c r="C4232" s="371" t="s">
        <v>2755</v>
      </c>
      <c r="D4232" s="371"/>
      <c r="F4232" s="294"/>
      <c r="G4232" s="557"/>
      <c r="H4232" s="393"/>
      <c r="I4232" s="393"/>
      <c r="J4232" s="291"/>
      <c r="K4232" s="291"/>
      <c r="L4232" s="291"/>
      <c r="M4232" s="291"/>
      <c r="S4232" s="364"/>
      <c r="Z4232" s="609" t="s">
        <v>4073</v>
      </c>
      <c r="AA4232" s="609" t="s">
        <v>5691</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5691</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4"/>
      <c r="B4236" s="371"/>
      <c r="C4236" s="371"/>
      <c r="D4236" s="371"/>
      <c r="E4236" s="586" t="s">
        <v>2749</v>
      </c>
      <c r="F4236" s="2343"/>
      <c r="G4236" s="3293" t="s">
        <v>47</v>
      </c>
      <c r="H4236" s="3236" t="s">
        <v>3494</v>
      </c>
      <c r="I4236" s="3236" t="s">
        <v>3495</v>
      </c>
      <c r="J4236" s="3252"/>
      <c r="K4236" s="355" t="s">
        <v>5314</v>
      </c>
      <c r="L4236" s="291"/>
      <c r="M4236" s="291"/>
      <c r="S4236" s="364"/>
      <c r="Z4236" s="609" t="s">
        <v>4073</v>
      </c>
      <c r="AA4236" s="609" t="s">
        <v>5691</v>
      </c>
    </row>
    <row r="4237" spans="1:27" ht="18">
      <c r="A4237" s="2714"/>
      <c r="B4237" s="371"/>
      <c r="C4237" s="371"/>
      <c r="D4237" s="371"/>
      <c r="E4237" s="586" t="s">
        <v>2749</v>
      </c>
      <c r="F4237" s="363"/>
      <c r="G4237" s="3294"/>
      <c r="H4237" s="3237"/>
      <c r="I4237" s="2415" t="s">
        <v>3496</v>
      </c>
      <c r="J4237" s="2417" t="s">
        <v>3497</v>
      </c>
      <c r="K4237" s="291"/>
      <c r="L4237" s="291"/>
      <c r="M4237" s="291"/>
      <c r="S4237" s="364"/>
      <c r="Z4237" s="609" t="s">
        <v>4073</v>
      </c>
      <c r="AA4237" s="609" t="s">
        <v>5691</v>
      </c>
    </row>
    <row r="4238" spans="1:27" ht="18">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5691</v>
      </c>
    </row>
    <row r="4239" spans="1:27" ht="18">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5691</v>
      </c>
    </row>
    <row r="4240" spans="1:27" ht="18">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5691</v>
      </c>
    </row>
    <row r="4241" spans="1:27" ht="18">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5691</v>
      </c>
    </row>
    <row r="4242" spans="1:27" ht="18">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5691</v>
      </c>
    </row>
    <row r="4243" spans="1:27" ht="18">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5691</v>
      </c>
    </row>
    <row r="4244" spans="1:27" ht="18.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5691</v>
      </c>
    </row>
    <row r="4245" spans="1:27" ht="18">
      <c r="A4245" s="2714"/>
      <c r="B4245" s="371"/>
      <c r="C4245" s="371" t="s">
        <v>2755</v>
      </c>
      <c r="D4245" s="371"/>
      <c r="F4245" s="294"/>
      <c r="G4245" s="557"/>
      <c r="H4245" s="393"/>
      <c r="I4245" s="393"/>
      <c r="J4245" s="393"/>
      <c r="K4245" s="291"/>
      <c r="L4245" s="291"/>
      <c r="M4245" s="291"/>
      <c r="S4245" s="364"/>
      <c r="Z4245" s="609" t="s">
        <v>4073</v>
      </c>
      <c r="AA4245" s="609" t="s">
        <v>5691</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5315</v>
      </c>
      <c r="L4249" s="291"/>
      <c r="M4249" s="291"/>
      <c r="N4249" s="291"/>
      <c r="O4249" s="291"/>
      <c r="S4249" s="364"/>
      <c r="Z4249" s="609" t="s">
        <v>4093</v>
      </c>
      <c r="AA4249" s="609" t="s">
        <v>5692</v>
      </c>
    </row>
    <row r="4250" spans="1:27" ht="18">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5692</v>
      </c>
    </row>
    <row r="4251" spans="1:27" ht="18">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5692</v>
      </c>
    </row>
    <row r="4252" spans="1:27" ht="18">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5692</v>
      </c>
    </row>
    <row r="4253" spans="1:27" ht="18">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5692</v>
      </c>
    </row>
    <row r="4254" spans="1:27" ht="18">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5692</v>
      </c>
    </row>
    <row r="4255" spans="1:27" ht="18">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5692</v>
      </c>
    </row>
    <row r="4256" spans="1:27" ht="18">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5692</v>
      </c>
    </row>
    <row r="4257" spans="1:32" ht="18">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5692</v>
      </c>
    </row>
    <row r="4258" spans="1:32" ht="18.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5316</v>
      </c>
      <c r="N4263" s="291"/>
      <c r="O4263" s="291"/>
      <c r="S4263" s="364"/>
      <c r="Z4263" s="609" t="s">
        <v>4101</v>
      </c>
      <c r="AA4263" s="609" t="s">
        <v>5693</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6573</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5693</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5693</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5693</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4">
      <c r="A4269" s="2714" t="s">
        <v>1756</v>
      </c>
      <c r="B4269" s="371">
        <v>2</v>
      </c>
      <c r="C4269" s="371"/>
      <c r="D4269" s="2716" t="str">
        <f>VLOOKUP($A4269,Sheet_NoteList,2,0)</f>
        <v>递延收益（涉及政府补助的项目）</v>
      </c>
      <c r="E4269" s="2716" t="s">
        <v>6531</v>
      </c>
      <c r="F4269" s="294"/>
      <c r="G4269" s="372" t="str">
        <f>"("&amp;B4269&amp;")"&amp;D4269</f>
        <v>(2)递延收益（涉及政府补助的项目）</v>
      </c>
      <c r="H4269" s="1517"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4"/>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4"/>
      <c r="P4270" s="1604"/>
      <c r="Q4270" s="442"/>
      <c r="R4270" s="364"/>
      <c r="Z4270" s="609" t="s">
        <v>4101</v>
      </c>
      <c r="AA4270" s="609" t="s">
        <v>5693</v>
      </c>
    </row>
    <row r="4271" spans="1:32" ht="36">
      <c r="A4271" s="2714"/>
      <c r="B4271" s="371"/>
      <c r="C4271" s="371"/>
      <c r="D4271" s="371"/>
      <c r="E4271" s="586" t="s">
        <v>2749</v>
      </c>
      <c r="F4271" s="363"/>
      <c r="G4271" s="2529" t="s">
        <v>6075</v>
      </c>
      <c r="H4271" s="2532" t="str">
        <f>$V$3</f>
        <v>2018年12月31日</v>
      </c>
      <c r="I4271" s="2526" t="s">
        <v>4010</v>
      </c>
      <c r="J4271" s="2526" t="s">
        <v>4011</v>
      </c>
      <c r="K4271" s="2526" t="s">
        <v>4104</v>
      </c>
      <c r="L4271" s="2526" t="s">
        <v>4012</v>
      </c>
      <c r="M4271" s="2532" t="str">
        <f>$V$2</f>
        <v>2019年12月31日</v>
      </c>
      <c r="N4271" s="2525" t="s">
        <v>5237</v>
      </c>
      <c r="O4271" s="2672" t="s">
        <v>5316</v>
      </c>
      <c r="P4271" s="1604"/>
      <c r="Q4271" s="1604"/>
      <c r="S4271" s="364"/>
      <c r="Z4271" s="609" t="s">
        <v>4101</v>
      </c>
      <c r="AA4271" s="609" t="s">
        <v>5693</v>
      </c>
      <c r="AF4271" s="369" t="s">
        <v>2761</v>
      </c>
    </row>
    <row r="4272" spans="1:32" ht="18">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6361</v>
      </c>
      <c r="P4272" s="2673" t="s">
        <v>6362</v>
      </c>
      <c r="Q4272" s="1604"/>
      <c r="S4272" s="364"/>
      <c r="Z4272" s="609" t="s">
        <v>4101</v>
      </c>
      <c r="AA4272" s="609" t="s">
        <v>5693</v>
      </c>
      <c r="AF4272" s="369" t="s">
        <v>2761</v>
      </c>
    </row>
    <row r="4273" spans="1:32" ht="18">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6363</v>
      </c>
      <c r="Q4273" s="1604"/>
      <c r="S4273" s="364"/>
      <c r="Z4273" s="609" t="s">
        <v>4101</v>
      </c>
      <c r="AA4273" s="609" t="s">
        <v>5693</v>
      </c>
      <c r="AF4273" s="369" t="s">
        <v>2761</v>
      </c>
    </row>
    <row r="4274" spans="1:32" ht="18">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5693</v>
      </c>
      <c r="AF4274" s="369" t="s">
        <v>2761</v>
      </c>
    </row>
    <row r="4275" spans="1:32" ht="18">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5693</v>
      </c>
      <c r="AF4275" s="369" t="s">
        <v>2761</v>
      </c>
    </row>
    <row r="4276" spans="1:32" ht="18">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5693</v>
      </c>
      <c r="AF4276" s="369" t="s">
        <v>2761</v>
      </c>
    </row>
    <row r="4277" spans="1:32" ht="18.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HYPERLINK("#'"&amp;$G$1&amp;"'!"&amp;ADDRESS(ROW(Notes!H4791),COLUMN(Notes!H4791),4),"* 请勿删除此行！点击往勾稽单元格，F5+Enter返回")</f>
        <v>* 请勿删除此行！点击往勾稽单元格，F5+Enter返回</v>
      </c>
      <c r="P4277" s="1604"/>
      <c r="Q4277" s="1604"/>
      <c r="S4277" s="364"/>
      <c r="Z4277" s="609" t="s">
        <v>4101</v>
      </c>
      <c r="AA4277" s="609" t="s">
        <v>5693</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5693</v>
      </c>
    </row>
    <row r="4279" spans="1:32" ht="18.75" thickTop="1">
      <c r="A4279" s="2714"/>
      <c r="B4279" s="371"/>
      <c r="C4279" s="371" t="s">
        <v>2565</v>
      </c>
      <c r="D4279" s="371"/>
      <c r="F4279" s="294"/>
      <c r="G4279" s="1561" t="s">
        <v>5367</v>
      </c>
      <c r="H4279" s="1550" t="str">
        <f>G4261</f>
        <v>(1)递延收益情况</v>
      </c>
      <c r="I4279" s="1551"/>
      <c r="J4279" s="1551"/>
      <c r="K4279" s="1551"/>
      <c r="L4279" s="1551"/>
      <c r="M4279" s="1552"/>
      <c r="N4279" s="1551"/>
      <c r="O4279" s="1553" t="s">
        <v>5368</v>
      </c>
      <c r="S4279" s="364"/>
      <c r="Z4279" s="609" t="s">
        <v>4101</v>
      </c>
      <c r="AA4279" s="609" t="s">
        <v>5693</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5693</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5693</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5693</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5695</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5695</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18">
      <c r="A4289" s="2714"/>
      <c r="B4289" s="371"/>
      <c r="C4289" s="371"/>
      <c r="D4289" s="371"/>
      <c r="E4289" s="586" t="s">
        <v>2749</v>
      </c>
      <c r="F4289" s="363"/>
      <c r="G4289" s="2411" t="s">
        <v>47</v>
      </c>
      <c r="H4289" s="2225" t="str">
        <f>$V$2</f>
        <v>2019年12月31日</v>
      </c>
      <c r="I4289" s="2226" t="str">
        <f>$V$3</f>
        <v>2018年12月31日</v>
      </c>
      <c r="J4289" s="355" t="s">
        <v>5317</v>
      </c>
      <c r="K4289" s="291"/>
      <c r="L4289" s="291"/>
      <c r="M4289" s="291"/>
      <c r="S4289" s="364"/>
      <c r="Z4289" s="609" t="s">
        <v>4105</v>
      </c>
      <c r="AA4289" s="609" t="s">
        <v>5695</v>
      </c>
    </row>
    <row r="4290" spans="1:27" ht="24">
      <c r="A4290" s="2714"/>
      <c r="B4290" s="371">
        <v>101</v>
      </c>
      <c r="C4290" s="371" t="s">
        <v>2791</v>
      </c>
      <c r="D4290" s="2716">
        <f t="shared" ref="D4290:D4295" si="473">IF(OR(G4290="*",G4290="",G4290=0),0,COUNTIF($G$4290:$G$4295,G4290))</f>
        <v>1</v>
      </c>
      <c r="E4290" s="2721">
        <v>1</v>
      </c>
      <c r="F4290" s="294"/>
      <c r="G4290" s="2568" t="s">
        <v>6076</v>
      </c>
      <c r="H4290" s="2275"/>
      <c r="I4290" s="2296"/>
      <c r="J4290" s="291"/>
      <c r="K4290" s="291"/>
      <c r="L4290" s="291"/>
      <c r="M4290" s="291"/>
      <c r="S4290" s="364"/>
      <c r="Z4290" s="609" t="s">
        <v>4105</v>
      </c>
      <c r="AA4290" s="609" t="s">
        <v>5695</v>
      </c>
    </row>
    <row r="4291" spans="1:27" ht="18">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5695</v>
      </c>
    </row>
    <row r="4292" spans="1:27" ht="18">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5695</v>
      </c>
    </row>
    <row r="4293" spans="1:27" ht="18">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5695</v>
      </c>
    </row>
    <row r="4294" spans="1:27" ht="18">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5695</v>
      </c>
    </row>
    <row r="4295" spans="1:27" ht="18.75" thickBot="1">
      <c r="A4295" s="2714"/>
      <c r="B4295" s="371"/>
      <c r="C4295" s="371"/>
      <c r="D4295" s="2716">
        <f t="shared" si="473"/>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5695</v>
      </c>
    </row>
    <row r="4296" spans="1:27" ht="18">
      <c r="A4296" s="2714"/>
      <c r="B4296" s="371"/>
      <c r="C4296" s="371" t="s">
        <v>2755</v>
      </c>
      <c r="D4296" s="371"/>
      <c r="F4296" s="294"/>
      <c r="G4296" s="301"/>
      <c r="H4296" s="315"/>
      <c r="I4296" s="315"/>
      <c r="J4296" s="291"/>
      <c r="K4296" s="291"/>
      <c r="L4296" s="291"/>
      <c r="M4296" s="291"/>
      <c r="S4296" s="364"/>
      <c r="Z4296" s="609" t="s">
        <v>4105</v>
      </c>
      <c r="AA4296" s="609" t="s">
        <v>5695</v>
      </c>
    </row>
    <row r="4297" spans="1:27" ht="24">
      <c r="A4297" s="2714" t="s">
        <v>1766</v>
      </c>
      <c r="B4297" s="371">
        <v>2</v>
      </c>
      <c r="C4297" s="371"/>
      <c r="D4297" s="2716" t="str">
        <f>VLOOKUP($A4297,Sheet_NoteList,2,0)</f>
        <v>其他非流动负债补充资料</v>
      </c>
      <c r="E4297" s="2716" t="s">
        <v>6531</v>
      </c>
      <c r="F4297" s="294"/>
      <c r="G4297" s="372" t="str">
        <f>"("&amp;B4297&amp;")"&amp;D4297</f>
        <v>(2)其他非流动负债补充资料</v>
      </c>
      <c r="H4297" s="1517" t="str">
        <f>$A4297</f>
        <v>2996x</v>
      </c>
      <c r="I4297" s="343" t="s">
        <v>5965</v>
      </c>
      <c r="J4297" s="301" t="s">
        <v>5968</v>
      </c>
      <c r="K4297" s="2210">
        <f>K4305</f>
        <v>0</v>
      </c>
      <c r="L4297" s="345"/>
      <c r="M4297" s="301" t="s">
        <v>5964</v>
      </c>
      <c r="N4297" s="2210">
        <f>H4305</f>
        <v>0</v>
      </c>
      <c r="O4297" s="345"/>
      <c r="P4297" s="301"/>
      <c r="S4297" s="364"/>
      <c r="Z4297" s="609" t="s">
        <v>4105</v>
      </c>
      <c r="AA4297" s="609" t="s">
        <v>5695</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6141</v>
      </c>
      <c r="S4299" s="364"/>
      <c r="Z4299" s="609" t="s">
        <v>4105</v>
      </c>
      <c r="AA4299" s="609" t="s">
        <v>5695</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5695</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5695</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5695</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5695</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5695</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5695</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100000000</v>
      </c>
      <c r="L4307" s="342"/>
      <c r="M4307" s="306" t="s">
        <v>2741</v>
      </c>
      <c r="N4307" s="341">
        <f>VLOOKUP($A4307,Sheet_Trialbal,10,0)</f>
        <v>100000000</v>
      </c>
      <c r="O4307" s="306"/>
      <c r="P4307" s="301"/>
      <c r="S4307" s="364"/>
      <c r="Z4307" s="609" t="s">
        <v>4108</v>
      </c>
      <c r="AA4307" s="609" t="s">
        <v>5696</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84"/>
      <c r="L4308" s="315"/>
      <c r="M4308" s="301"/>
      <c r="N4308" s="3084"/>
      <c r="O4308" s="315"/>
      <c r="P4308" s="301"/>
      <c r="Q4308" s="290" t="str">
        <f>IF($I4308="不适用","",IF(ROUND(SUM($H$4313:$N$4315),2)=0,"请输入",""))</f>
        <v>请输入</v>
      </c>
      <c r="S4308" s="364"/>
      <c r="Z4308" s="609" t="s">
        <v>4108</v>
      </c>
      <c r="AA4308" s="609" t="s">
        <v>5696</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4"/>
      <c r="B4311" s="371"/>
      <c r="C4311" s="371"/>
      <c r="D4311" s="371"/>
      <c r="E4311" s="2716" t="s">
        <v>2749</v>
      </c>
      <c r="F4311" s="294"/>
      <c r="G4311" s="3318" t="s">
        <v>1776</v>
      </c>
      <c r="H4311" s="3322" t="str">
        <f>$V$3</f>
        <v>2018年12月31日</v>
      </c>
      <c r="I4311" s="3270" t="s">
        <v>6077</v>
      </c>
      <c r="J4311" s="3270"/>
      <c r="K4311" s="3270"/>
      <c r="L4311" s="3270"/>
      <c r="M4311" s="3270"/>
      <c r="N4311" s="3262" t="str">
        <f>$V$2</f>
        <v>2019年12月31日</v>
      </c>
      <c r="O4311" s="355" t="s">
        <v>5318</v>
      </c>
      <c r="P4311" s="367"/>
      <c r="S4311" s="364"/>
      <c r="T4311" s="291"/>
      <c r="Z4311" s="609" t="s">
        <v>4108</v>
      </c>
      <c r="AA4311" s="609" t="s">
        <v>5696</v>
      </c>
    </row>
    <row r="4312" spans="1:27" ht="18">
      <c r="A4312" s="2714"/>
      <c r="B4312" s="371"/>
      <c r="C4312" s="371"/>
      <c r="D4312" s="371"/>
      <c r="E4312" s="2716" t="s">
        <v>2749</v>
      </c>
      <c r="F4312" s="294"/>
      <c r="G4312" s="3319"/>
      <c r="H4312" s="3306"/>
      <c r="I4312" s="2601" t="s">
        <v>4124</v>
      </c>
      <c r="J4312" s="2601" t="s">
        <v>4125</v>
      </c>
      <c r="K4312" s="2601" t="s">
        <v>4126</v>
      </c>
      <c r="L4312" s="2601" t="s">
        <v>932</v>
      </c>
      <c r="M4312" s="2601" t="s">
        <v>2939</v>
      </c>
      <c r="N4312" s="3263"/>
      <c r="O4312" s="367"/>
      <c r="P4312" s="367"/>
      <c r="S4312" s="364"/>
      <c r="T4312" s="291"/>
      <c r="Z4312" s="609" t="s">
        <v>4108</v>
      </c>
      <c r="AA4312" s="609" t="s">
        <v>5696</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5696</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5696</v>
      </c>
    </row>
    <row r="4315" spans="1:27" ht="18.75" thickBot="1">
      <c r="A4315" s="2714"/>
      <c r="B4315" s="371"/>
      <c r="C4315" s="371"/>
      <c r="D4315" s="2716">
        <f>IF(OR(G4315="*",G4315="",G4315=0),0,COUNTIF($G$4313:$G$4315,G4315))</f>
        <v>0</v>
      </c>
      <c r="E4315" s="2721" t="s">
        <v>6567</v>
      </c>
      <c r="F4315" s="294"/>
      <c r="G4315" s="2429"/>
      <c r="H4315" s="2602"/>
      <c r="I4315" s="2602"/>
      <c r="J4315" s="2602"/>
      <c r="K4315" s="2602"/>
      <c r="L4315" s="2602"/>
      <c r="M4315" s="2602"/>
      <c r="N4315" s="2603"/>
      <c r="O4315" s="367"/>
      <c r="P4315" s="367"/>
      <c r="S4315" s="364"/>
      <c r="T4315" s="291"/>
      <c r="Z4315" s="609" t="s">
        <v>4108</v>
      </c>
      <c r="AA4315" s="609" t="s">
        <v>5696</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f>IF($I4317="适用",IF(ROUND(K4307-K4317,2)=0,"F/S",ROUND(K4307-K4317,2)),"#N/A")</f>
        <v>100000000</v>
      </c>
      <c r="M4317" s="301" t="s">
        <v>2745</v>
      </c>
      <c r="N4317" s="2210">
        <f>K4327</f>
        <v>0</v>
      </c>
      <c r="O4317" s="345">
        <f>IF($I4317="适用",IF(ROUND(N4307-N4317,2)=0,"F/S",ROUND(N4307-N4317,2)),"#N/A")</f>
        <v>100000000</v>
      </c>
      <c r="P4317" s="301"/>
      <c r="S4317" s="364"/>
      <c r="Z4317" s="609" t="s">
        <v>4108</v>
      </c>
      <c r="AA4317" s="609" t="s">
        <v>5696</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8">
      <c r="A4320" s="2714"/>
      <c r="B4320" s="371"/>
      <c r="C4320" s="371"/>
      <c r="D4320" s="371"/>
      <c r="E4320" s="586" t="s">
        <v>2749</v>
      </c>
      <c r="F4320" s="363"/>
      <c r="G4320" s="3295" t="s">
        <v>6078</v>
      </c>
      <c r="H4320" s="3279" t="s">
        <v>6081</v>
      </c>
      <c r="I4320" s="3279"/>
      <c r="J4320" s="3279" t="s">
        <v>6082</v>
      </c>
      <c r="K4320" s="3279"/>
      <c r="L4320" s="3309" t="s">
        <v>6083</v>
      </c>
      <c r="M4320" s="3312" t="s">
        <v>6084</v>
      </c>
      <c r="N4320" s="355" t="s">
        <v>6085</v>
      </c>
      <c r="S4320" s="364"/>
      <c r="Z4320" s="609" t="s">
        <v>4108</v>
      </c>
      <c r="AA4320" s="609" t="s">
        <v>5696</v>
      </c>
    </row>
    <row r="4321" spans="1:27" ht="18">
      <c r="A4321" s="2714"/>
      <c r="B4321" s="371"/>
      <c r="C4321" s="371"/>
      <c r="D4321" s="371"/>
      <c r="E4321" s="586" t="s">
        <v>2749</v>
      </c>
      <c r="F4321" s="363"/>
      <c r="G4321" s="3296"/>
      <c r="H4321" s="2426" t="s">
        <v>6080</v>
      </c>
      <c r="I4321" s="2438" t="s">
        <v>6079</v>
      </c>
      <c r="J4321" s="2426" t="s">
        <v>6080</v>
      </c>
      <c r="K4321" s="2438" t="s">
        <v>6079</v>
      </c>
      <c r="L4321" s="3310"/>
      <c r="M4321" s="3313"/>
      <c r="S4321" s="364"/>
      <c r="Z4321" s="609" t="s">
        <v>4108</v>
      </c>
      <c r="AA4321" s="609" t="s">
        <v>5696</v>
      </c>
    </row>
    <row r="4322" spans="1:27" ht="18">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5696</v>
      </c>
    </row>
    <row r="4323" spans="1:27" ht="18">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5696</v>
      </c>
    </row>
    <row r="4324" spans="1:27" ht="18">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5696</v>
      </c>
    </row>
    <row r="4325" spans="1:27" ht="18">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5696</v>
      </c>
    </row>
    <row r="4326" spans="1:27" ht="18">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5696</v>
      </c>
    </row>
    <row r="4327" spans="1:27" ht="18.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5696</v>
      </c>
    </row>
    <row r="4328" spans="1:27" ht="18">
      <c r="A4328" s="2714"/>
      <c r="B4328" s="371"/>
      <c r="C4328" s="371" t="s">
        <v>2755</v>
      </c>
      <c r="D4328" s="371"/>
      <c r="F4328" s="294"/>
      <c r="G4328" s="301"/>
      <c r="H4328" s="393"/>
      <c r="I4328" s="315"/>
      <c r="J4328" s="393"/>
      <c r="K4328" s="315"/>
      <c r="L4328" s="315"/>
      <c r="M4328" s="315"/>
      <c r="S4328" s="364"/>
      <c r="Z4328" s="609" t="s">
        <v>4108</v>
      </c>
      <c r="AA4328" s="609" t="s">
        <v>5696</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4"/>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5319</v>
      </c>
      <c r="Q4332" s="442"/>
      <c r="R4332" s="443"/>
      <c r="S4332" s="364"/>
      <c r="Z4332" s="609" t="s">
        <v>4137</v>
      </c>
      <c r="AA4332" s="609" t="s">
        <v>5697</v>
      </c>
    </row>
    <row r="4333" spans="1:27" ht="18">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5697</v>
      </c>
    </row>
    <row r="4334" spans="1:27" ht="18">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5697</v>
      </c>
    </row>
    <row r="4335" spans="1:27" ht="18">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5697</v>
      </c>
    </row>
    <row r="4336" spans="1:27" ht="18">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5697</v>
      </c>
    </row>
    <row r="4337" spans="1:27" ht="18">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5697</v>
      </c>
    </row>
    <row r="4338" spans="1:27" ht="18.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5697</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4"/>
      <c r="B4343" s="371"/>
      <c r="C4343" s="371"/>
      <c r="D4343" s="371"/>
      <c r="E4343" s="586" t="s">
        <v>2749</v>
      </c>
      <c r="F4343" s="363"/>
      <c r="G4343" s="3286" t="s">
        <v>1673</v>
      </c>
      <c r="H4343" s="3249" t="str">
        <f>$V$3</f>
        <v>2018年12月31日</v>
      </c>
      <c r="I4343" s="3251"/>
      <c r="J4343" s="3254" t="s">
        <v>3027</v>
      </c>
      <c r="K4343" s="3254"/>
      <c r="L4343" s="3254" t="s">
        <v>3028</v>
      </c>
      <c r="M4343" s="3254"/>
      <c r="N4343" s="3249" t="str">
        <f>$V$2</f>
        <v>2019年12月31日</v>
      </c>
      <c r="O4343" s="3250"/>
      <c r="P4343" s="355" t="s">
        <v>5319</v>
      </c>
      <c r="S4343" s="364"/>
      <c r="Z4343" s="609" t="s">
        <v>4137</v>
      </c>
      <c r="AA4343" s="609" t="s">
        <v>5697</v>
      </c>
    </row>
    <row r="4344" spans="1:27" ht="18">
      <c r="A4344" s="2714"/>
      <c r="B4344" s="371"/>
      <c r="C4344" s="371"/>
      <c r="D4344" s="371"/>
      <c r="E4344" s="586" t="s">
        <v>2749</v>
      </c>
      <c r="F4344" s="363"/>
      <c r="G4344" s="3287"/>
      <c r="H4344" s="2421" t="s">
        <v>4043</v>
      </c>
      <c r="I4344" s="2421" t="s">
        <v>2863</v>
      </c>
      <c r="J4344" s="2421" t="s">
        <v>4043</v>
      </c>
      <c r="K4344" s="2421" t="s">
        <v>2863</v>
      </c>
      <c r="L4344" s="2421" t="s">
        <v>4043</v>
      </c>
      <c r="M4344" s="2421" t="s">
        <v>2863</v>
      </c>
      <c r="N4344" s="2421" t="s">
        <v>4043</v>
      </c>
      <c r="O4344" s="2422" t="s">
        <v>2863</v>
      </c>
      <c r="S4344" s="364"/>
      <c r="Z4344" s="609" t="s">
        <v>4137</v>
      </c>
      <c r="AA4344" s="609" t="s">
        <v>5697</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5697</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5697</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5697</v>
      </c>
    </row>
    <row r="4348" spans="1:27" ht="18.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5697</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5698</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5698</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5320</v>
      </c>
      <c r="M4353" s="291"/>
      <c r="N4353" s="291"/>
      <c r="O4353" s="291"/>
      <c r="S4353" s="364"/>
      <c r="Z4353" s="609" t="s">
        <v>4140</v>
      </c>
      <c r="AA4353" s="609" t="s">
        <v>5698</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5698</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5698</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5698</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5698</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5699</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5321</v>
      </c>
      <c r="M4362" s="291"/>
      <c r="N4362" s="291"/>
      <c r="O4362" s="291"/>
      <c r="S4362" s="364"/>
      <c r="Z4362" s="609" t="s">
        <v>4144</v>
      </c>
      <c r="AA4362" s="609" t="s">
        <v>5699</v>
      </c>
    </row>
    <row r="4363" spans="1:27" ht="18">
      <c r="A4363" s="2714"/>
      <c r="B4363" s="371">
        <v>101</v>
      </c>
      <c r="C4363" s="371"/>
      <c r="D4363" s="2716">
        <f>IF(OR(G4363="*",G4363="",G4363=0),0,COUNTIF($G$4363:$G$4364,G4363))</f>
        <v>1</v>
      </c>
      <c r="E4363" s="2721">
        <v>1</v>
      </c>
      <c r="F4363" s="294"/>
      <c r="G4363" s="1474" t="s">
        <v>6086</v>
      </c>
      <c r="H4363" s="2275"/>
      <c r="I4363" s="2275"/>
      <c r="J4363" s="2275"/>
      <c r="K4363" s="1477">
        <f>H4363+I4363-J4363</f>
        <v>0</v>
      </c>
      <c r="L4363" s="291"/>
      <c r="M4363" s="291"/>
      <c r="N4363" s="291"/>
      <c r="O4363" s="291"/>
      <c r="S4363" s="364"/>
      <c r="Z4363" s="609" t="s">
        <v>4144</v>
      </c>
      <c r="AA4363" s="609" t="s">
        <v>5699</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5699</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4"/>
      <c r="B4369" s="371"/>
      <c r="C4369" s="371"/>
      <c r="D4369" s="2716"/>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4"/>
      <c r="B4370" s="371"/>
      <c r="C4370" s="371"/>
      <c r="D4370" s="2716"/>
      <c r="E4370" s="2716" t="s">
        <v>2749</v>
      </c>
      <c r="F4370" s="293"/>
      <c r="G4370" s="3253" t="s">
        <v>47</v>
      </c>
      <c r="H4370" s="3323" t="str">
        <f>$V$3</f>
        <v>2018年12月31日</v>
      </c>
      <c r="I4370" s="3270" t="s">
        <v>2918</v>
      </c>
      <c r="J4370" s="3323" t="str">
        <f>$X$3</f>
        <v>2019年1月1日</v>
      </c>
      <c r="K4370" s="3270" t="s">
        <v>4156</v>
      </c>
      <c r="L4370" s="3270"/>
      <c r="M4370" s="3270"/>
      <c r="N4370" s="3270"/>
      <c r="O4370" s="3270"/>
      <c r="P4370" s="3268" t="str">
        <f>$V$2</f>
        <v>2019年12月31日</v>
      </c>
      <c r="Q4370" s="355" t="s">
        <v>5322</v>
      </c>
      <c r="S4370" s="364"/>
      <c r="Z4370" s="609" t="s">
        <v>4147</v>
      </c>
      <c r="AA4370" s="609" t="s">
        <v>4149</v>
      </c>
    </row>
    <row r="4371" spans="1:27" ht="36">
      <c r="A4371" s="2714"/>
      <c r="B4371" s="371"/>
      <c r="C4371" s="371"/>
      <c r="D4371" s="2716"/>
      <c r="E4371" s="2716" t="s">
        <v>2749</v>
      </c>
      <c r="F4371" s="293"/>
      <c r="G4371" s="3292"/>
      <c r="H4371" s="3324"/>
      <c r="I4371" s="3306"/>
      <c r="J4371" s="3324"/>
      <c r="K4371" s="2601" t="s">
        <v>4157</v>
      </c>
      <c r="L4371" s="2601" t="s">
        <v>4158</v>
      </c>
      <c r="M4371" s="2601" t="s">
        <v>867</v>
      </c>
      <c r="N4371" s="2601" t="s">
        <v>4159</v>
      </c>
      <c r="O4371" s="2601" t="s">
        <v>4160</v>
      </c>
      <c r="P4371" s="3269"/>
      <c r="S4371" s="364"/>
      <c r="Z4371" s="609" t="s">
        <v>4147</v>
      </c>
      <c r="AA4371" s="609" t="s">
        <v>4149</v>
      </c>
    </row>
    <row r="4372" spans="1:27" ht="24">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4">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4">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4">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4">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6627</v>
      </c>
      <c r="F4392" s="294"/>
      <c r="G4392" s="307" t="str">
        <f>"("&amp;B4392&amp;")"&amp;D4392</f>
        <v>(2)其他综合收益变动情况</v>
      </c>
      <c r="H4392" s="1517" t="str">
        <f>$A4392</f>
        <v>4215a</v>
      </c>
      <c r="I4392" s="343" t="s">
        <v>6630</v>
      </c>
      <c r="J4392" s="301" t="s">
        <v>6628</v>
      </c>
      <c r="K4392" s="344">
        <f>N4410</f>
        <v>0</v>
      </c>
      <c r="L4392" s="345" t="str">
        <f>IF($I4392="适用",IF(ROUND(K4366-K4392,2)=0,"F/S",ROUND(K4366-K4392,2)),"#N/A")</f>
        <v>#N/A</v>
      </c>
      <c r="M4392" s="301" t="s">
        <v>6629</v>
      </c>
      <c r="N4392" s="344">
        <f>H4410</f>
        <v>0</v>
      </c>
      <c r="O4392" s="345" t="str">
        <f>IF($I4392="适用",IF(ROUND(N4366-N4392,2)=0,"F/S",ROUND(N4366-N4392,2)),"#N/A")</f>
        <v>#N/A</v>
      </c>
      <c r="S4392" s="364"/>
      <c r="Z4392" s="609" t="s">
        <v>4147</v>
      </c>
      <c r="AA4392" s="609" t="s">
        <v>5700</v>
      </c>
      <c r="AE4392" s="369" t="s">
        <v>2761</v>
      </c>
    </row>
    <row r="4393" spans="1:32" ht="0.75" hidden="1" customHeight="1">
      <c r="A4393" s="2714"/>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8" hidden="1">
      <c r="A4395" s="2714"/>
      <c r="B4395" s="371"/>
      <c r="C4395" s="371"/>
      <c r="D4395" s="371"/>
      <c r="E4395" s="586" t="s">
        <v>2749</v>
      </c>
      <c r="F4395" s="363"/>
      <c r="G4395" s="3295" t="s">
        <v>47</v>
      </c>
      <c r="H4395" s="3279" t="s">
        <v>6082</v>
      </c>
      <c r="I4395" s="3279" t="s">
        <v>4156</v>
      </c>
      <c r="J4395" s="3279"/>
      <c r="K4395" s="3279"/>
      <c r="L4395" s="3279"/>
      <c r="M4395" s="3279"/>
      <c r="N4395" s="3264" t="s">
        <v>6081</v>
      </c>
      <c r="O4395" s="3267"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36" hidden="1">
      <c r="A4396" s="2714"/>
      <c r="B4396" s="371"/>
      <c r="C4396" s="371"/>
      <c r="D4396" s="371"/>
      <c r="E4396" s="586" t="s">
        <v>2749</v>
      </c>
      <c r="F4396" s="363"/>
      <c r="G4396" s="3296"/>
      <c r="H4396" s="3308"/>
      <c r="I4396" s="2426" t="s">
        <v>4157</v>
      </c>
      <c r="J4396" s="2426" t="s">
        <v>4158</v>
      </c>
      <c r="K4396" s="2426" t="s">
        <v>867</v>
      </c>
      <c r="L4396" s="2426" t="s">
        <v>4159</v>
      </c>
      <c r="M4396" s="2426" t="s">
        <v>4160</v>
      </c>
      <c r="N4396" s="3265"/>
      <c r="O4396" s="3267"/>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4"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5700</v>
      </c>
      <c r="AE4397" s="369" t="s">
        <v>2761</v>
      </c>
      <c r="AF4397" s="369"/>
    </row>
    <row r="4398" spans="1:32" ht="24"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5700</v>
      </c>
      <c r="AE4398" s="369" t="s">
        <v>2761</v>
      </c>
      <c r="AF4398" s="369"/>
    </row>
    <row r="4399" spans="1:32" ht="24"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5700</v>
      </c>
      <c r="AE4399" s="369" t="s">
        <v>2761</v>
      </c>
      <c r="AF4399" s="369"/>
    </row>
    <row r="4400" spans="1:32" ht="18"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5700</v>
      </c>
      <c r="AE4400" s="369" t="s">
        <v>2761</v>
      </c>
      <c r="AF4400" s="369"/>
    </row>
    <row r="4401" spans="1:32" ht="18"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5700</v>
      </c>
      <c r="AE4401" s="369" t="s">
        <v>2761</v>
      </c>
      <c r="AF4401" s="369"/>
    </row>
    <row r="4402" spans="1:32" ht="24"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5700</v>
      </c>
      <c r="AE4402" s="369" t="s">
        <v>2761</v>
      </c>
      <c r="AF4402" s="369"/>
    </row>
    <row r="4403" spans="1:32" ht="24"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5700</v>
      </c>
      <c r="AE4403" s="369" t="s">
        <v>2761</v>
      </c>
      <c r="AF4403" s="369"/>
    </row>
    <row r="4404" spans="1:32" ht="24"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5700</v>
      </c>
      <c r="AE4404" s="369" t="s">
        <v>2761</v>
      </c>
      <c r="AF4404" s="369"/>
    </row>
    <row r="4405" spans="1:32" ht="24"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5700</v>
      </c>
      <c r="AE4405" s="369" t="s">
        <v>2761</v>
      </c>
      <c r="AF4405" s="369"/>
    </row>
    <row r="4406" spans="1:32" ht="24"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5700</v>
      </c>
      <c r="AE4406" s="369" t="s">
        <v>2761</v>
      </c>
      <c r="AF4406" s="369"/>
    </row>
    <row r="4407" spans="1:32" ht="18"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5700</v>
      </c>
      <c r="AE4407" s="369" t="s">
        <v>2761</v>
      </c>
      <c r="AF4407" s="369"/>
    </row>
    <row r="4408" spans="1:32" ht="18"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5700</v>
      </c>
      <c r="AE4408" s="369" t="s">
        <v>2761</v>
      </c>
      <c r="AF4408" s="369"/>
    </row>
    <row r="4409" spans="1:32" ht="18"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5700</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5700</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5701</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5323</v>
      </c>
      <c r="M4415" s="291"/>
      <c r="N4415" s="291"/>
      <c r="O4415" s="291"/>
      <c r="S4415" s="364"/>
      <c r="Z4415" s="609" t="s">
        <v>4175</v>
      </c>
      <c r="AA4415" s="609" t="s">
        <v>5701</v>
      </c>
    </row>
    <row r="4416" spans="1:32" ht="18">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5701</v>
      </c>
    </row>
    <row r="4417" spans="1:27" ht="18">
      <c r="A4417" s="2714"/>
      <c r="B4417" s="371">
        <v>102</v>
      </c>
      <c r="C4417" s="371" t="s">
        <v>2791</v>
      </c>
      <c r="D4417" s="2716">
        <f t="shared" si="496"/>
        <v>1</v>
      </c>
      <c r="E4417" s="2721">
        <v>1</v>
      </c>
      <c r="F4417" s="294"/>
      <c r="G4417" s="2427" t="s">
        <v>6087</v>
      </c>
      <c r="H4417" s="2275"/>
      <c r="I4417" s="2275"/>
      <c r="J4417" s="2275"/>
      <c r="K4417" s="1477">
        <f>H4417+I4417-J4417</f>
        <v>0</v>
      </c>
      <c r="L4417" s="291"/>
      <c r="M4417" s="291"/>
      <c r="N4417" s="291"/>
      <c r="O4417" s="291"/>
      <c r="S4417" s="364"/>
      <c r="Z4417" s="609" t="s">
        <v>4175</v>
      </c>
      <c r="AA4417" s="609" t="s">
        <v>5701</v>
      </c>
    </row>
    <row r="4418" spans="1:27" ht="18">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5701</v>
      </c>
    </row>
    <row r="4419" spans="1:27" ht="18">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5701</v>
      </c>
    </row>
    <row r="4420" spans="1:27" ht="18">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5701</v>
      </c>
    </row>
    <row r="4421" spans="1:27" ht="18.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5701</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418369.59</v>
      </c>
      <c r="L4423" s="342"/>
      <c r="M4423" s="306" t="s">
        <v>2741</v>
      </c>
      <c r="N4423" s="341">
        <f>VLOOKUP($A4423,Sheet_Trialbal,10,0)</f>
        <v>418369.59</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418369.59</v>
      </c>
      <c r="L4424" s="349" t="str">
        <f>IF($I4424="适用",IF(ROUND(K$4423-K4424,2)=0,"F/S",ROUND(K$4423-K4424,2)),"#N/A")</f>
        <v>F/S</v>
      </c>
      <c r="M4424" s="301" t="s">
        <v>2745</v>
      </c>
      <c r="N4424" s="2210">
        <f>H4435</f>
        <v>418369.59</v>
      </c>
      <c r="O4424" s="349" t="str">
        <f>IF($I4424="适用",IF(ROUND(N$4423-N4424,2)=0,"F/S",ROUND(N$4423-N4424,2)),"#N/A")</f>
        <v>F/S</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5209</v>
      </c>
      <c r="J4426" s="2571" t="str">
        <f>$X$3</f>
        <v>2019年1月1日</v>
      </c>
      <c r="K4426" s="2311" t="s">
        <v>3027</v>
      </c>
      <c r="L4426" s="2311" t="s">
        <v>3028</v>
      </c>
      <c r="M4426" s="2561" t="str">
        <f>$V$2</f>
        <v>2019年12月31日</v>
      </c>
      <c r="N4426" s="355" t="s">
        <v>5324</v>
      </c>
      <c r="O4426" s="434"/>
      <c r="P4426" s="435"/>
      <c r="Q4426" s="442"/>
      <c r="R4426" s="443"/>
      <c r="S4426" s="364"/>
      <c r="Z4426" s="609" t="s">
        <v>4178</v>
      </c>
      <c r="AA4426" s="609" t="s">
        <v>4179</v>
      </c>
    </row>
    <row r="4427" spans="1:27" ht="18">
      <c r="A4427" s="2714"/>
      <c r="B4427" s="371">
        <v>101</v>
      </c>
      <c r="C4427" s="371"/>
      <c r="D4427" s="2716">
        <f t="shared" ref="D4427:D4435" si="497">IF(OR(G4427="*",G4427="",G4427=0),0,COUNTIF($G$4427:$G$4435,G4427))</f>
        <v>1</v>
      </c>
      <c r="E4427" s="2721">
        <v>1</v>
      </c>
      <c r="F4427" s="293"/>
      <c r="G4427" s="308" t="s">
        <v>4181</v>
      </c>
      <c r="H4427" s="309">
        <v>418369.59</v>
      </c>
      <c r="I4427" s="422"/>
      <c r="J4427" s="309">
        <f>H4427+I4427</f>
        <v>418369.59</v>
      </c>
      <c r="K4427" s="320"/>
      <c r="L4427" s="309"/>
      <c r="M4427" s="346">
        <f>J4427+K4427-L4427</f>
        <v>418369.59</v>
      </c>
      <c r="N4427" s="439"/>
      <c r="O4427" s="437"/>
      <c r="P4427" s="438"/>
      <c r="Q4427" s="442"/>
      <c r="R4427" s="443"/>
      <c r="S4427" s="364"/>
      <c r="Z4427" s="609" t="s">
        <v>4178</v>
      </c>
      <c r="AA4427" s="609" t="s">
        <v>4179</v>
      </c>
    </row>
    <row r="4428" spans="1:27" ht="18">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7"/>
        <v>1</v>
      </c>
      <c r="E4435" s="2721" t="s">
        <v>2751</v>
      </c>
      <c r="F4435" s="293"/>
      <c r="G4435" s="2234" t="s">
        <v>2752</v>
      </c>
      <c r="H4435" s="2325">
        <f t="shared" ref="H4435:M4435" si="500">SUMPRODUCT($E4426:$E4434,H4426:H4434)</f>
        <v>418369.59</v>
      </c>
      <c r="I4435" s="2325">
        <f t="shared" si="500"/>
        <v>0</v>
      </c>
      <c r="J4435" s="2325">
        <f t="shared" si="500"/>
        <v>418369.59</v>
      </c>
      <c r="K4435" s="2325">
        <f t="shared" si="500"/>
        <v>0</v>
      </c>
      <c r="L4435" s="2325">
        <f t="shared" si="500"/>
        <v>0</v>
      </c>
      <c r="M4435" s="2342">
        <f t="shared" si="500"/>
        <v>418369.59</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6613</v>
      </c>
      <c r="F4437" s="294"/>
      <c r="G4437" s="307" t="str">
        <f>"("&amp;B4437&amp;")"&amp;D4437</f>
        <v>(2)盈余公积变动情况</v>
      </c>
      <c r="H4437" s="1517" t="str">
        <f>$A4437</f>
        <v>4101a</v>
      </c>
      <c r="I4437" s="343" t="s">
        <v>6616</v>
      </c>
      <c r="J4437" s="301" t="s">
        <v>6614</v>
      </c>
      <c r="K4437" s="344">
        <f>K4446</f>
        <v>0</v>
      </c>
      <c r="L4437" s="345" t="str">
        <f>IF($I4437="适用",IF(ROUND(K4423-K4437,2)=0,"F/S",ROUND(K4423-K4437,2)),"#N/A")</f>
        <v>#N/A</v>
      </c>
      <c r="M4437" s="301" t="s">
        <v>6618</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6305</v>
      </c>
      <c r="J4438" s="371" t="s">
        <v>6306</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6144</v>
      </c>
      <c r="I4439" s="2434" t="s">
        <v>3027</v>
      </c>
      <c r="J4439" s="2434" t="s">
        <v>3028</v>
      </c>
      <c r="K4439" s="2572" t="s">
        <v>6145</v>
      </c>
      <c r="L4439" s="2452" t="s">
        <v>5990</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1382585.97</v>
      </c>
      <c r="L4456" s="342"/>
      <c r="M4456" s="306" t="s">
        <v>2741</v>
      </c>
      <c r="N4456" s="341">
        <f>VLOOKUP($A4456,Sheet_Trialbal,10,0)</f>
        <v>3765326.31</v>
      </c>
      <c r="O4456" s="306"/>
      <c r="P4456" s="301"/>
      <c r="S4456" s="364"/>
      <c r="Z4456" s="609" t="s">
        <v>4188</v>
      </c>
      <c r="AA4456" s="609" t="s">
        <v>5702</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1382585.97</v>
      </c>
      <c r="L4457" s="345" t="str">
        <f>IF($I4457="适用",IF(ROUND(K4456-K4457,2)=0,"F/S",ROUND(K4456-K4457,2)),"#N/A")</f>
        <v>F/S</v>
      </c>
      <c r="M4457" s="301" t="s">
        <v>2745</v>
      </c>
      <c r="N4457" s="2210">
        <f>I4472</f>
        <v>3765326.31</v>
      </c>
      <c r="O4457" s="345" t="str">
        <f>IF($I4457="适用",IF(ROUND(N4456-N4457,2)=0,"F/S",ROUND(N4456-N4457,2)),"#N/A")</f>
        <v>F/S</v>
      </c>
      <c r="P4457" s="301"/>
      <c r="Q4457" s="290" t="str">
        <f>IF($I4457="不适用","",IF(ROUND(SUM($H$4460:$J$4472),2)=0,"请输入",""))</f>
        <v/>
      </c>
      <c r="S4457" s="364"/>
      <c r="Z4457" s="609" t="s">
        <v>4188</v>
      </c>
      <c r="AA4457" s="609" t="s">
        <v>5702</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8">
      <c r="A4459" s="2714"/>
      <c r="B4459" s="371"/>
      <c r="C4459" s="371"/>
      <c r="D4459" s="371"/>
      <c r="E4459" s="2716" t="s">
        <v>2749</v>
      </c>
      <c r="F4459" s="294"/>
      <c r="G4459" s="410" t="s">
        <v>47</v>
      </c>
      <c r="H4459" s="1514" t="str">
        <f>$V$4</f>
        <v>2019年度</v>
      </c>
      <c r="I4459" s="1515" t="str">
        <f>$V$5</f>
        <v>2018年度</v>
      </c>
      <c r="J4459" s="355" t="s">
        <v>5325</v>
      </c>
      <c r="K4459" s="472"/>
      <c r="L4459" s="472"/>
      <c r="M4459" s="472"/>
      <c r="N4459" s="442"/>
      <c r="O4459" s="442"/>
      <c r="P4459" s="442"/>
      <c r="Q4459" s="442"/>
      <c r="R4459" s="443"/>
      <c r="S4459" s="364"/>
      <c r="Z4459" s="609" t="s">
        <v>4188</v>
      </c>
      <c r="AA4459" s="609" t="s">
        <v>5702</v>
      </c>
    </row>
    <row r="4460" spans="1:27" ht="18">
      <c r="A4460" s="2714"/>
      <c r="B4460" s="371">
        <v>101</v>
      </c>
      <c r="C4460" s="371"/>
      <c r="D4460" s="2716">
        <f t="shared" ref="D4460:D4472" si="503">IF(OR(G4460="*",G4460="",G4460=0),0,COUNTIF($G$4460:$G$4472,G4460))</f>
        <v>1</v>
      </c>
      <c r="E4460" s="2721">
        <v>1</v>
      </c>
      <c r="F4460" s="294"/>
      <c r="G4460" s="308" t="s">
        <v>4190</v>
      </c>
      <c r="H4460" s="309">
        <f>I4472</f>
        <v>3765326.31</v>
      </c>
      <c r="I4460" s="346">
        <v>1458106.88</v>
      </c>
      <c r="J4460" s="617"/>
      <c r="K4460" s="472"/>
      <c r="L4460" s="472"/>
      <c r="M4460" s="472"/>
      <c r="N4460" s="442"/>
      <c r="O4460" s="442"/>
      <c r="P4460" s="442"/>
      <c r="Q4460" s="442"/>
      <c r="R4460" s="443"/>
      <c r="S4460" s="364"/>
      <c r="Z4460" s="609" t="s">
        <v>4188</v>
      </c>
      <c r="AA4460" s="609" t="s">
        <v>5702</v>
      </c>
    </row>
    <row r="4461" spans="1:27" ht="24">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8">
      <c r="A4462" s="2714"/>
      <c r="B4462" s="371">
        <v>103</v>
      </c>
      <c r="C4462" s="371"/>
      <c r="D4462" s="2716">
        <f t="shared" si="503"/>
        <v>1</v>
      </c>
      <c r="E4462" s="2721">
        <v>0</v>
      </c>
      <c r="F4462" s="294"/>
      <c r="G4462" s="308" t="s">
        <v>4192</v>
      </c>
      <c r="H4462" s="320">
        <f>H4460+H4461</f>
        <v>3765326.31</v>
      </c>
      <c r="I4462" s="361">
        <f>I4460+I4461</f>
        <v>1458106.88</v>
      </c>
      <c r="J4462" s="617"/>
      <c r="K4462" s="472"/>
      <c r="L4462" s="472"/>
      <c r="M4462" s="472"/>
      <c r="N4462" s="442"/>
      <c r="O4462" s="442"/>
      <c r="P4462" s="442"/>
      <c r="Q4462" s="442"/>
      <c r="R4462" s="443"/>
      <c r="S4462" s="364"/>
      <c r="Z4462" s="609" t="s">
        <v>4188</v>
      </c>
      <c r="AA4462" s="609" t="s">
        <v>5702</v>
      </c>
    </row>
    <row r="4463" spans="1:27" ht="24">
      <c r="A4463" s="2714"/>
      <c r="B4463" s="371">
        <v>104</v>
      </c>
      <c r="C4463" s="371"/>
      <c r="D4463" s="2716">
        <f t="shared" si="503"/>
        <v>1</v>
      </c>
      <c r="E4463" s="2721">
        <v>1</v>
      </c>
      <c r="F4463" s="294"/>
      <c r="G4463" s="308" t="s">
        <v>4193</v>
      </c>
      <c r="H4463" s="309">
        <f>VLOOKUP(6811,Sheet_Trialbal,6,0)</f>
        <v>-2382740.34</v>
      </c>
      <c r="I4463" s="346">
        <f>VLOOKUP(6811,Sheet_Trialbal,10,0)</f>
        <v>2563577.15</v>
      </c>
      <c r="J4463" s="437"/>
      <c r="K4463" s="472"/>
      <c r="L4463" s="472"/>
      <c r="M4463" s="472"/>
      <c r="N4463" s="442"/>
      <c r="O4463" s="442"/>
      <c r="P4463" s="442"/>
      <c r="Q4463" s="442"/>
      <c r="R4463" s="443"/>
      <c r="S4463" s="364"/>
      <c r="Z4463" s="609" t="s">
        <v>4188</v>
      </c>
      <c r="AA4463" s="609" t="s">
        <v>5702</v>
      </c>
    </row>
    <row r="4464" spans="1:27" ht="18">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8">
      <c r="A4465" s="2714"/>
      <c r="B4465" s="371">
        <v>106</v>
      </c>
      <c r="C4465" s="371"/>
      <c r="D4465" s="2716">
        <f t="shared" si="503"/>
        <v>1</v>
      </c>
      <c r="E4465" s="2721">
        <v>-1</v>
      </c>
      <c r="F4465" s="294"/>
      <c r="G4465" s="308" t="s">
        <v>4194</v>
      </c>
      <c r="H4465" s="309"/>
      <c r="I4465" s="346">
        <v>256357.72</v>
      </c>
      <c r="J4465" s="437"/>
      <c r="K4465" s="472"/>
      <c r="L4465" s="472"/>
      <c r="M4465" s="472"/>
      <c r="N4465" s="442"/>
      <c r="O4465" s="442"/>
      <c r="P4465" s="442"/>
      <c r="Q4465" s="442"/>
      <c r="R4465" s="443"/>
      <c r="S4465" s="364"/>
      <c r="Z4465" s="609" t="s">
        <v>4188</v>
      </c>
      <c r="AA4465" s="609" t="s">
        <v>5702</v>
      </c>
    </row>
    <row r="4466" spans="1:27" ht="18">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8">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8">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8">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8">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8">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8.75" thickBot="1">
      <c r="A4472" s="2714"/>
      <c r="B4472" s="371"/>
      <c r="C4472" s="371"/>
      <c r="D4472" s="2716">
        <f t="shared" si="503"/>
        <v>1</v>
      </c>
      <c r="E4472" s="2721" t="s">
        <v>2751</v>
      </c>
      <c r="F4472" s="294"/>
      <c r="G4472" s="374" t="s">
        <v>4198</v>
      </c>
      <c r="H4472" s="375">
        <f>SUMPRODUCT($E4459:$E4471,H4459:H4471)</f>
        <v>1382585.97</v>
      </c>
      <c r="I4472" s="395">
        <f>SUMPRODUCT($E4459:$E4471,I4459:I4471)</f>
        <v>3765326.31</v>
      </c>
      <c r="J4472" s="437"/>
      <c r="K4472" s="472"/>
      <c r="L4472" s="472"/>
      <c r="M4472" s="472"/>
      <c r="N4472" s="442"/>
      <c r="O4472" s="442"/>
      <c r="P4472" s="442"/>
      <c r="Q4472" s="442"/>
      <c r="R4472" s="443"/>
      <c r="S4472" s="364"/>
      <c r="Z4472" s="609" t="s">
        <v>4188</v>
      </c>
      <c r="AA4472" s="609" t="s">
        <v>5702</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4">
      <c r="A4474" s="2714" t="s">
        <v>1824</v>
      </c>
      <c r="B4474" s="371">
        <v>2</v>
      </c>
      <c r="C4474" s="371"/>
      <c r="D4474" s="2716" t="str">
        <f>VLOOKUP($A4474,Sheet_NoteList,2,0)</f>
        <v>调整本期期初未分配利润明细情况</v>
      </c>
      <c r="E4474" s="2716" t="s">
        <v>6531</v>
      </c>
      <c r="F4474" s="294"/>
      <c r="G4474" s="372" t="str">
        <f>"("&amp;B4474&amp;")"&amp;D4474</f>
        <v>(2)调整本期期初未分配利润明细情况</v>
      </c>
      <c r="H4474" s="1517" t="str">
        <f>$A4474</f>
        <v>4200b</v>
      </c>
      <c r="I4474" s="343" t="s">
        <v>5980</v>
      </c>
      <c r="J4474" s="301" t="s">
        <v>5979</v>
      </c>
      <c r="K4474" s="2210">
        <f>H4483</f>
        <v>0</v>
      </c>
      <c r="L4474" s="345"/>
      <c r="M4474" s="301"/>
      <c r="N4474" s="3084"/>
      <c r="O4474" s="315"/>
      <c r="P4474" s="301"/>
      <c r="S4474" s="364"/>
      <c r="Z4474" s="609" t="s">
        <v>4188</v>
      </c>
      <c r="AA4474" s="609" t="s">
        <v>5702</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5702</v>
      </c>
    </row>
    <row r="4476" spans="1:27" ht="24">
      <c r="A4476" s="2714"/>
      <c r="B4476" s="371"/>
      <c r="C4476" s="371"/>
      <c r="D4476" s="371"/>
      <c r="E4476" s="586" t="s">
        <v>2749</v>
      </c>
      <c r="F4476" s="363"/>
      <c r="G4476" s="2435" t="s">
        <v>1826</v>
      </c>
      <c r="H4476" s="2436" t="s">
        <v>4201</v>
      </c>
      <c r="I4476" s="355" t="s">
        <v>6141</v>
      </c>
      <c r="J4476" s="291"/>
      <c r="K4476" s="291"/>
      <c r="L4476" s="291"/>
      <c r="S4476" s="364"/>
      <c r="Z4476" s="609" t="s">
        <v>4188</v>
      </c>
      <c r="AA4476" s="609" t="s">
        <v>5702</v>
      </c>
    </row>
    <row r="4477" spans="1:27" ht="24">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5702</v>
      </c>
    </row>
    <row r="4478" spans="1:27" ht="18">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5702</v>
      </c>
    </row>
    <row r="4479" spans="1:27" ht="18">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5702</v>
      </c>
    </row>
    <row r="4480" spans="1:27" ht="18">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5702</v>
      </c>
    </row>
    <row r="4481" spans="1:27" ht="18">
      <c r="A4481" s="2714"/>
      <c r="B4481" s="371">
        <v>105</v>
      </c>
      <c r="C4481" s="371"/>
      <c r="D4481" s="2716">
        <f t="shared" si="504"/>
        <v>1</v>
      </c>
      <c r="E4481" s="2721">
        <v>1</v>
      </c>
      <c r="F4481" s="294"/>
      <c r="G4481" s="1474" t="s">
        <v>6088</v>
      </c>
      <c r="H4481" s="2296"/>
      <c r="I4481" s="291"/>
      <c r="J4481" s="291"/>
      <c r="K4481" s="291"/>
      <c r="L4481" s="291"/>
      <c r="S4481" s="364"/>
      <c r="Z4481" s="609" t="s">
        <v>4188</v>
      </c>
      <c r="AA4481" s="609" t="s">
        <v>5702</v>
      </c>
    </row>
    <row r="4482" spans="1:27" ht="18">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5702</v>
      </c>
    </row>
    <row r="4483" spans="1:27" ht="18.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5702</v>
      </c>
    </row>
    <row r="4484" spans="1:27" ht="18">
      <c r="A4484" s="2714"/>
      <c r="B4484" s="371"/>
      <c r="C4484" s="371" t="s">
        <v>2755</v>
      </c>
      <c r="D4484" s="371"/>
      <c r="F4484" s="294"/>
      <c r="G4484" s="301"/>
      <c r="H4484" s="315"/>
      <c r="I4484" s="291"/>
      <c r="J4484" s="291"/>
      <c r="K4484" s="291"/>
      <c r="L4484" s="291"/>
      <c r="S4484" s="364"/>
      <c r="Z4484" s="609" t="s">
        <v>4188</v>
      </c>
      <c r="AA4484" s="609" t="s">
        <v>5702</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20266366.969999999</v>
      </c>
      <c r="L4486" s="541"/>
      <c r="M4486" s="540" t="s">
        <v>4207</v>
      </c>
      <c r="N4486" s="341">
        <f>VLOOKUP($A4486,Sheet_Trialbal,10,0)</f>
        <v>9961204.6999999993</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17540765.449999999</v>
      </c>
      <c r="L4487" s="541"/>
      <c r="M4487" s="540" t="s">
        <v>4207</v>
      </c>
      <c r="N4487" s="341">
        <f>VLOOKUP($A4487,Sheet_Trialbal,10,0)</f>
        <v>8620689.6300000008</v>
      </c>
      <c r="O4487" s="540"/>
      <c r="S4487" s="364"/>
      <c r="Z4487" s="609" t="s">
        <v>4209</v>
      </c>
      <c r="AA4487" s="609" t="s">
        <v>5703</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20266366.969999999</v>
      </c>
      <c r="L4488" s="349">
        <f>IF($I4488="适用",IF(ROUND(K$4485-K4488,2)=0,"F/S",ROUND(K$4485-K4488,2)),"#N/A")</f>
        <v>-20266366.969999999</v>
      </c>
      <c r="M4488" s="301" t="s">
        <v>4211</v>
      </c>
      <c r="N4488" s="2210">
        <f>I4496</f>
        <v>17540765.449999999</v>
      </c>
      <c r="O4488" s="349">
        <f>IF($I4488="适用",IF(ROUND(N$4485-N4488,2)=0,"F/S",ROUND(N$4485-N4488,2)),"#N/A")</f>
        <v>-17540765.449999999</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286" t="s">
        <v>2870</v>
      </c>
      <c r="H4491" s="3254" t="str">
        <f>$V$4</f>
        <v>2019年度</v>
      </c>
      <c r="I4491" s="3329"/>
      <c r="J4491" s="3254" t="str">
        <f>$V$5</f>
        <v>2018年度</v>
      </c>
      <c r="K4491" s="3330"/>
      <c r="L4491" s="355" t="s">
        <v>5326</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287"/>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f>H4502</f>
        <v>20266366.969999999</v>
      </c>
      <c r="I4493" s="1476">
        <f>H4511</f>
        <v>17540765.449999999</v>
      </c>
      <c r="J4493" s="1476">
        <f>I4502</f>
        <v>9961204.6999999993</v>
      </c>
      <c r="K4493" s="1477">
        <f>I4511</f>
        <v>8620689.6300000008</v>
      </c>
      <c r="L4493" s="355" t="s">
        <v>5359</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5359</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20266366.969999999</v>
      </c>
      <c r="I4496" s="1478">
        <f>SUMPRODUCT($E4492:$E4495,I4492:I4495)</f>
        <v>17540765.449999999</v>
      </c>
      <c r="J4496" s="1478">
        <f>SUMPRODUCT($E4492:$E4495,J4492:J4495)</f>
        <v>9961204.6999999993</v>
      </c>
      <c r="K4496" s="1479">
        <f>SUMPRODUCT($E4492:$E4495,K4492:K4495)</f>
        <v>8620689.6300000008</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20266366.969999999</v>
      </c>
      <c r="L4498" s="345" t="str">
        <f>IF($I4498="适用",IF(ROUND(K$4486-K4498,2)=0,"F/S",ROUND(K$4486-K4498,2)),"#N/A")</f>
        <v>F/S</v>
      </c>
      <c r="M4498" s="301" t="s">
        <v>4211</v>
      </c>
      <c r="N4498" s="2210">
        <f>I4505</f>
        <v>9961204.6999999993</v>
      </c>
      <c r="O4498" s="345" t="str">
        <f>IF($I4498="适用",IF(ROUND(N$4486-N4498,2)=0,"F/S",ROUND(N$4486-N4498,2)),"#N/A")</f>
        <v>F/S</v>
      </c>
      <c r="P4498" s="301"/>
      <c r="Q4498" s="290" t="str">
        <f>IF($I4498="不适用","",IF(ROUND(SUM($H$4501:$I$4505),2)=0,"请输入",""))</f>
        <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20266366.969999999</v>
      </c>
      <c r="I4501" s="1477">
        <f>SUM(I4502:I4504)</f>
        <v>9961204.6999999993</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v>20266366.969999999</v>
      </c>
      <c r="I4502" s="2296">
        <v>9961204.6999999993</v>
      </c>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6573</v>
      </c>
    </row>
    <row r="4503" spans="1:29" ht="18">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20266366.969999999</v>
      </c>
      <c r="I4505" s="1479">
        <f>SUMPRODUCT($E4500:$E4504,I4500:I4504)</f>
        <v>9961204.6999999993</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17540765.449999999</v>
      </c>
      <c r="L4507" s="345" t="str">
        <f>IF($I4507="适用",IF(ROUND(K$4487-K4507,2)=0,"F/S",ROUND(K$4487-K4507,2)),"#N/A")</f>
        <v>F/S</v>
      </c>
      <c r="M4507" s="301" t="s">
        <v>4211</v>
      </c>
      <c r="N4507" s="2210">
        <f>I4514</f>
        <v>8620689.6300000008</v>
      </c>
      <c r="O4507" s="345" t="str">
        <f>IF($I4507="适用",IF(ROUND(N$4487-N4507,2)=0,"F/S",ROUND(N$4487-N4507,2)),"#N/A")</f>
        <v>F/S</v>
      </c>
      <c r="P4507" s="301"/>
      <c r="Q4507" s="290" t="str">
        <f>IF($I4507="不适用","",IF(ROUND(SUM($H$4510:$I$4514),2)=0,"请输入",""))</f>
        <v/>
      </c>
      <c r="S4507" s="364"/>
      <c r="Z4507" s="609" t="s">
        <v>4221</v>
      </c>
      <c r="AA4507" s="609" t="s">
        <v>5703</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5703</v>
      </c>
    </row>
    <row r="4510" spans="1:29" ht="18">
      <c r="A4510" s="2714"/>
      <c r="B4510" s="371">
        <v>101</v>
      </c>
      <c r="C4510" s="371"/>
      <c r="D4510" s="2716">
        <f>IF(OR(G4510="*",G4510="",G4510=0),0,COUNTIF($G$4510:$G$4514,G4510))</f>
        <v>1</v>
      </c>
      <c r="E4510" s="2721">
        <v>0</v>
      </c>
      <c r="F4510" s="294"/>
      <c r="G4510" s="1474" t="s">
        <v>671</v>
      </c>
      <c r="H4510" s="1476">
        <f>SUM(H4511:H4513)</f>
        <v>17540765.449999999</v>
      </c>
      <c r="I4510" s="1477">
        <f>SUM(I4511:I4513)</f>
        <v>8620689.6300000008</v>
      </c>
      <c r="J4510" s="291"/>
      <c r="K4510" s="291"/>
      <c r="L4510" s="291"/>
      <c r="M4510" s="291"/>
      <c r="S4510" s="364"/>
      <c r="Z4510" s="609" t="s">
        <v>4221</v>
      </c>
      <c r="AA4510" s="609" t="s">
        <v>5703</v>
      </c>
    </row>
    <row r="4511" spans="1:29" ht="18">
      <c r="A4511" s="2714"/>
      <c r="B4511" s="371">
        <v>102</v>
      </c>
      <c r="C4511" s="371"/>
      <c r="D4511" s="2716">
        <f>IF(OR(G4511="*",G4511="",G4511=0),0,COUNTIF($G$4510:$G$4514,G4511))</f>
        <v>1</v>
      </c>
      <c r="E4511" s="2721">
        <v>1</v>
      </c>
      <c r="F4511" s="294"/>
      <c r="G4511" s="1474" t="s">
        <v>4228</v>
      </c>
      <c r="H4511" s="2275">
        <v>17540765.449999999</v>
      </c>
      <c r="I4511" s="2296">
        <v>8620689.6300000008</v>
      </c>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6573</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5703</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5703</v>
      </c>
    </row>
    <row r="4514" spans="1:27" ht="18.75" thickBot="1">
      <c r="A4514" s="2714"/>
      <c r="B4514" s="371"/>
      <c r="C4514" s="371"/>
      <c r="D4514" s="2716">
        <f>IF(OR(G4514="*",G4514="",G4514=0),0,COUNTIF($G$4510:$G$4514,G4514))</f>
        <v>1</v>
      </c>
      <c r="E4514" s="2721" t="s">
        <v>2751</v>
      </c>
      <c r="F4514" s="294"/>
      <c r="G4514" s="374" t="s">
        <v>2752</v>
      </c>
      <c r="H4514" s="1478">
        <f>SUMPRODUCT($E4509:$E4513,H4509:H4513)</f>
        <v>17540765.449999999</v>
      </c>
      <c r="I4514" s="1479">
        <f>SUMPRODUCT($E4509:$E4513,I4509:I4513)</f>
        <v>8620689.6300000008</v>
      </c>
      <c r="J4514" s="291"/>
      <c r="K4514" s="291"/>
      <c r="L4514" s="291"/>
      <c r="M4514" s="291"/>
      <c r="S4514" s="364"/>
      <c r="Z4514" s="609" t="s">
        <v>4221</v>
      </c>
      <c r="AA4514" s="609" t="s">
        <v>5703</v>
      </c>
    </row>
    <row r="4515" spans="1:27" ht="18">
      <c r="A4515" s="2714"/>
      <c r="B4515" s="371"/>
      <c r="C4515" s="371" t="s">
        <v>2755</v>
      </c>
      <c r="D4515" s="371"/>
      <c r="F4515" s="294"/>
      <c r="G4515" s="301"/>
      <c r="H4515" s="315"/>
      <c r="I4515" s="315"/>
      <c r="J4515" s="291"/>
      <c r="K4515" s="291"/>
      <c r="L4515" s="291"/>
      <c r="M4515" s="291"/>
      <c r="S4515" s="364"/>
      <c r="Z4515" s="609" t="s">
        <v>4221</v>
      </c>
      <c r="AA4515" s="609" t="s">
        <v>5703</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2725601.52</v>
      </c>
      <c r="L4516" s="345" t="str">
        <f>IF($I4516="适用",IF(ROUND(H$4502-H$4511-K4516,2)=0,"F/S",ROUND(H$4502-H$4511-K4516,2)),"#N/A")</f>
        <v>F/S</v>
      </c>
      <c r="M4516" s="301" t="s">
        <v>4211</v>
      </c>
      <c r="N4516" s="2210">
        <f>J4531-K4531</f>
        <v>1340515.07</v>
      </c>
      <c r="O4516" s="345" t="str">
        <f>IF($I4516="适用",IF(ROUND(I$4502-I$4511-N4516,2)=0,"F/S",ROUND(I$4502-I$4511-N4516,2)),"#N/A")</f>
        <v>F/S</v>
      </c>
      <c r="P4516" s="301"/>
      <c r="Q4516" s="290" t="str">
        <f>IF($I4516="不适用","",IF(ROUND(SUM($H$4521:$K$4531),2)=0,"请输入",""))</f>
        <v/>
      </c>
      <c r="S4516" s="364"/>
      <c r="Z4516" s="609" t="s">
        <v>4221</v>
      </c>
      <c r="AA4516" s="609" t="s">
        <v>6577</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6577</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6577</v>
      </c>
    </row>
    <row r="4519" spans="1:27" ht="18">
      <c r="A4519" s="2714"/>
      <c r="B4519" s="371"/>
      <c r="C4519" s="371"/>
      <c r="D4519" s="371"/>
      <c r="E4519" s="586" t="s">
        <v>2749</v>
      </c>
      <c r="F4519" s="363"/>
      <c r="G4519" s="3293" t="s">
        <v>6089</v>
      </c>
      <c r="H4519" s="3236" t="str">
        <f>$V$4</f>
        <v>2019年度</v>
      </c>
      <c r="I4519" s="3273"/>
      <c r="J4519" s="3236" t="str">
        <f>$V$5</f>
        <v>2018年度</v>
      </c>
      <c r="K4519" s="3311"/>
      <c r="L4519" s="355" t="s">
        <v>5326</v>
      </c>
      <c r="M4519" s="291"/>
      <c r="N4519" s="291"/>
      <c r="O4519" s="291"/>
      <c r="S4519" s="364"/>
      <c r="Z4519" s="609" t="s">
        <v>4221</v>
      </c>
      <c r="AA4519" s="609" t="s">
        <v>6577</v>
      </c>
    </row>
    <row r="4520" spans="1:27" ht="18">
      <c r="A4520" s="2714"/>
      <c r="B4520" s="371"/>
      <c r="C4520" s="371"/>
      <c r="D4520" s="371"/>
      <c r="E4520" s="586" t="s">
        <v>2749</v>
      </c>
      <c r="F4520" s="363"/>
      <c r="G4520" s="3294"/>
      <c r="H4520" s="2443" t="s">
        <v>4218</v>
      </c>
      <c r="I4520" s="2443" t="s">
        <v>3411</v>
      </c>
      <c r="J4520" s="2443" t="s">
        <v>4218</v>
      </c>
      <c r="K4520" s="2450" t="s">
        <v>3411</v>
      </c>
      <c r="L4520" s="291"/>
      <c r="M4520" s="291"/>
      <c r="N4520" s="291"/>
      <c r="O4520" s="291"/>
      <c r="S4520" s="364"/>
      <c r="Z4520" s="609" t="s">
        <v>4221</v>
      </c>
      <c r="AA4520" s="609" t="s">
        <v>6577</v>
      </c>
    </row>
    <row r="4521" spans="1:27" ht="18">
      <c r="A4521" s="2714"/>
      <c r="B4521" s="371">
        <v>101</v>
      </c>
      <c r="C4521" s="371" t="s">
        <v>2791</v>
      </c>
      <c r="D4521" s="2716">
        <f t="shared" ref="D4521:D4531" si="505">IF(OR(G4521="*",G4521="",G4521=0),0,COUNTIF($G$4521:$G$4531,G4521))</f>
        <v>1</v>
      </c>
      <c r="E4521" s="2721">
        <v>1</v>
      </c>
      <c r="F4521" s="294"/>
      <c r="G4521" s="2448" t="s">
        <v>6904</v>
      </c>
      <c r="H4521" s="2275">
        <v>2707547.18</v>
      </c>
      <c r="I4521" s="2275"/>
      <c r="J4521" s="2275">
        <v>1273584.8799999999</v>
      </c>
      <c r="K4521" s="2296"/>
      <c r="L4521" s="291"/>
      <c r="M4521" s="291"/>
      <c r="N4521" s="291"/>
      <c r="O4521" s="291"/>
      <c r="S4521" s="364"/>
      <c r="Z4521" s="609" t="s">
        <v>4221</v>
      </c>
      <c r="AA4521" s="609" t="s">
        <v>6577</v>
      </c>
    </row>
    <row r="4522" spans="1:27" ht="18">
      <c r="A4522" s="2714"/>
      <c r="B4522" s="371">
        <v>102</v>
      </c>
      <c r="C4522" s="371" t="s">
        <v>2791</v>
      </c>
      <c r="D4522" s="2716">
        <f t="shared" si="505"/>
        <v>1</v>
      </c>
      <c r="E4522" s="2721">
        <v>1</v>
      </c>
      <c r="F4522" s="294"/>
      <c r="G4522" s="2448" t="s">
        <v>6944</v>
      </c>
      <c r="H4522" s="2275">
        <v>17558819.789999999</v>
      </c>
      <c r="I4522" s="2275">
        <v>17540765.449999999</v>
      </c>
      <c r="J4522" s="2275">
        <v>8687619.8200000003</v>
      </c>
      <c r="K4522" s="2296">
        <v>8620689.6300000008</v>
      </c>
      <c r="L4522" s="291"/>
      <c r="M4522" s="291"/>
      <c r="N4522" s="291"/>
      <c r="O4522" s="291"/>
      <c r="S4522" s="364"/>
      <c r="Z4522" s="609" t="s">
        <v>4221</v>
      </c>
      <c r="AA4522" s="609" t="s">
        <v>6577</v>
      </c>
    </row>
    <row r="4523" spans="1:27" ht="18">
      <c r="A4523" s="2714"/>
      <c r="B4523" s="371">
        <v>103</v>
      </c>
      <c r="C4523" s="371" t="s">
        <v>2791</v>
      </c>
      <c r="D4523" s="2716">
        <f t="shared" si="505"/>
        <v>0</v>
      </c>
      <c r="E4523" s="2721">
        <v>1</v>
      </c>
      <c r="F4523" s="294"/>
      <c r="G4523" s="2448" t="s">
        <v>2792</v>
      </c>
      <c r="H4523" s="2275"/>
      <c r="I4523" s="2275"/>
      <c r="J4523" s="2275"/>
      <c r="K4523" s="2296"/>
      <c r="L4523" s="291"/>
      <c r="M4523" s="291"/>
      <c r="N4523" s="291"/>
      <c r="O4523" s="291"/>
      <c r="S4523" s="364"/>
      <c r="Z4523" s="609" t="s">
        <v>4221</v>
      </c>
      <c r="AA4523" s="609" t="s">
        <v>6577</v>
      </c>
    </row>
    <row r="4524" spans="1:27" ht="18">
      <c r="A4524" s="2714"/>
      <c r="B4524" s="371">
        <v>104</v>
      </c>
      <c r="C4524" s="371" t="s">
        <v>2791</v>
      </c>
      <c r="D4524" s="2716">
        <f t="shared" si="505"/>
        <v>0</v>
      </c>
      <c r="E4524" s="2721">
        <v>1</v>
      </c>
      <c r="F4524" s="294"/>
      <c r="G4524" s="2448" t="s">
        <v>2792</v>
      </c>
      <c r="H4524" s="2275"/>
      <c r="I4524" s="2275"/>
      <c r="J4524" s="2275"/>
      <c r="K4524" s="2296"/>
      <c r="L4524" s="291"/>
      <c r="M4524" s="291"/>
      <c r="N4524" s="291"/>
      <c r="O4524" s="291"/>
      <c r="S4524" s="364"/>
      <c r="Z4524" s="609" t="s">
        <v>4221</v>
      </c>
      <c r="AA4524" s="609" t="s">
        <v>6577</v>
      </c>
    </row>
    <row r="4525" spans="1:27" ht="18">
      <c r="A4525" s="2714"/>
      <c r="B4525" s="371">
        <v>105</v>
      </c>
      <c r="C4525" s="371" t="s">
        <v>2791</v>
      </c>
      <c r="D4525" s="2716">
        <f t="shared" si="505"/>
        <v>0</v>
      </c>
      <c r="E4525" s="2721">
        <v>1</v>
      </c>
      <c r="F4525" s="294"/>
      <c r="G4525" s="2448" t="s">
        <v>2792</v>
      </c>
      <c r="H4525" s="2275"/>
      <c r="I4525" s="2275"/>
      <c r="J4525" s="2275"/>
      <c r="K4525" s="2296"/>
      <c r="L4525" s="291"/>
      <c r="M4525" s="291"/>
      <c r="N4525" s="291"/>
      <c r="O4525" s="291"/>
      <c r="S4525" s="364"/>
      <c r="Z4525" s="609" t="s">
        <v>4221</v>
      </c>
      <c r="AA4525" s="609" t="s">
        <v>6577</v>
      </c>
    </row>
    <row r="4526" spans="1:27" ht="18">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6577</v>
      </c>
    </row>
    <row r="4527" spans="1:27" ht="18">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6577</v>
      </c>
    </row>
    <row r="4528" spans="1:27" ht="18">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6577</v>
      </c>
    </row>
    <row r="4529" spans="1:27" ht="18">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6577</v>
      </c>
    </row>
    <row r="4530" spans="1:27" ht="18">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6577</v>
      </c>
    </row>
    <row r="4531" spans="1:27" ht="18.75" thickBot="1">
      <c r="A4531" s="2714"/>
      <c r="B4531" s="371"/>
      <c r="C4531" s="371"/>
      <c r="D4531" s="2716">
        <f t="shared" si="505"/>
        <v>1</v>
      </c>
      <c r="E4531" s="2721" t="s">
        <v>2751</v>
      </c>
      <c r="F4531" s="294"/>
      <c r="G4531" s="2234" t="s">
        <v>2752</v>
      </c>
      <c r="H4531" s="2235">
        <f>SUMPRODUCT($E4520:$E4530,H4520:H4530)</f>
        <v>20266366.969999999</v>
      </c>
      <c r="I4531" s="2235">
        <f>SUMPRODUCT($E4520:$E4530,I4520:I4530)</f>
        <v>17540765.449999999</v>
      </c>
      <c r="J4531" s="2235">
        <f>SUMPRODUCT($E4520:$E4530,J4520:J4530)</f>
        <v>9961204.6999999993</v>
      </c>
      <c r="K4531" s="2236">
        <f>SUMPRODUCT($E4520:$E4530,K4520:K4530)</f>
        <v>8620689.6300000008</v>
      </c>
      <c r="L4531" s="291"/>
      <c r="M4531" s="291"/>
      <c r="N4531" s="291"/>
      <c r="O4531" s="291"/>
      <c r="S4531" s="364"/>
      <c r="Z4531" s="609" t="s">
        <v>4221</v>
      </c>
      <c r="AA4531" s="609" t="s">
        <v>6577</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6577</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6577</v>
      </c>
    </row>
    <row r="4534" spans="1:27" ht="18">
      <c r="A4534" s="2714"/>
      <c r="B4534" s="371"/>
      <c r="C4534" s="371" t="s">
        <v>2565</v>
      </c>
      <c r="D4534" s="371"/>
      <c r="F4534" s="294"/>
      <c r="G4534" s="316" t="str">
        <f>$G$4502</f>
        <v>其中：主营业务收入</v>
      </c>
      <c r="H4534" s="2252">
        <f ca="1">HYPERLINK("#'"&amp;$G$1&amp;"'!"&amp;ADDRESS(ROW(Notes!H4502),COLUMN(Notes!H4502),4),$H$4502)</f>
        <v>20266366.969999999</v>
      </c>
      <c r="I4534" s="2252">
        <f ca="1">HYPERLINK("#'"&amp;$G$1&amp;"'!"&amp;ADDRESS(ROW(Notes!H4511),COLUMN(Notes!H4511),4),$H$4511)</f>
        <v>17540765.449999999</v>
      </c>
      <c r="J4534" s="2252">
        <f ca="1">HYPERLINK("#'"&amp;$G$1&amp;"'!"&amp;ADDRESS(ROW(Notes!I4502),COLUMN(Notes!I4502),4),$I$4502)</f>
        <v>9961204.6999999993</v>
      </c>
      <c r="K4534" s="2252">
        <f ca="1">HYPERLINK("#'"&amp;$G$1&amp;"'!"&amp;ADDRESS(ROW(Notes!I4511),COLUMN(Notes!I4511),4),$I$4511)</f>
        <v>8620689.6300000008</v>
      </c>
      <c r="L4534" s="291"/>
      <c r="M4534" s="291"/>
      <c r="N4534" s="291"/>
      <c r="O4534" s="291"/>
      <c r="S4534" s="364"/>
      <c r="Z4534" s="609" t="s">
        <v>4221</v>
      </c>
      <c r="AA4534" s="609" t="s">
        <v>6577</v>
      </c>
    </row>
    <row r="4535" spans="1:27" ht="18">
      <c r="A4535" s="2714"/>
      <c r="B4535" s="371"/>
      <c r="C4535" s="371" t="s">
        <v>2565</v>
      </c>
      <c r="D4535" s="371"/>
      <c r="F4535" s="294"/>
      <c r="G4535" s="316" t="s">
        <v>3003</v>
      </c>
      <c r="H4535" s="2252">
        <f ca="1">HYPERLINK("#'"&amp;$G$1&amp;"'!"&amp;ADDRESS(ROW(Notes!H4531),COLUMN(Notes!H4531),4),H4531)</f>
        <v>20266366.969999999</v>
      </c>
      <c r="I4535" s="2252">
        <f ca="1">HYPERLINK("#'"&amp;$G$1&amp;"'!"&amp;ADDRESS(ROW(Notes!I4531),COLUMN(Notes!I4531),4),I4531)</f>
        <v>17540765.449999999</v>
      </c>
      <c r="J4535" s="2252">
        <f ca="1">HYPERLINK("#'"&amp;$G$1&amp;"'!"&amp;ADDRESS(ROW(Notes!J4531),COLUMN(Notes!J4531),4),J4531)</f>
        <v>9961204.6999999993</v>
      </c>
      <c r="K4535" s="2252">
        <f ca="1">HYPERLINK("#'"&amp;$G$1&amp;"'!"&amp;ADDRESS(ROW(Notes!K4531),COLUMN(Notes!K4531),4),K4531)</f>
        <v>8620689.6300000008</v>
      </c>
      <c r="L4535" s="291"/>
      <c r="M4535" s="291"/>
      <c r="N4535" s="291"/>
      <c r="O4535" s="291"/>
      <c r="S4535" s="364"/>
      <c r="Z4535" s="609" t="s">
        <v>4221</v>
      </c>
      <c r="AA4535" s="609" t="s">
        <v>6577</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6577</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6577</v>
      </c>
    </row>
    <row r="4538" spans="1:27" ht="18">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6577</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6577</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0</v>
      </c>
      <c r="L4540" s="345">
        <f>IF($I4540="适用",IF(ROUND(H$4502-H$4511-K4540,2)=0,"F/S",ROUND(H$4502-H$4511-K4540,2)),"#N/A")</f>
        <v>2725601.52</v>
      </c>
      <c r="M4540" s="301" t="s">
        <v>4211</v>
      </c>
      <c r="N4540" s="2210">
        <f>J4554-K4554</f>
        <v>0</v>
      </c>
      <c r="O4540" s="345">
        <f>IF($I4540="适用",IF(ROUND(I$4502-I$4511-N4540,2)=0,"F/S",ROUND(I$4502-I$4511-N4540,2)),"#N/A")</f>
        <v>1340515.07</v>
      </c>
      <c r="P4540" s="301"/>
      <c r="Q4540" s="290" t="str">
        <f>IF($I4540="不适用","",IF(ROUND(SUM($H$4545:$K$4554),2)=0,"请输入",""))</f>
        <v>请输入</v>
      </c>
      <c r="S4540" s="364"/>
      <c r="Z4540" s="609" t="s">
        <v>4221</v>
      </c>
      <c r="AA4540" s="609" t="s">
        <v>6577</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6577</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6577</v>
      </c>
    </row>
    <row r="4543" spans="1:27" ht="18">
      <c r="A4543" s="2714"/>
      <c r="B4543" s="371"/>
      <c r="C4543" s="371"/>
      <c r="D4543" s="371"/>
      <c r="E4543" s="586" t="s">
        <v>2749</v>
      </c>
      <c r="F4543" s="363"/>
      <c r="G4543" s="3293" t="s">
        <v>1861</v>
      </c>
      <c r="H4543" s="3236" t="str">
        <f>$V$4</f>
        <v>2019年度</v>
      </c>
      <c r="I4543" s="3273"/>
      <c r="J4543" s="3236" t="str">
        <f>$V$5</f>
        <v>2018年度</v>
      </c>
      <c r="K4543" s="3311"/>
      <c r="L4543" s="355" t="s">
        <v>5326</v>
      </c>
      <c r="M4543" s="291"/>
      <c r="N4543" s="291"/>
      <c r="O4543" s="291"/>
      <c r="S4543" s="364"/>
      <c r="Z4543" s="609" t="s">
        <v>4221</v>
      </c>
      <c r="AA4543" s="609" t="s">
        <v>6577</v>
      </c>
    </row>
    <row r="4544" spans="1:27" ht="18">
      <c r="A4544" s="2714"/>
      <c r="B4544" s="371"/>
      <c r="C4544" s="371"/>
      <c r="D4544" s="371"/>
      <c r="E4544" s="586" t="s">
        <v>2749</v>
      </c>
      <c r="F4544" s="363"/>
      <c r="G4544" s="3294"/>
      <c r="H4544" s="2443" t="s">
        <v>4218</v>
      </c>
      <c r="I4544" s="2443" t="s">
        <v>3411</v>
      </c>
      <c r="J4544" s="2443" t="s">
        <v>4218</v>
      </c>
      <c r="K4544" s="2450" t="s">
        <v>3411</v>
      </c>
      <c r="L4544" s="291"/>
      <c r="M4544" s="291"/>
      <c r="N4544" s="291"/>
      <c r="O4544" s="291"/>
      <c r="S4544" s="364"/>
      <c r="Z4544" s="609" t="s">
        <v>4221</v>
      </c>
      <c r="AA4544" s="609" t="s">
        <v>6577</v>
      </c>
    </row>
    <row r="4545" spans="1:27" ht="18">
      <c r="A4545" s="2714"/>
      <c r="B4545" s="371">
        <v>101</v>
      </c>
      <c r="C4545" s="371" t="s">
        <v>2791</v>
      </c>
      <c r="D4545" s="2716">
        <f t="shared" ref="D4545:D4554" si="506">IF(OR(G4545="*",G4545="",G4545=0),0,COUNTIF($G$4545:$G$4554,G4545))</f>
        <v>0</v>
      </c>
      <c r="E4545" s="2721">
        <v>1</v>
      </c>
      <c r="F4545" s="294"/>
      <c r="G4545" s="2448" t="s">
        <v>2792</v>
      </c>
      <c r="H4545" s="2275"/>
      <c r="I4545" s="2275"/>
      <c r="J4545" s="2275"/>
      <c r="K4545" s="2296"/>
      <c r="L4545" s="291"/>
      <c r="M4545" s="291"/>
      <c r="N4545" s="291"/>
      <c r="O4545" s="291"/>
      <c r="S4545" s="364"/>
      <c r="Z4545" s="609" t="s">
        <v>4221</v>
      </c>
      <c r="AA4545" s="609" t="s">
        <v>6577</v>
      </c>
    </row>
    <row r="4546" spans="1:27" ht="18">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6577</v>
      </c>
    </row>
    <row r="4547" spans="1:27" ht="18">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6577</v>
      </c>
    </row>
    <row r="4548" spans="1:27" ht="18">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6577</v>
      </c>
    </row>
    <row r="4549" spans="1:27" ht="18">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6577</v>
      </c>
    </row>
    <row r="4550" spans="1:27" ht="18">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6577</v>
      </c>
    </row>
    <row r="4551" spans="1:27" ht="18">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6577</v>
      </c>
    </row>
    <row r="4552" spans="1:27" ht="18">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6577</v>
      </c>
    </row>
    <row r="4553" spans="1:27" ht="18">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6577</v>
      </c>
    </row>
    <row r="4554" spans="1:27" ht="18.75" thickBot="1">
      <c r="A4554" s="2714"/>
      <c r="B4554" s="371"/>
      <c r="C4554" s="371"/>
      <c r="D4554" s="2716">
        <f t="shared" si="506"/>
        <v>1</v>
      </c>
      <c r="E4554" s="2721" t="s">
        <v>2751</v>
      </c>
      <c r="F4554" s="294"/>
      <c r="G4554" s="2234" t="s">
        <v>2752</v>
      </c>
      <c r="H4554" s="2235">
        <f>SUMPRODUCT($E4544:$E4553,H4544:H4553)</f>
        <v>0</v>
      </c>
      <c r="I4554" s="2235">
        <f>SUMPRODUCT($E4544:$E4553,I4544:I4553)</f>
        <v>0</v>
      </c>
      <c r="J4554" s="2235">
        <f>SUMPRODUCT($E4544:$E4553,J4544:J4553)</f>
        <v>0</v>
      </c>
      <c r="K4554" s="2236">
        <f>SUMPRODUCT($E4544:$E4553,K4544:K4553)</f>
        <v>0</v>
      </c>
      <c r="L4554" s="291"/>
      <c r="M4554" s="291"/>
      <c r="N4554" s="291"/>
      <c r="O4554" s="291"/>
      <c r="S4554" s="364"/>
      <c r="Z4554" s="609" t="s">
        <v>4221</v>
      </c>
      <c r="AA4554" s="609" t="s">
        <v>6577</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6577</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6577</v>
      </c>
    </row>
    <row r="4557" spans="1:27" ht="18">
      <c r="A4557" s="2714"/>
      <c r="B4557" s="371"/>
      <c r="C4557" s="371" t="s">
        <v>2565</v>
      </c>
      <c r="D4557" s="371"/>
      <c r="F4557" s="294"/>
      <c r="G4557" s="316" t="str">
        <f>$G$4502</f>
        <v>其中：主营业务收入</v>
      </c>
      <c r="H4557" s="2252">
        <f ca="1">HYPERLINK("#'"&amp;$G$1&amp;"'!"&amp;ADDRESS(ROW(Notes!H4502),COLUMN(Notes!H4502),4),$H$4502)</f>
        <v>20266366.969999999</v>
      </c>
      <c r="I4557" s="2252">
        <f ca="1">HYPERLINK("#'"&amp;$G$1&amp;"'!"&amp;ADDRESS(ROW(Notes!H4511),COLUMN(Notes!H4511),4),$H$4511)</f>
        <v>17540765.449999999</v>
      </c>
      <c r="J4557" s="2252">
        <f ca="1">HYPERLINK("#'"&amp;$G$1&amp;"'!"&amp;ADDRESS(ROW(Notes!I4502),COLUMN(Notes!I4502),4),$I$4502)</f>
        <v>9961204.6999999993</v>
      </c>
      <c r="K4557" s="2252">
        <f ca="1">HYPERLINK("#'"&amp;$G$1&amp;"'!"&amp;ADDRESS(ROW(Notes!I4511),COLUMN(Notes!I4511),4),$I$4511)</f>
        <v>8620689.6300000008</v>
      </c>
      <c r="L4557" s="291"/>
      <c r="M4557" s="291"/>
      <c r="N4557" s="291"/>
      <c r="O4557" s="291"/>
      <c r="S4557" s="364"/>
      <c r="Z4557" s="609" t="s">
        <v>4221</v>
      </c>
      <c r="AA4557" s="609" t="s">
        <v>6577</v>
      </c>
    </row>
    <row r="4558" spans="1:27" ht="18">
      <c r="A4558" s="2714"/>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6577</v>
      </c>
    </row>
    <row r="4559" spans="1:27" ht="18.75" thickBot="1">
      <c r="A4559" s="2714"/>
      <c r="B4559" s="371"/>
      <c r="C4559" s="371" t="s">
        <v>2565</v>
      </c>
      <c r="D4559" s="371"/>
      <c r="F4559" s="294"/>
      <c r="G4559" s="457" t="s">
        <v>2757</v>
      </c>
      <c r="H4559" s="458">
        <f ca="1">IF(AND(H4557="",H4558=""),"",ROUND(H4557-H4558,2))</f>
        <v>20266366.969999999</v>
      </c>
      <c r="I4559" s="458">
        <f ca="1">IF(AND(I4557="",I4558=""),"",ROUND(I4557-I4558,2))</f>
        <v>17540765.449999999</v>
      </c>
      <c r="J4559" s="458">
        <f ca="1">IF(AND(J4557="",J4558=""),"",ROUND(J4557-J4558,2))</f>
        <v>9961204.6999999993</v>
      </c>
      <c r="K4559" s="458">
        <f ca="1">IF(AND(K4557="",K4558=""),"",ROUND(K4557-K4558,2))</f>
        <v>8620689.6300000008</v>
      </c>
      <c r="L4559" s="291"/>
      <c r="M4559" s="291"/>
      <c r="N4559" s="291"/>
      <c r="O4559" s="291"/>
      <c r="S4559" s="364"/>
      <c r="Z4559" s="609" t="s">
        <v>4221</v>
      </c>
      <c r="AA4559" s="609" t="s">
        <v>6577</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6577</v>
      </c>
    </row>
    <row r="4561" spans="1:27" ht="18">
      <c r="A4561" s="2714"/>
      <c r="B4561" s="371"/>
      <c r="C4561" s="371" t="s">
        <v>2565</v>
      </c>
      <c r="D4561" s="371"/>
      <c r="F4561" s="294"/>
      <c r="G4561" s="460" t="s">
        <v>2759</v>
      </c>
      <c r="H4561" s="461"/>
      <c r="I4561" s="461"/>
      <c r="J4561" s="461"/>
      <c r="K4561" s="605">
        <f ca="1">SUMIF($H$4560:$K$4560,"&lt;&gt;√",$H$4559:$K$4559)</f>
        <v>56389026.75</v>
      </c>
      <c r="L4561" s="475" t="str">
        <f ca="1">IF(OR(K4561=0,K4561=""),"√","？")</f>
        <v>？</v>
      </c>
      <c r="M4561" s="291"/>
      <c r="N4561" s="291"/>
      <c r="O4561" s="291"/>
      <c r="S4561" s="364"/>
      <c r="Z4561" s="609" t="s">
        <v>4221</v>
      </c>
      <c r="AA4561" s="609" t="s">
        <v>6577</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6577</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0</v>
      </c>
      <c r="L4563" s="345">
        <f>IF($I4563="适用",IF(ROUND(H$4502-H$4511-K4563,2)=0,"F/S",ROUND(H$4502-H$4511-K4563,2)),"#N/A")</f>
        <v>2725601.52</v>
      </c>
      <c r="M4563" s="301" t="s">
        <v>4211</v>
      </c>
      <c r="N4563" s="2210">
        <f>J4573-K4573</f>
        <v>0</v>
      </c>
      <c r="O4563" s="345">
        <f>IF($I4563="适用",IF(ROUND(I$4502-I$4511-N4563,2)=0,"F/S",ROUND(I$4502-I$4511-N4563,2)),"#N/A")</f>
        <v>1340515.07</v>
      </c>
      <c r="P4563" s="301"/>
      <c r="Q4563" s="290" t="str">
        <f>IF($I4563="不适用","",IF(ROUND(SUM($H$4568:$K$4573),2)=0,"请输入",""))</f>
        <v>请输入</v>
      </c>
      <c r="S4563" s="364"/>
      <c r="Z4563" s="609" t="s">
        <v>4221</v>
      </c>
      <c r="AA4563" s="609" t="s">
        <v>6577</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6577</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6577</v>
      </c>
    </row>
    <row r="4566" spans="1:27" ht="18">
      <c r="A4566" s="2714"/>
      <c r="B4566" s="371"/>
      <c r="C4566" s="371"/>
      <c r="D4566" s="371"/>
      <c r="E4566" s="586" t="s">
        <v>2749</v>
      </c>
      <c r="F4566" s="363"/>
      <c r="G4566" s="3293" t="s">
        <v>1865</v>
      </c>
      <c r="H4566" s="3236" t="str">
        <f>$V$4</f>
        <v>2019年度</v>
      </c>
      <c r="I4566" s="3273"/>
      <c r="J4566" s="3236" t="str">
        <f>$V$5</f>
        <v>2018年度</v>
      </c>
      <c r="K4566" s="3311"/>
      <c r="L4566" s="355" t="s">
        <v>5326</v>
      </c>
      <c r="M4566" s="291"/>
      <c r="N4566" s="291"/>
      <c r="O4566" s="291"/>
      <c r="S4566" s="364"/>
      <c r="Z4566" s="609" t="s">
        <v>4221</v>
      </c>
      <c r="AA4566" s="609" t="s">
        <v>6577</v>
      </c>
    </row>
    <row r="4567" spans="1:27" ht="18">
      <c r="A4567" s="2714"/>
      <c r="B4567" s="371"/>
      <c r="C4567" s="371"/>
      <c r="D4567" s="371"/>
      <c r="E4567" s="586" t="s">
        <v>2749</v>
      </c>
      <c r="F4567" s="363"/>
      <c r="G4567" s="3294"/>
      <c r="H4567" s="2443" t="s">
        <v>4218</v>
      </c>
      <c r="I4567" s="2443" t="s">
        <v>3411</v>
      </c>
      <c r="J4567" s="2443" t="s">
        <v>4218</v>
      </c>
      <c r="K4567" s="2450" t="s">
        <v>3411</v>
      </c>
      <c r="L4567" s="291"/>
      <c r="M4567" s="291"/>
      <c r="N4567" s="291"/>
      <c r="O4567" s="291"/>
      <c r="S4567" s="364"/>
      <c r="Z4567" s="609" t="s">
        <v>4221</v>
      </c>
      <c r="AA4567" s="609" t="s">
        <v>6577</v>
      </c>
    </row>
    <row r="4568" spans="1:27" ht="18">
      <c r="A4568" s="2714"/>
      <c r="B4568" s="371">
        <v>101</v>
      </c>
      <c r="C4568" s="371" t="s">
        <v>2791</v>
      </c>
      <c r="D4568" s="2716">
        <f t="shared" ref="D4568:D4573" si="507">IF(OR(G4568="*",G4568="",G4568=0),0,COUNTIF($G$4568:$G$4573,G4568))</f>
        <v>0</v>
      </c>
      <c r="E4568" s="2721">
        <v>1</v>
      </c>
      <c r="F4568" s="294"/>
      <c r="G4568" s="2448" t="s">
        <v>2792</v>
      </c>
      <c r="H4568" s="2275"/>
      <c r="I4568" s="2275"/>
      <c r="J4568" s="2275"/>
      <c r="K4568" s="2296"/>
      <c r="L4568" s="291"/>
      <c r="M4568" s="291"/>
      <c r="N4568" s="291"/>
      <c r="O4568" s="291"/>
      <c r="S4568" s="364"/>
      <c r="Z4568" s="609" t="s">
        <v>4221</v>
      </c>
      <c r="AA4568" s="609" t="s">
        <v>6577</v>
      </c>
    </row>
    <row r="4569" spans="1:27" ht="18">
      <c r="A4569" s="2714"/>
      <c r="B4569" s="371">
        <v>102</v>
      </c>
      <c r="C4569" s="371" t="s">
        <v>2791</v>
      </c>
      <c r="D4569" s="2716">
        <f t="shared" si="507"/>
        <v>0</v>
      </c>
      <c r="E4569" s="2721">
        <v>1</v>
      </c>
      <c r="F4569" s="294"/>
      <c r="G4569" s="2448" t="s">
        <v>2792</v>
      </c>
      <c r="H4569" s="2275"/>
      <c r="I4569" s="2275"/>
      <c r="J4569" s="2275"/>
      <c r="K4569" s="2296"/>
      <c r="L4569" s="291"/>
      <c r="M4569" s="291"/>
      <c r="N4569" s="291"/>
      <c r="O4569" s="291"/>
      <c r="S4569" s="364"/>
      <c r="Z4569" s="609" t="s">
        <v>4221</v>
      </c>
      <c r="AA4569" s="609" t="s">
        <v>6577</v>
      </c>
    </row>
    <row r="4570" spans="1:27" ht="18">
      <c r="A4570" s="2714"/>
      <c r="B4570" s="371">
        <v>103</v>
      </c>
      <c r="C4570" s="371" t="s">
        <v>2791</v>
      </c>
      <c r="D4570" s="2716">
        <f t="shared" si="507"/>
        <v>0</v>
      </c>
      <c r="E4570" s="2721">
        <v>1</v>
      </c>
      <c r="F4570" s="294"/>
      <c r="G4570" s="2448" t="s">
        <v>2792</v>
      </c>
      <c r="H4570" s="2275"/>
      <c r="I4570" s="2275"/>
      <c r="J4570" s="2275"/>
      <c r="K4570" s="2296"/>
      <c r="L4570" s="291"/>
      <c r="M4570" s="291"/>
      <c r="N4570" s="291"/>
      <c r="O4570" s="291"/>
      <c r="S4570" s="364"/>
      <c r="Z4570" s="609" t="s">
        <v>4221</v>
      </c>
      <c r="AA4570" s="609" t="s">
        <v>6577</v>
      </c>
    </row>
    <row r="4571" spans="1:27" ht="18">
      <c r="A4571" s="2714"/>
      <c r="B4571" s="371">
        <v>104</v>
      </c>
      <c r="C4571" s="371" t="s">
        <v>2791</v>
      </c>
      <c r="D4571" s="2716">
        <f t="shared" si="507"/>
        <v>0</v>
      </c>
      <c r="E4571" s="2721">
        <v>1</v>
      </c>
      <c r="F4571" s="294"/>
      <c r="G4571" s="2448" t="s">
        <v>2792</v>
      </c>
      <c r="H4571" s="2275"/>
      <c r="I4571" s="2275"/>
      <c r="J4571" s="2275"/>
      <c r="K4571" s="2296"/>
      <c r="L4571" s="291"/>
      <c r="M4571" s="291"/>
      <c r="N4571" s="291"/>
      <c r="O4571" s="291"/>
      <c r="S4571" s="364"/>
      <c r="Z4571" s="609" t="s">
        <v>4221</v>
      </c>
      <c r="AA4571" s="609" t="s">
        <v>6577</v>
      </c>
    </row>
    <row r="4572" spans="1:27" ht="18">
      <c r="A4572" s="2714"/>
      <c r="B4572" s="371">
        <v>105</v>
      </c>
      <c r="C4572" s="371" t="s">
        <v>2791</v>
      </c>
      <c r="D4572" s="2716">
        <f t="shared" si="507"/>
        <v>0</v>
      </c>
      <c r="E4572" s="2721">
        <v>1</v>
      </c>
      <c r="F4572" s="294"/>
      <c r="G4572" s="2448" t="s">
        <v>2792</v>
      </c>
      <c r="H4572" s="2275"/>
      <c r="I4572" s="2275"/>
      <c r="J4572" s="2275"/>
      <c r="K4572" s="2296"/>
      <c r="L4572" s="291"/>
      <c r="M4572" s="291"/>
      <c r="N4572" s="291"/>
      <c r="O4572" s="291"/>
      <c r="S4572" s="364"/>
      <c r="Z4572" s="609" t="s">
        <v>4221</v>
      </c>
      <c r="AA4572" s="609" t="s">
        <v>6577</v>
      </c>
    </row>
    <row r="4573" spans="1:27" ht="18.75" thickBot="1">
      <c r="A4573" s="2714"/>
      <c r="B4573" s="371"/>
      <c r="C4573" s="371"/>
      <c r="D4573" s="2716">
        <f t="shared" si="507"/>
        <v>1</v>
      </c>
      <c r="E4573" s="2721" t="s">
        <v>2751</v>
      </c>
      <c r="F4573" s="294"/>
      <c r="G4573" s="2234" t="s">
        <v>2752</v>
      </c>
      <c r="H4573" s="2235">
        <f>SUMPRODUCT($E4567:$E4572,H4567:H4572)</f>
        <v>0</v>
      </c>
      <c r="I4573" s="2235">
        <f>SUMPRODUCT($E4567:$E4572,I4567:I4572)</f>
        <v>0</v>
      </c>
      <c r="J4573" s="2235">
        <f>SUMPRODUCT($E4567:$E4572,J4567:J4572)</f>
        <v>0</v>
      </c>
      <c r="K4573" s="2236">
        <f>SUMPRODUCT($E4567:$E4572,K4567:K4572)</f>
        <v>0</v>
      </c>
      <c r="L4573" s="291"/>
      <c r="M4573" s="291"/>
      <c r="N4573" s="291"/>
      <c r="O4573" s="291"/>
      <c r="S4573" s="364"/>
      <c r="Z4573" s="609" t="s">
        <v>4221</v>
      </c>
      <c r="AA4573" s="609" t="s">
        <v>6577</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6577</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6577</v>
      </c>
    </row>
    <row r="4576" spans="1:27" ht="18">
      <c r="A4576" s="2714"/>
      <c r="B4576" s="371"/>
      <c r="C4576" s="371" t="s">
        <v>2565</v>
      </c>
      <c r="D4576" s="371"/>
      <c r="F4576" s="294"/>
      <c r="G4576" s="316" t="str">
        <f>$G$4502</f>
        <v>其中：主营业务收入</v>
      </c>
      <c r="H4576" s="2252">
        <f ca="1">HYPERLINK("#'"&amp;$G$1&amp;"'!"&amp;ADDRESS(ROW(Notes!H4502),COLUMN(Notes!H4502),4),$H$4502)</f>
        <v>20266366.969999999</v>
      </c>
      <c r="I4576" s="2252">
        <f ca="1">HYPERLINK("#'"&amp;$G$1&amp;"'!"&amp;ADDRESS(ROW(Notes!H4511),COLUMN(Notes!H4511),4),$H$4511)</f>
        <v>17540765.449999999</v>
      </c>
      <c r="J4576" s="2252">
        <f ca="1">HYPERLINK("#'"&amp;$G$1&amp;"'!"&amp;ADDRESS(ROW(Notes!I4502),COLUMN(Notes!I4502),4),$I$4502)</f>
        <v>9961204.6999999993</v>
      </c>
      <c r="K4576" s="2252">
        <f ca="1">HYPERLINK("#'"&amp;$G$1&amp;"'!"&amp;ADDRESS(ROW(Notes!I4511),COLUMN(Notes!I4511),4),$I$4511)</f>
        <v>8620689.6300000008</v>
      </c>
      <c r="L4576" s="291"/>
      <c r="M4576" s="291"/>
      <c r="N4576" s="291"/>
      <c r="O4576" s="291"/>
      <c r="S4576" s="364"/>
      <c r="Z4576" s="609" t="s">
        <v>4221</v>
      </c>
      <c r="AA4576" s="609" t="s">
        <v>6577</v>
      </c>
    </row>
    <row r="4577" spans="1:27" ht="18">
      <c r="A4577" s="2714"/>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6577</v>
      </c>
    </row>
    <row r="4578" spans="1:27" ht="18.75" thickBot="1">
      <c r="A4578" s="2714"/>
      <c r="B4578" s="371"/>
      <c r="C4578" s="371" t="s">
        <v>2565</v>
      </c>
      <c r="D4578" s="371"/>
      <c r="F4578" s="294"/>
      <c r="G4578" s="457" t="s">
        <v>2757</v>
      </c>
      <c r="H4578" s="458">
        <f ca="1">IF(AND(H4576="",H4577=""),"",ROUND(H4576-H4577,2))</f>
        <v>20266366.969999999</v>
      </c>
      <c r="I4578" s="458">
        <f ca="1">IF(AND(I4576="",I4577=""),"",ROUND(I4576-I4577,2))</f>
        <v>17540765.449999999</v>
      </c>
      <c r="J4578" s="458">
        <f ca="1">IF(AND(J4576="",J4577=""),"",ROUND(J4576-J4577,2))</f>
        <v>9961204.6999999993</v>
      </c>
      <c r="K4578" s="458">
        <f ca="1">IF(AND(K4576="",K4577=""),"",ROUND(K4576-K4577,2))</f>
        <v>8620689.6300000008</v>
      </c>
      <c r="L4578" s="291"/>
      <c r="M4578" s="291"/>
      <c r="N4578" s="291"/>
      <c r="O4578" s="291"/>
      <c r="S4578" s="364"/>
      <c r="Z4578" s="609" t="s">
        <v>4221</v>
      </c>
      <c r="AA4578" s="609" t="s">
        <v>6577</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6577</v>
      </c>
    </row>
    <row r="4580" spans="1:27" ht="18">
      <c r="A4580" s="2714"/>
      <c r="B4580" s="371"/>
      <c r="C4580" s="371" t="s">
        <v>2565</v>
      </c>
      <c r="D4580" s="371"/>
      <c r="F4580" s="294"/>
      <c r="G4580" s="460" t="s">
        <v>2759</v>
      </c>
      <c r="H4580" s="461"/>
      <c r="I4580" s="461"/>
      <c r="J4580" s="461"/>
      <c r="K4580" s="605">
        <f ca="1">SUMIF($H$4579:$K$4579,"&lt;&gt;√",$H$4578:$K$4578)</f>
        <v>56389026.75</v>
      </c>
      <c r="L4580" s="475" t="str">
        <f ca="1">IF(OR(K4580=0,K4580=""),"√","？")</f>
        <v>？</v>
      </c>
      <c r="M4580" s="291"/>
      <c r="N4580" s="291"/>
      <c r="O4580" s="291"/>
      <c r="S4580" s="364"/>
      <c r="Z4580" s="609" t="s">
        <v>4221</v>
      </c>
      <c r="AA4580" s="609" t="s">
        <v>6577</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6577</v>
      </c>
    </row>
    <row r="4582" spans="1:27" ht="18">
      <c r="A4582" s="2714" t="s">
        <v>1868</v>
      </c>
      <c r="B4582" s="371">
        <v>6</v>
      </c>
      <c r="C4582" s="371"/>
      <c r="D4582" s="2716" t="str">
        <f>VLOOKUP($A4582,Sheet_NoteList,2,0)</f>
        <v>本期销售前十名情况</v>
      </c>
      <c r="E4582" s="2716" t="s">
        <v>6533</v>
      </c>
      <c r="F4582" s="294"/>
      <c r="G4582" s="597" t="str">
        <f>"("&amp;B4582&amp;")"&amp;D4582</f>
        <v>(6)本期销售前十名情况</v>
      </c>
      <c r="H4582" s="1517"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6141</v>
      </c>
      <c r="J4584" s="291"/>
      <c r="K4584" s="291"/>
      <c r="L4584" s="291"/>
      <c r="M4584" s="291"/>
      <c r="S4584" s="364"/>
      <c r="Z4584" s="609" t="s">
        <v>4221</v>
      </c>
      <c r="AA4584" s="609" t="s">
        <v>4212</v>
      </c>
    </row>
    <row r="4585" spans="1:27" ht="18">
      <c r="A4585" s="2714"/>
      <c r="B4585" s="371">
        <v>101</v>
      </c>
      <c r="C4585" s="371" t="s">
        <v>2791</v>
      </c>
      <c r="D4585" s="2716">
        <f t="shared" ref="D4585:D4595" si="508">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08"/>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08"/>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08"/>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08"/>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08"/>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08"/>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08"/>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08"/>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08"/>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08"/>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6531</v>
      </c>
      <c r="F4597" s="294"/>
      <c r="G4597" s="597" t="str">
        <f>"("&amp;B4597&amp;")"&amp;D4597</f>
        <v>(7)本期采购前十名情况</v>
      </c>
      <c r="H4597" s="1517"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8">
      <c r="A4599" s="2714"/>
      <c r="B4599" s="371"/>
      <c r="C4599" s="371"/>
      <c r="D4599" s="371"/>
      <c r="E4599" s="586" t="s">
        <v>2749</v>
      </c>
      <c r="F4599" s="363"/>
      <c r="G4599" s="2451" t="s">
        <v>1874</v>
      </c>
      <c r="H4599" s="2446" t="s">
        <v>4242</v>
      </c>
      <c r="I4599" s="355" t="s">
        <v>6141</v>
      </c>
      <c r="J4599" s="291"/>
      <c r="K4599" s="291"/>
      <c r="L4599" s="291"/>
      <c r="M4599" s="291"/>
      <c r="S4599" s="364"/>
      <c r="Z4599" s="609" t="s">
        <v>4221</v>
      </c>
      <c r="AA4599" s="609" t="s">
        <v>5703</v>
      </c>
    </row>
    <row r="4600" spans="1:27" ht="18">
      <c r="A4600" s="2714"/>
      <c r="B4600" s="371">
        <v>101</v>
      </c>
      <c r="C4600" s="371" t="s">
        <v>2791</v>
      </c>
      <c r="D4600" s="2716">
        <f t="shared" ref="D4600:D4610" si="509">IF(OR(G4600="*",G4600="",G4600=0),0,COUNTIF($G$4600:$G$4610,G4600))</f>
        <v>0</v>
      </c>
      <c r="E4600" s="2721">
        <v>1</v>
      </c>
      <c r="F4600" s="294"/>
      <c r="G4600" s="2448" t="s">
        <v>2792</v>
      </c>
      <c r="H4600" s="2296"/>
      <c r="I4600" s="579"/>
      <c r="J4600" s="291"/>
      <c r="K4600" s="291"/>
      <c r="L4600" s="291"/>
      <c r="M4600" s="291"/>
      <c r="S4600" s="364"/>
      <c r="Z4600" s="609" t="s">
        <v>4221</v>
      </c>
      <c r="AA4600" s="609" t="s">
        <v>5703</v>
      </c>
    </row>
    <row r="4601" spans="1:27" ht="18">
      <c r="A4601" s="2714"/>
      <c r="B4601" s="371">
        <v>102</v>
      </c>
      <c r="C4601" s="371" t="s">
        <v>2791</v>
      </c>
      <c r="D4601" s="2716">
        <f t="shared" si="509"/>
        <v>0</v>
      </c>
      <c r="E4601" s="2721">
        <v>1</v>
      </c>
      <c r="F4601" s="294"/>
      <c r="G4601" s="2448" t="s">
        <v>2792</v>
      </c>
      <c r="H4601" s="2296"/>
      <c r="I4601" s="291"/>
      <c r="J4601" s="291"/>
      <c r="K4601" s="291"/>
      <c r="L4601" s="291"/>
      <c r="M4601" s="291"/>
      <c r="S4601" s="364"/>
      <c r="Z4601" s="609" t="s">
        <v>4221</v>
      </c>
      <c r="AA4601" s="609" t="s">
        <v>5703</v>
      </c>
    </row>
    <row r="4602" spans="1:27" ht="18">
      <c r="A4602" s="2714"/>
      <c r="B4602" s="371">
        <v>103</v>
      </c>
      <c r="C4602" s="371" t="s">
        <v>2791</v>
      </c>
      <c r="D4602" s="2716">
        <f t="shared" si="509"/>
        <v>0</v>
      </c>
      <c r="E4602" s="2721">
        <v>1</v>
      </c>
      <c r="F4602" s="294"/>
      <c r="G4602" s="2448" t="s">
        <v>2792</v>
      </c>
      <c r="H4602" s="2296"/>
      <c r="I4602" s="291"/>
      <c r="J4602" s="291"/>
      <c r="K4602" s="291"/>
      <c r="L4602" s="291"/>
      <c r="M4602" s="291"/>
      <c r="S4602" s="364"/>
      <c r="Z4602" s="609" t="s">
        <v>4221</v>
      </c>
      <c r="AA4602" s="609" t="s">
        <v>5703</v>
      </c>
    </row>
    <row r="4603" spans="1:27" ht="18">
      <c r="A4603" s="2714"/>
      <c r="B4603" s="371">
        <v>104</v>
      </c>
      <c r="C4603" s="371" t="s">
        <v>2791</v>
      </c>
      <c r="D4603" s="2716">
        <f t="shared" si="509"/>
        <v>0</v>
      </c>
      <c r="E4603" s="2721">
        <v>1</v>
      </c>
      <c r="F4603" s="294"/>
      <c r="G4603" s="2448" t="s">
        <v>2792</v>
      </c>
      <c r="H4603" s="2296"/>
      <c r="I4603" s="291"/>
      <c r="J4603" s="291"/>
      <c r="K4603" s="291"/>
      <c r="L4603" s="291"/>
      <c r="M4603" s="291"/>
      <c r="S4603" s="364"/>
      <c r="Z4603" s="609" t="s">
        <v>4221</v>
      </c>
      <c r="AA4603" s="609" t="s">
        <v>5703</v>
      </c>
    </row>
    <row r="4604" spans="1:27" ht="18">
      <c r="A4604" s="2714"/>
      <c r="B4604" s="371">
        <v>105</v>
      </c>
      <c r="C4604" s="371" t="s">
        <v>2791</v>
      </c>
      <c r="D4604" s="2716">
        <f t="shared" si="509"/>
        <v>0</v>
      </c>
      <c r="E4604" s="2721">
        <v>1</v>
      </c>
      <c r="F4604" s="294"/>
      <c r="G4604" s="2448" t="s">
        <v>2792</v>
      </c>
      <c r="H4604" s="2296"/>
      <c r="I4604" s="291"/>
      <c r="J4604" s="291"/>
      <c r="K4604" s="291"/>
      <c r="L4604" s="291"/>
      <c r="M4604" s="291"/>
      <c r="S4604" s="364"/>
      <c r="Z4604" s="609" t="s">
        <v>4221</v>
      </c>
      <c r="AA4604" s="609" t="s">
        <v>5703</v>
      </c>
    </row>
    <row r="4605" spans="1:27" ht="18">
      <c r="A4605" s="2714"/>
      <c r="B4605" s="371">
        <v>106</v>
      </c>
      <c r="C4605" s="371" t="s">
        <v>2791</v>
      </c>
      <c r="D4605" s="2716">
        <f t="shared" si="509"/>
        <v>0</v>
      </c>
      <c r="E4605" s="2721">
        <v>1</v>
      </c>
      <c r="F4605" s="294"/>
      <c r="G4605" s="2448" t="s">
        <v>2792</v>
      </c>
      <c r="H4605" s="2296"/>
      <c r="I4605" s="291"/>
      <c r="J4605" s="291"/>
      <c r="K4605" s="291"/>
      <c r="L4605" s="291"/>
      <c r="M4605" s="291"/>
      <c r="S4605" s="364"/>
      <c r="Z4605" s="609" t="s">
        <v>4221</v>
      </c>
      <c r="AA4605" s="609" t="s">
        <v>5703</v>
      </c>
    </row>
    <row r="4606" spans="1:27" ht="18">
      <c r="A4606" s="2714"/>
      <c r="B4606" s="371">
        <v>107</v>
      </c>
      <c r="C4606" s="371" t="s">
        <v>2791</v>
      </c>
      <c r="D4606" s="2716">
        <f t="shared" si="509"/>
        <v>0</v>
      </c>
      <c r="E4606" s="2721">
        <v>1</v>
      </c>
      <c r="F4606" s="294"/>
      <c r="G4606" s="2448" t="s">
        <v>2792</v>
      </c>
      <c r="H4606" s="2296"/>
      <c r="I4606" s="291"/>
      <c r="J4606" s="291"/>
      <c r="K4606" s="291"/>
      <c r="L4606" s="291"/>
      <c r="M4606" s="291"/>
      <c r="S4606" s="364"/>
      <c r="Z4606" s="609" t="s">
        <v>4221</v>
      </c>
      <c r="AA4606" s="609" t="s">
        <v>5703</v>
      </c>
    </row>
    <row r="4607" spans="1:27" ht="18">
      <c r="A4607" s="2714"/>
      <c r="B4607" s="371">
        <v>108</v>
      </c>
      <c r="C4607" s="371" t="s">
        <v>2791</v>
      </c>
      <c r="D4607" s="2716">
        <f t="shared" si="509"/>
        <v>0</v>
      </c>
      <c r="E4607" s="2721">
        <v>1</v>
      </c>
      <c r="F4607" s="294"/>
      <c r="G4607" s="2448" t="s">
        <v>2792</v>
      </c>
      <c r="H4607" s="2296"/>
      <c r="I4607" s="291"/>
      <c r="J4607" s="291"/>
      <c r="K4607" s="291"/>
      <c r="L4607" s="291"/>
      <c r="M4607" s="291"/>
      <c r="S4607" s="364"/>
      <c r="Z4607" s="609" t="s">
        <v>4221</v>
      </c>
      <c r="AA4607" s="609" t="s">
        <v>5703</v>
      </c>
    </row>
    <row r="4608" spans="1:27" ht="18">
      <c r="A4608" s="2714"/>
      <c r="B4608" s="371">
        <v>109</v>
      </c>
      <c r="C4608" s="371" t="s">
        <v>2791</v>
      </c>
      <c r="D4608" s="2716">
        <f t="shared" si="509"/>
        <v>0</v>
      </c>
      <c r="E4608" s="2721">
        <v>1</v>
      </c>
      <c r="F4608" s="294"/>
      <c r="G4608" s="2448" t="s">
        <v>2792</v>
      </c>
      <c r="H4608" s="2296"/>
      <c r="I4608" s="291"/>
      <c r="J4608" s="291"/>
      <c r="K4608" s="291"/>
      <c r="L4608" s="291"/>
      <c r="M4608" s="291"/>
      <c r="S4608" s="364"/>
      <c r="Z4608" s="609" t="s">
        <v>4221</v>
      </c>
      <c r="AA4608" s="609" t="s">
        <v>5703</v>
      </c>
    </row>
    <row r="4609" spans="1:27" ht="18">
      <c r="A4609" s="2714"/>
      <c r="B4609" s="371">
        <v>110</v>
      </c>
      <c r="C4609" s="371" t="s">
        <v>2791</v>
      </c>
      <c r="D4609" s="2716">
        <f t="shared" si="509"/>
        <v>0</v>
      </c>
      <c r="E4609" s="2721">
        <v>1</v>
      </c>
      <c r="F4609" s="294"/>
      <c r="G4609" s="2448" t="s">
        <v>2792</v>
      </c>
      <c r="H4609" s="2296"/>
      <c r="I4609" s="291"/>
      <c r="J4609" s="291"/>
      <c r="K4609" s="291"/>
      <c r="L4609" s="291"/>
      <c r="M4609" s="291"/>
      <c r="S4609" s="364"/>
      <c r="Z4609" s="609" t="s">
        <v>4221</v>
      </c>
      <c r="AA4609" s="609" t="s">
        <v>5703</v>
      </c>
    </row>
    <row r="4610" spans="1:27" ht="18.75" thickBot="1">
      <c r="A4610" s="2714"/>
      <c r="B4610" s="371"/>
      <c r="C4610" s="371"/>
      <c r="D4610" s="2716">
        <f t="shared" si="509"/>
        <v>1</v>
      </c>
      <c r="E4610" s="2721" t="s">
        <v>2751</v>
      </c>
      <c r="F4610" s="294"/>
      <c r="G4610" s="1529" t="s">
        <v>2752</v>
      </c>
      <c r="H4610" s="1528">
        <f>SUMPRODUCT($E4599:$E4609,H4599:H4609)</f>
        <v>0</v>
      </c>
      <c r="I4610" s="357"/>
      <c r="J4610" s="357"/>
      <c r="K4610" s="291"/>
      <c r="L4610" s="291"/>
      <c r="M4610" s="291"/>
      <c r="S4610" s="364"/>
      <c r="Z4610" s="609" t="s">
        <v>4221</v>
      </c>
      <c r="AA4610" s="609" t="s">
        <v>5703</v>
      </c>
    </row>
    <row r="4611" spans="1:27" ht="18">
      <c r="A4611" s="2714"/>
      <c r="B4611" s="371"/>
      <c r="C4611" s="371" t="s">
        <v>2755</v>
      </c>
      <c r="D4611" s="371"/>
      <c r="F4611" s="294"/>
      <c r="G4611" s="301"/>
      <c r="H4611" s="315"/>
      <c r="I4611" s="291"/>
      <c r="J4611" s="291"/>
      <c r="K4611" s="291"/>
      <c r="L4611" s="291"/>
      <c r="M4611" s="291"/>
      <c r="S4611" s="364"/>
      <c r="Z4611" s="609" t="s">
        <v>4221</v>
      </c>
      <c r="AA4611" s="609" t="s">
        <v>5703</v>
      </c>
    </row>
    <row r="4612" spans="1:27" ht="18">
      <c r="A4612" s="2714" t="s">
        <v>1840</v>
      </c>
      <c r="B4612" s="371">
        <v>8</v>
      </c>
      <c r="C4612" s="371"/>
      <c r="D4612" s="2716" t="str">
        <f>VLOOKUP($A4612,Sheet_NoteList,2,0)</f>
        <v>营业收入补充资料</v>
      </c>
      <c r="E4612" s="2716" t="s">
        <v>6531</v>
      </c>
      <c r="F4612" s="294"/>
      <c r="G4612" s="307" t="str">
        <f>"("&amp;B4612&amp;")"&amp;D4612</f>
        <v>(8)营业收入补充资料</v>
      </c>
      <c r="H4612" s="1517" t="str">
        <f>$A4612</f>
        <v>6001x</v>
      </c>
      <c r="I4612" s="343" t="s">
        <v>5965</v>
      </c>
      <c r="J4612" s="301" t="s">
        <v>5981</v>
      </c>
      <c r="K4612" s="2210">
        <f>H4620</f>
        <v>0</v>
      </c>
      <c r="L4612" s="345"/>
      <c r="M4612" s="301" t="s">
        <v>5982</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6141</v>
      </c>
      <c r="K4614" s="291"/>
      <c r="L4614" s="291"/>
      <c r="M4614" s="291"/>
      <c r="S4614" s="364"/>
      <c r="Z4614" s="609" t="s">
        <v>4221</v>
      </c>
      <c r="AA4614" s="609" t="s">
        <v>4212</v>
      </c>
    </row>
    <row r="4615" spans="1:27" ht="18">
      <c r="A4615" s="2714"/>
      <c r="B4615" s="371">
        <v>101</v>
      </c>
      <c r="C4615" s="371" t="s">
        <v>2791</v>
      </c>
      <c r="D4615" s="2716">
        <f t="shared" ref="D4615:D4620" si="510">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0"/>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0"/>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0"/>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0"/>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0"/>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6531</v>
      </c>
      <c r="F4622" s="294"/>
      <c r="G4622" s="307" t="str">
        <f>"("&amp;B4622&amp;")"&amp;D4622</f>
        <v>(9)营业成本补充资料</v>
      </c>
      <c r="H4622" s="1517" t="str">
        <f>$A4622</f>
        <v>6401x</v>
      </c>
      <c r="I4622" s="343" t="s">
        <v>5969</v>
      </c>
      <c r="J4622" s="301" t="s">
        <v>5983</v>
      </c>
      <c r="K4622" s="2210">
        <f>H4630</f>
        <v>0</v>
      </c>
      <c r="L4622" s="345"/>
      <c r="M4622" s="301" t="s">
        <v>5982</v>
      </c>
      <c r="N4622" s="2210">
        <f>I4630</f>
        <v>0</v>
      </c>
      <c r="O4622" s="345"/>
      <c r="P4622" s="301"/>
      <c r="S4622" s="364"/>
      <c r="Z4622" s="609" t="s">
        <v>4221</v>
      </c>
      <c r="AA4622" s="609" t="s">
        <v>5703</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8">
      <c r="A4624" s="2714"/>
      <c r="B4624" s="371"/>
      <c r="C4624" s="371"/>
      <c r="D4624" s="371"/>
      <c r="E4624" s="586" t="s">
        <v>2749</v>
      </c>
      <c r="F4624" s="363"/>
      <c r="G4624" s="2451" t="s">
        <v>47</v>
      </c>
      <c r="H4624" s="2447" t="s">
        <v>4242</v>
      </c>
      <c r="I4624" s="2446" t="s">
        <v>4245</v>
      </c>
      <c r="J4624" s="355" t="s">
        <v>6141</v>
      </c>
      <c r="K4624" s="291"/>
      <c r="L4624" s="291"/>
      <c r="M4624" s="291"/>
      <c r="S4624" s="364"/>
      <c r="Z4624" s="609" t="s">
        <v>4221</v>
      </c>
      <c r="AA4624" s="609" t="s">
        <v>5703</v>
      </c>
    </row>
    <row r="4625" spans="1:27" ht="18">
      <c r="A4625" s="2714"/>
      <c r="B4625" s="371">
        <v>101</v>
      </c>
      <c r="C4625" s="371" t="s">
        <v>2791</v>
      </c>
      <c r="D4625" s="2716">
        <f t="shared" ref="D4625:D4630" si="511">IF(OR(G4625="*",G4625="",G4625=0),0,COUNTIF($G$4625:$G$4630,G4625))</f>
        <v>0</v>
      </c>
      <c r="E4625" s="2721">
        <v>1</v>
      </c>
      <c r="F4625" s="294"/>
      <c r="G4625" s="2448" t="s">
        <v>2792</v>
      </c>
      <c r="H4625" s="2275"/>
      <c r="I4625" s="2296"/>
      <c r="J4625" s="579"/>
      <c r="K4625" s="291"/>
      <c r="L4625" s="291"/>
      <c r="M4625" s="291"/>
      <c r="S4625" s="364"/>
      <c r="Z4625" s="609" t="s">
        <v>4221</v>
      </c>
      <c r="AA4625" s="609" t="s">
        <v>5703</v>
      </c>
    </row>
    <row r="4626" spans="1:27" ht="18">
      <c r="A4626" s="2714"/>
      <c r="B4626" s="371">
        <v>102</v>
      </c>
      <c r="C4626" s="371" t="s">
        <v>2791</v>
      </c>
      <c r="D4626" s="2716">
        <f t="shared" si="511"/>
        <v>0</v>
      </c>
      <c r="E4626" s="2721">
        <v>1</v>
      </c>
      <c r="F4626" s="294"/>
      <c r="G4626" s="2448" t="s">
        <v>2792</v>
      </c>
      <c r="H4626" s="2275"/>
      <c r="I4626" s="2296"/>
      <c r="J4626" s="291"/>
      <c r="K4626" s="291"/>
      <c r="L4626" s="291"/>
      <c r="M4626" s="291"/>
      <c r="S4626" s="364"/>
      <c r="Z4626" s="609" t="s">
        <v>4221</v>
      </c>
      <c r="AA4626" s="609" t="s">
        <v>5703</v>
      </c>
    </row>
    <row r="4627" spans="1:27" ht="18">
      <c r="A4627" s="2714"/>
      <c r="B4627" s="371">
        <v>103</v>
      </c>
      <c r="C4627" s="371" t="s">
        <v>2791</v>
      </c>
      <c r="D4627" s="2716">
        <f t="shared" si="511"/>
        <v>0</v>
      </c>
      <c r="E4627" s="2721">
        <v>1</v>
      </c>
      <c r="F4627" s="294"/>
      <c r="G4627" s="2448" t="s">
        <v>2792</v>
      </c>
      <c r="H4627" s="2275"/>
      <c r="I4627" s="2296"/>
      <c r="J4627" s="291"/>
      <c r="K4627" s="291"/>
      <c r="L4627" s="291"/>
      <c r="M4627" s="291"/>
      <c r="S4627" s="364"/>
      <c r="Z4627" s="609" t="s">
        <v>4221</v>
      </c>
      <c r="AA4627" s="609" t="s">
        <v>5703</v>
      </c>
    </row>
    <row r="4628" spans="1:27" ht="18">
      <c r="A4628" s="2714"/>
      <c r="B4628" s="371">
        <v>104</v>
      </c>
      <c r="C4628" s="371" t="s">
        <v>2791</v>
      </c>
      <c r="D4628" s="2716">
        <f t="shared" si="511"/>
        <v>0</v>
      </c>
      <c r="E4628" s="2721">
        <v>1</v>
      </c>
      <c r="F4628" s="294"/>
      <c r="G4628" s="2448" t="s">
        <v>2792</v>
      </c>
      <c r="H4628" s="2275"/>
      <c r="I4628" s="2296"/>
      <c r="J4628" s="291"/>
      <c r="K4628" s="291"/>
      <c r="L4628" s="291"/>
      <c r="M4628" s="291"/>
      <c r="S4628" s="364"/>
      <c r="Z4628" s="609" t="s">
        <v>4221</v>
      </c>
      <c r="AA4628" s="609" t="s">
        <v>5703</v>
      </c>
    </row>
    <row r="4629" spans="1:27" ht="18">
      <c r="A4629" s="2714"/>
      <c r="B4629" s="371">
        <v>105</v>
      </c>
      <c r="C4629" s="371" t="s">
        <v>2791</v>
      </c>
      <c r="D4629" s="2716">
        <f t="shared" si="511"/>
        <v>0</v>
      </c>
      <c r="E4629" s="2721">
        <v>1</v>
      </c>
      <c r="F4629" s="294"/>
      <c r="G4629" s="2448" t="s">
        <v>2792</v>
      </c>
      <c r="H4629" s="2275"/>
      <c r="I4629" s="2296"/>
      <c r="J4629" s="291"/>
      <c r="K4629" s="291"/>
      <c r="L4629" s="291"/>
      <c r="M4629" s="291"/>
      <c r="S4629" s="364"/>
      <c r="Z4629" s="609" t="s">
        <v>4221</v>
      </c>
      <c r="AA4629" s="609" t="s">
        <v>5703</v>
      </c>
    </row>
    <row r="4630" spans="1:27" ht="18.75" thickBot="1">
      <c r="A4630" s="2714"/>
      <c r="B4630" s="371"/>
      <c r="C4630" s="371"/>
      <c r="D4630" s="2716">
        <f t="shared" si="511"/>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5703</v>
      </c>
    </row>
    <row r="4631" spans="1:27" ht="18">
      <c r="A4631" s="2714"/>
      <c r="B4631" s="371"/>
      <c r="C4631" s="371" t="s">
        <v>2755</v>
      </c>
      <c r="D4631" s="371"/>
      <c r="F4631" s="294"/>
      <c r="G4631" s="301"/>
      <c r="H4631" s="315"/>
      <c r="I4631" s="315"/>
      <c r="J4631" s="291"/>
      <c r="K4631" s="291"/>
      <c r="L4631" s="291"/>
      <c r="M4631" s="291"/>
      <c r="S4631" s="364"/>
      <c r="Z4631" s="609" t="s">
        <v>4221</v>
      </c>
      <c r="AA4631" s="609" t="s">
        <v>5703</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78151.759999999995</v>
      </c>
      <c r="L4632" s="342"/>
      <c r="M4632" s="306" t="s">
        <v>4207</v>
      </c>
      <c r="N4632" s="341">
        <f>VLOOKUP($A4632,Sheet_Trialbal,10,0)</f>
        <v>68861.460000000006</v>
      </c>
      <c r="O4632" s="306"/>
      <c r="P4632" s="301"/>
      <c r="S4632" s="364"/>
      <c r="Z4632" s="609" t="s">
        <v>4247</v>
      </c>
      <c r="AA4632" s="609" t="s">
        <v>5705</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78151.759999999995</v>
      </c>
      <c r="L4633" s="345" t="str">
        <f>IF($I4633="适用",IF(ROUND(K4632-K4633,2)=0,"F/S",ROUND(K4632-K4633,2)),"#N/A")</f>
        <v>F/S</v>
      </c>
      <c r="M4633" s="301" t="s">
        <v>4211</v>
      </c>
      <c r="N4633" s="2210">
        <f>I4650</f>
        <v>68861.460000000006</v>
      </c>
      <c r="O4633" s="345" t="str">
        <f>IF($I4633="适用",IF(ROUND(N4632-N4633,2)=0,"F/S",ROUND(N4632-N4633,2)),"#N/A")</f>
        <v>F/S</v>
      </c>
      <c r="P4633" s="301"/>
      <c r="Q4633" s="290" t="str">
        <f>IF($I4633="不适用","",IF(ROUND(SUM($H$4636:$I$4650),2)=0,"请输入",""))</f>
        <v/>
      </c>
      <c r="S4633" s="364"/>
      <c r="Z4633" s="609" t="s">
        <v>4247</v>
      </c>
      <c r="AA4633" s="609" t="s">
        <v>5705</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4.75" thickTop="1">
      <c r="A4635" s="2714"/>
      <c r="B4635" s="371"/>
      <c r="C4635" s="371"/>
      <c r="D4635" s="371"/>
      <c r="E4635" s="586" t="s">
        <v>2749</v>
      </c>
      <c r="F4635" s="363"/>
      <c r="G4635" s="2449" t="s">
        <v>47</v>
      </c>
      <c r="H4635" s="2445" t="str">
        <f>$V$4</f>
        <v>2019年度</v>
      </c>
      <c r="I4635" s="2444" t="str">
        <f>$V$5</f>
        <v>2018年度</v>
      </c>
      <c r="J4635" s="355" t="s">
        <v>5327</v>
      </c>
      <c r="K4635" s="1584" t="str">
        <f>""&amp;"&gt;应交税费本期增加:"&amp;""</f>
        <v>&gt;应交税费本期增加:</v>
      </c>
      <c r="L4635" s="1584"/>
      <c r="M4635" s="2659"/>
      <c r="N4635" s="2658" t="str">
        <f>""&amp;"NoteID"&amp;""</f>
        <v>NoteID</v>
      </c>
      <c r="S4635" s="364"/>
      <c r="Z4635" s="609" t="s">
        <v>4247</v>
      </c>
      <c r="AA4635" s="609" t="s">
        <v>5705</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6366</v>
      </c>
      <c r="S4636" s="364"/>
      <c r="Z4636" s="609" t="s">
        <v>4247</v>
      </c>
      <c r="AA4636" s="609" t="s">
        <v>5705</v>
      </c>
    </row>
    <row r="4637" spans="1:27" ht="18">
      <c r="A4637" s="2714"/>
      <c r="B4637" s="371">
        <v>102</v>
      </c>
      <c r="C4637" s="371"/>
      <c r="D4637" s="2716">
        <f>IF(OR(G4637="*",G4637="",G4637=0),0,COUNTIF($G$4636:$G$4650,G4637))</f>
        <v>1</v>
      </c>
      <c r="E4637" s="2721">
        <v>1</v>
      </c>
      <c r="F4637" s="294"/>
      <c r="G4637" s="1474" t="s">
        <v>3948</v>
      </c>
      <c r="H4637" s="2275">
        <v>3407.4</v>
      </c>
      <c r="I4637" s="2296">
        <v>3169.81</v>
      </c>
      <c r="J4637" s="291"/>
      <c r="K4637" s="2252">
        <f ca="1">HYPERLINK("#'"&amp;$G$1&amp;"'!"&amp;ADDRESS(ROW(Notes!J3734),COLUMN(Notes!J3734),4),J3734)</f>
        <v>0</v>
      </c>
      <c r="L4637" s="456"/>
      <c r="M4637" s="456"/>
      <c r="N4637" s="2666"/>
      <c r="S4637" s="364"/>
      <c r="Z4637" s="609" t="s">
        <v>4247</v>
      </c>
      <c r="AA4637" s="609" t="s">
        <v>5705</v>
      </c>
    </row>
    <row r="4638" spans="1:27" ht="18">
      <c r="A4638" s="2714"/>
      <c r="B4638" s="371">
        <v>103</v>
      </c>
      <c r="C4638" s="371"/>
      <c r="D4638" s="2716">
        <f>IF(OR(G4638="*",G4638="",G4638=0),0,COUNTIF($G$4636:$G$4650,G4638))</f>
        <v>1</v>
      </c>
      <c r="E4638" s="2721">
        <v>1</v>
      </c>
      <c r="F4638" s="294"/>
      <c r="G4638" s="1474" t="s">
        <v>3949</v>
      </c>
      <c r="H4638" s="2275">
        <v>1460.32</v>
      </c>
      <c r="I4638" s="2296">
        <v>1358.49</v>
      </c>
      <c r="J4638" s="291"/>
      <c r="K4638" s="2252">
        <f ca="1">HYPERLINK("#'"&amp;$G$1&amp;"'!"&amp;ADDRESS(ROW(Notes!J3735),COLUMN(Notes!J3735),4),J3735)</f>
        <v>0</v>
      </c>
      <c r="L4638" s="456"/>
      <c r="M4638" s="456"/>
      <c r="N4638" s="2666"/>
      <c r="S4638" s="364"/>
      <c r="Z4638" s="609" t="s">
        <v>4247</v>
      </c>
      <c r="AA4638" s="609" t="s">
        <v>5705</v>
      </c>
    </row>
    <row r="4639" spans="1:27" ht="18">
      <c r="A4639" s="2714"/>
      <c r="B4639" s="371">
        <v>104</v>
      </c>
      <c r="C4639" s="371"/>
      <c r="D4639" s="2716">
        <f>IF(OR(G4639="*",G4639="",G4639=0),0,COUNTIF($G$4636:$G$4650,G4639))</f>
        <v>1</v>
      </c>
      <c r="E4639" s="2721">
        <v>1</v>
      </c>
      <c r="F4639" s="294"/>
      <c r="G4639" s="1474" t="s">
        <v>5644</v>
      </c>
      <c r="H4639" s="2275">
        <v>973.54</v>
      </c>
      <c r="I4639" s="2296">
        <v>905.66</v>
      </c>
      <c r="J4639" s="291"/>
      <c r="K4639" s="2252">
        <f ca="1">HYPERLINK("#'"&amp;$G$1&amp;"'!"&amp;ADDRESS(ROW(Notes!J3736),COLUMN(Notes!J3736),4),J3736)</f>
        <v>0</v>
      </c>
      <c r="L4639" s="456"/>
      <c r="M4639" s="456"/>
      <c r="N4639" s="2666"/>
      <c r="S4639" s="364"/>
      <c r="Z4639" s="609" t="s">
        <v>4247</v>
      </c>
      <c r="AA4639" s="609" t="s">
        <v>5705</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5705</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5705</v>
      </c>
    </row>
    <row r="4642" spans="1:27" ht="18">
      <c r="A4642" s="2714"/>
      <c r="B4642" s="371">
        <v>107</v>
      </c>
      <c r="C4642" s="371"/>
      <c r="D4642" s="2716">
        <f t="shared" ref="D4642:D4650" si="512">IF(OR(G4642="*",G4642="",G4642=0),0,COUNTIF($G$4636:$G$4650,G4642))</f>
        <v>1</v>
      </c>
      <c r="E4642" s="2721">
        <v>1</v>
      </c>
      <c r="F4642" s="294"/>
      <c r="G4642" s="1474" t="s">
        <v>5646</v>
      </c>
      <c r="H4642" s="2275"/>
      <c r="I4642" s="2296"/>
      <c r="J4642" s="291"/>
      <c r="K4642" s="2252">
        <f ca="1">HYPERLINK("#'"&amp;$G$1&amp;"'!"&amp;ADDRESS(ROW(Notes!J3739),COLUMN(Notes!J3739),4),J3739)</f>
        <v>0</v>
      </c>
      <c r="L4642" s="456"/>
      <c r="M4642" s="456"/>
      <c r="N4642" s="2666"/>
      <c r="S4642" s="364"/>
      <c r="Z4642" s="609" t="s">
        <v>4247</v>
      </c>
      <c r="AA4642" s="609" t="s">
        <v>5705</v>
      </c>
    </row>
    <row r="4643" spans="1:27" ht="18">
      <c r="A4643" s="2714"/>
      <c r="B4643" s="371">
        <v>108</v>
      </c>
      <c r="C4643" s="371"/>
      <c r="D4643" s="2716">
        <f t="shared" si="512"/>
        <v>1</v>
      </c>
      <c r="E4643" s="2721">
        <v>1</v>
      </c>
      <c r="F4643" s="294"/>
      <c r="G4643" s="1474" t="s">
        <v>4252</v>
      </c>
      <c r="H4643" s="2275"/>
      <c r="I4643" s="2296"/>
      <c r="J4643" s="291"/>
      <c r="K4643" s="456"/>
      <c r="L4643" s="456"/>
      <c r="M4643" s="456"/>
      <c r="N4643" s="2666"/>
      <c r="S4643" s="364"/>
      <c r="Z4643" s="609" t="s">
        <v>4247</v>
      </c>
      <c r="AA4643" s="609" t="s">
        <v>5705</v>
      </c>
    </row>
    <row r="4644" spans="1:27" ht="18">
      <c r="A4644" s="2714"/>
      <c r="B4644" s="371">
        <v>110</v>
      </c>
      <c r="C4644" s="371"/>
      <c r="D4644" s="2716">
        <f t="shared" si="512"/>
        <v>1</v>
      </c>
      <c r="E4644" s="2721">
        <v>1</v>
      </c>
      <c r="F4644" s="294"/>
      <c r="G4644" s="1474" t="s">
        <v>4253</v>
      </c>
      <c r="H4644" s="2275">
        <v>72310.5</v>
      </c>
      <c r="I4644" s="2296">
        <v>63427.5</v>
      </c>
      <c r="J4644" s="291"/>
      <c r="K4644" s="456"/>
      <c r="L4644" s="456"/>
      <c r="M4644" s="456"/>
      <c r="N4644" s="2666"/>
      <c r="S4644" s="364"/>
      <c r="Z4644" s="609" t="s">
        <v>4247</v>
      </c>
      <c r="AA4644" s="609" t="s">
        <v>5705</v>
      </c>
    </row>
    <row r="4645" spans="1:27" ht="18">
      <c r="A4645" s="2714"/>
      <c r="B4645" s="371">
        <v>111</v>
      </c>
      <c r="C4645" s="371" t="s">
        <v>2791</v>
      </c>
      <c r="D4645" s="2716">
        <f t="shared" si="512"/>
        <v>0</v>
      </c>
      <c r="E4645" s="2721">
        <v>1</v>
      </c>
      <c r="F4645" s="294"/>
      <c r="G4645" s="2448" t="s">
        <v>2792</v>
      </c>
      <c r="H4645" s="2275"/>
      <c r="I4645" s="2296"/>
      <c r="J4645" s="291"/>
      <c r="K4645" s="456"/>
      <c r="L4645" s="456"/>
      <c r="M4645" s="456"/>
      <c r="N4645" s="2666"/>
      <c r="S4645" s="364"/>
      <c r="Z4645" s="609" t="s">
        <v>4247</v>
      </c>
      <c r="AA4645" s="609" t="s">
        <v>5705</v>
      </c>
    </row>
    <row r="4646" spans="1:27" ht="18">
      <c r="A4646" s="2714"/>
      <c r="B4646" s="371">
        <v>112</v>
      </c>
      <c r="C4646" s="371" t="s">
        <v>2791</v>
      </c>
      <c r="D4646" s="2716">
        <f t="shared" si="512"/>
        <v>0</v>
      </c>
      <c r="E4646" s="2721">
        <v>1</v>
      </c>
      <c r="F4646" s="294"/>
      <c r="G4646" s="2448" t="s">
        <v>2792</v>
      </c>
      <c r="H4646" s="2275"/>
      <c r="I4646" s="2296"/>
      <c r="J4646" s="291"/>
      <c r="K4646" s="456"/>
      <c r="L4646" s="456"/>
      <c r="M4646" s="456"/>
      <c r="N4646" s="2666"/>
      <c r="S4646" s="364"/>
      <c r="Z4646" s="609" t="s">
        <v>4247</v>
      </c>
      <c r="AA4646" s="609" t="s">
        <v>5705</v>
      </c>
    </row>
    <row r="4647" spans="1:27" ht="18">
      <c r="A4647" s="2714"/>
      <c r="B4647" s="371">
        <v>113</v>
      </c>
      <c r="C4647" s="371" t="s">
        <v>2791</v>
      </c>
      <c r="D4647" s="2716">
        <f t="shared" si="512"/>
        <v>0</v>
      </c>
      <c r="E4647" s="2721">
        <v>1</v>
      </c>
      <c r="F4647" s="294"/>
      <c r="G4647" s="2448" t="s">
        <v>2792</v>
      </c>
      <c r="H4647" s="2275"/>
      <c r="I4647" s="2296"/>
      <c r="J4647" s="291"/>
      <c r="K4647" s="456"/>
      <c r="L4647" s="456"/>
      <c r="M4647" s="456"/>
      <c r="N4647" s="2666"/>
      <c r="S4647" s="364"/>
      <c r="Z4647" s="609" t="s">
        <v>4247</v>
      </c>
      <c r="AA4647" s="609" t="s">
        <v>5705</v>
      </c>
    </row>
    <row r="4648" spans="1:27" ht="18">
      <c r="A4648" s="2714"/>
      <c r="B4648" s="371">
        <v>114</v>
      </c>
      <c r="C4648" s="371" t="s">
        <v>2791</v>
      </c>
      <c r="D4648" s="2716">
        <f t="shared" si="512"/>
        <v>0</v>
      </c>
      <c r="E4648" s="2721">
        <v>1</v>
      </c>
      <c r="F4648" s="294"/>
      <c r="G4648" s="2448" t="s">
        <v>2792</v>
      </c>
      <c r="H4648" s="2275"/>
      <c r="I4648" s="2296"/>
      <c r="J4648" s="291"/>
      <c r="K4648" s="456"/>
      <c r="L4648" s="456"/>
      <c r="M4648" s="456"/>
      <c r="N4648" s="2666"/>
      <c r="S4648" s="364"/>
      <c r="Z4648" s="609" t="s">
        <v>4247</v>
      </c>
      <c r="AA4648" s="609" t="s">
        <v>5705</v>
      </c>
    </row>
    <row r="4649" spans="1:27" ht="18">
      <c r="A4649" s="2714"/>
      <c r="B4649" s="371">
        <v>115</v>
      </c>
      <c r="C4649" s="371" t="s">
        <v>2791</v>
      </c>
      <c r="D4649" s="2716">
        <f t="shared" si="512"/>
        <v>0</v>
      </c>
      <c r="E4649" s="2721">
        <v>1</v>
      </c>
      <c r="F4649" s="294"/>
      <c r="G4649" s="2448" t="s">
        <v>2792</v>
      </c>
      <c r="H4649" s="2275"/>
      <c r="I4649" s="2296"/>
      <c r="J4649" s="291"/>
      <c r="K4649" s="456"/>
      <c r="L4649" s="456"/>
      <c r="M4649" s="456"/>
      <c r="N4649" s="2666"/>
      <c r="S4649" s="364"/>
      <c r="Z4649" s="609" t="s">
        <v>4247</v>
      </c>
      <c r="AA4649" s="609" t="s">
        <v>5705</v>
      </c>
    </row>
    <row r="4650" spans="1:27" ht="18.75" thickBot="1">
      <c r="A4650" s="2714"/>
      <c r="B4650" s="371"/>
      <c r="C4650" s="371"/>
      <c r="D4650" s="2716">
        <f t="shared" si="512"/>
        <v>1</v>
      </c>
      <c r="E4650" s="2721" t="s">
        <v>2751</v>
      </c>
      <c r="F4650" s="294"/>
      <c r="G4650" s="374" t="s">
        <v>2752</v>
      </c>
      <c r="H4650" s="1478">
        <f>SUMPRODUCT($E4635:$E4649,H4635:H4649)</f>
        <v>78151.759999999995</v>
      </c>
      <c r="I4650" s="1479">
        <f>SUMPRODUCT($E4635:$E4649,I4635:I4649)</f>
        <v>68861.460000000006</v>
      </c>
      <c r="J4650" s="291"/>
      <c r="K4650" s="1531">
        <f t="shared" ref="K4650:M4650" ca="1" si="513">SUM(K4636:K4649)</f>
        <v>0</v>
      </c>
      <c r="L4650" s="1531">
        <f t="shared" si="513"/>
        <v>0</v>
      </c>
      <c r="M4650" s="1531">
        <f t="shared" si="513"/>
        <v>0</v>
      </c>
      <c r="N4650" s="2667"/>
      <c r="S4650" s="364"/>
      <c r="Z4650" s="609" t="s">
        <v>4247</v>
      </c>
      <c r="AA4650" s="609" t="s">
        <v>5705</v>
      </c>
    </row>
    <row r="4651" spans="1:27" ht="18">
      <c r="A4651" s="2714"/>
      <c r="B4651" s="371"/>
      <c r="C4651" s="371" t="s">
        <v>2755</v>
      </c>
      <c r="D4651" s="371"/>
      <c r="F4651" s="294"/>
      <c r="G4651" s="301"/>
      <c r="H4651" s="315"/>
      <c r="I4651" s="315"/>
      <c r="J4651" s="350"/>
      <c r="K4651" s="1539" t="s">
        <v>5505</v>
      </c>
      <c r="L4651" s="354"/>
      <c r="M4651" s="354"/>
      <c r="N4651" s="354"/>
      <c r="S4651" s="364"/>
      <c r="Z4651" s="609" t="s">
        <v>4247</v>
      </c>
      <c r="AA4651" s="609" t="s">
        <v>5705</v>
      </c>
    </row>
    <row r="4652" spans="1:27" ht="18">
      <c r="A4652" s="2714" t="s">
        <v>1901</v>
      </c>
      <c r="B4652" s="371">
        <v>2</v>
      </c>
      <c r="C4652" s="371"/>
      <c r="D4652" s="2716" t="str">
        <f>VLOOKUP($A4652,Sheet_NoteList,2,0)</f>
        <v>税金及附加补充资料</v>
      </c>
      <c r="E4652" s="2716" t="s">
        <v>6531</v>
      </c>
      <c r="F4652" s="294"/>
      <c r="G4652" s="307" t="str">
        <f>"("&amp;B4652&amp;")"&amp;D4652</f>
        <v>(2)税金及附加补充资料</v>
      </c>
      <c r="H4652" s="1517" t="str">
        <f>$A4652</f>
        <v>6600x</v>
      </c>
      <c r="I4652" s="343" t="s">
        <v>5965</v>
      </c>
      <c r="J4652" s="301" t="s">
        <v>5981</v>
      </c>
      <c r="K4652" s="2210">
        <f>H4660</f>
        <v>0</v>
      </c>
      <c r="L4652" s="345"/>
      <c r="M4652" s="301" t="s">
        <v>5982</v>
      </c>
      <c r="N4652" s="2210">
        <f>I4660</f>
        <v>0</v>
      </c>
      <c r="O4652" s="345"/>
      <c r="P4652" s="301"/>
      <c r="S4652" s="364"/>
      <c r="Z4652" s="609" t="s">
        <v>4247</v>
      </c>
      <c r="AA4652" s="609" t="s">
        <v>5705</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8">
      <c r="A4654" s="2714"/>
      <c r="B4654" s="371"/>
      <c r="C4654" s="371"/>
      <c r="D4654" s="371"/>
      <c r="E4654" s="586" t="s">
        <v>2749</v>
      </c>
      <c r="F4654" s="363"/>
      <c r="G4654" s="2451" t="s">
        <v>47</v>
      </c>
      <c r="H4654" s="2447" t="s">
        <v>4242</v>
      </c>
      <c r="I4654" s="2446" t="s">
        <v>4245</v>
      </c>
      <c r="J4654" s="355" t="s">
        <v>6141</v>
      </c>
      <c r="K4654" s="291"/>
      <c r="L4654" s="291"/>
      <c r="M4654" s="291"/>
      <c r="N4654" s="291"/>
      <c r="S4654" s="364"/>
      <c r="Z4654" s="609" t="s">
        <v>4247</v>
      </c>
      <c r="AA4654" s="609" t="s">
        <v>5705</v>
      </c>
    </row>
    <row r="4655" spans="1:27" ht="18">
      <c r="A4655" s="2714"/>
      <c r="B4655" s="371">
        <v>101</v>
      </c>
      <c r="C4655" s="371" t="s">
        <v>2791</v>
      </c>
      <c r="D4655" s="2716">
        <f t="shared" ref="D4655:D4660" si="514">IF(OR(G4655="*",G4655="",G4655=0),0,COUNTIF($G$4655:$G$4660,G4655))</f>
        <v>0</v>
      </c>
      <c r="E4655" s="2721">
        <v>1</v>
      </c>
      <c r="F4655" s="294"/>
      <c r="G4655" s="2448" t="s">
        <v>2792</v>
      </c>
      <c r="H4655" s="2275"/>
      <c r="I4655" s="2296"/>
      <c r="J4655" s="579"/>
      <c r="K4655" s="291"/>
      <c r="L4655" s="291"/>
      <c r="M4655" s="291"/>
      <c r="N4655" s="291"/>
      <c r="S4655" s="364"/>
      <c r="Z4655" s="609" t="s">
        <v>4247</v>
      </c>
      <c r="AA4655" s="609" t="s">
        <v>5705</v>
      </c>
    </row>
    <row r="4656" spans="1:27" ht="18">
      <c r="A4656" s="2714"/>
      <c r="B4656" s="371">
        <v>102</v>
      </c>
      <c r="C4656" s="371" t="s">
        <v>2791</v>
      </c>
      <c r="D4656" s="2716">
        <f t="shared" si="514"/>
        <v>0</v>
      </c>
      <c r="E4656" s="2721">
        <v>1</v>
      </c>
      <c r="F4656" s="294"/>
      <c r="G4656" s="2448" t="s">
        <v>2792</v>
      </c>
      <c r="H4656" s="2275"/>
      <c r="I4656" s="2296"/>
      <c r="J4656" s="291"/>
      <c r="K4656" s="291"/>
      <c r="L4656" s="291"/>
      <c r="M4656" s="291"/>
      <c r="N4656" s="291"/>
      <c r="S4656" s="364"/>
      <c r="Z4656" s="609" t="s">
        <v>4247</v>
      </c>
      <c r="AA4656" s="609" t="s">
        <v>5705</v>
      </c>
    </row>
    <row r="4657" spans="1:27" ht="18">
      <c r="A4657" s="2714"/>
      <c r="B4657" s="371">
        <v>103</v>
      </c>
      <c r="C4657" s="371" t="s">
        <v>2791</v>
      </c>
      <c r="D4657" s="2716">
        <f t="shared" si="514"/>
        <v>0</v>
      </c>
      <c r="E4657" s="2721">
        <v>1</v>
      </c>
      <c r="F4657" s="294"/>
      <c r="G4657" s="2448" t="s">
        <v>2792</v>
      </c>
      <c r="H4657" s="2275"/>
      <c r="I4657" s="2296"/>
      <c r="J4657" s="291"/>
      <c r="K4657" s="291"/>
      <c r="L4657" s="291"/>
      <c r="M4657" s="291"/>
      <c r="N4657" s="291"/>
      <c r="S4657" s="364"/>
      <c r="Z4657" s="609" t="s">
        <v>4247</v>
      </c>
      <c r="AA4657" s="609" t="s">
        <v>5705</v>
      </c>
    </row>
    <row r="4658" spans="1:27" ht="18">
      <c r="A4658" s="2714"/>
      <c r="B4658" s="371">
        <v>104</v>
      </c>
      <c r="C4658" s="371" t="s">
        <v>2791</v>
      </c>
      <c r="D4658" s="2716">
        <f t="shared" si="514"/>
        <v>0</v>
      </c>
      <c r="E4658" s="2721">
        <v>1</v>
      </c>
      <c r="F4658" s="294"/>
      <c r="G4658" s="2448" t="s">
        <v>2792</v>
      </c>
      <c r="H4658" s="2275"/>
      <c r="I4658" s="2296"/>
      <c r="J4658" s="291"/>
      <c r="K4658" s="291"/>
      <c r="L4658" s="291"/>
      <c r="M4658" s="291"/>
      <c r="N4658" s="291"/>
      <c r="S4658" s="364"/>
      <c r="Z4658" s="609" t="s">
        <v>4247</v>
      </c>
      <c r="AA4658" s="609" t="s">
        <v>5705</v>
      </c>
    </row>
    <row r="4659" spans="1:27" ht="18">
      <c r="A4659" s="2714"/>
      <c r="B4659" s="371">
        <v>105</v>
      </c>
      <c r="C4659" s="371" t="s">
        <v>2791</v>
      </c>
      <c r="D4659" s="2716">
        <f t="shared" si="514"/>
        <v>0</v>
      </c>
      <c r="E4659" s="2721">
        <v>1</v>
      </c>
      <c r="F4659" s="294"/>
      <c r="G4659" s="2448" t="s">
        <v>2792</v>
      </c>
      <c r="H4659" s="2275"/>
      <c r="I4659" s="2296"/>
      <c r="J4659" s="291"/>
      <c r="K4659" s="291"/>
      <c r="L4659" s="291"/>
      <c r="M4659" s="291"/>
      <c r="N4659" s="291"/>
      <c r="S4659" s="364"/>
      <c r="Z4659" s="609" t="s">
        <v>4247</v>
      </c>
      <c r="AA4659" s="609" t="s">
        <v>5705</v>
      </c>
    </row>
    <row r="4660" spans="1:27" ht="18.75" thickBot="1">
      <c r="A4660" s="2714"/>
      <c r="B4660" s="371"/>
      <c r="C4660" s="371"/>
      <c r="D4660" s="2716">
        <f t="shared" si="514"/>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5705</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5705</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5706</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0</v>
      </c>
      <c r="L4663" s="1535" t="str">
        <f>IF($I4663="适用",IF(ROUND(K4662-K4663,2)&gt;=0,IF(K4662&lt;&gt;0,K4663/K4662,""),"#Logical!"),"#N/A")</f>
        <v/>
      </c>
      <c r="M4663" s="301" t="s">
        <v>4257</v>
      </c>
      <c r="N4663" s="2210">
        <f>I4681</f>
        <v>0</v>
      </c>
      <c r="O4663" s="1535" t="str">
        <f>IF($I4663="适用",IF(ROUND(N4662-N4663,2)&gt;=0,IF(N4662&lt;&gt;0,N4663/N4662,""),"#Logical!"),"#N/A")</f>
        <v/>
      </c>
      <c r="P4663" s="301"/>
      <c r="Q4663" s="290" t="str">
        <f>IF($I4663="不适用","",IF(ROUND(SUM($H$4666:$I$4681),2)=0,"请输入",""))</f>
        <v>请输入</v>
      </c>
      <c r="S4663" s="364"/>
      <c r="Z4663" s="609" t="s">
        <v>4255</v>
      </c>
      <c r="AA4663" s="609" t="s">
        <v>5706</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8">
      <c r="A4665" s="2714"/>
      <c r="B4665" s="371"/>
      <c r="C4665" s="371"/>
      <c r="D4665" s="371"/>
      <c r="E4665" s="2716"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8">
      <c r="A4666" s="2714"/>
      <c r="B4666" s="371">
        <v>101</v>
      </c>
      <c r="C4666" s="371" t="s">
        <v>2791</v>
      </c>
      <c r="D4666" s="2716">
        <f t="shared" ref="D4666:D4681" si="515">IF(OR(G4666="*",G4666="",G4666=0),0,COUNTIF($G$4666:$G$4681,G4666))</f>
        <v>0</v>
      </c>
      <c r="E4666" s="2721">
        <v>1</v>
      </c>
      <c r="F4666" s="294"/>
      <c r="G4666" s="409" t="s">
        <v>2792</v>
      </c>
      <c r="H4666" s="383"/>
      <c r="I4666" s="401"/>
      <c r="J4666" s="291"/>
      <c r="K4666" s="291"/>
      <c r="L4666" s="291"/>
      <c r="M4666" s="291"/>
      <c r="S4666" s="364"/>
      <c r="Z4666" s="609" t="s">
        <v>4255</v>
      </c>
      <c r="AA4666" s="609" t="s">
        <v>5706</v>
      </c>
    </row>
    <row r="4667" spans="1:27" ht="18">
      <c r="A4667" s="2714"/>
      <c r="B4667" s="371">
        <v>102</v>
      </c>
      <c r="C4667" s="371" t="s">
        <v>2791</v>
      </c>
      <c r="D4667" s="2716">
        <f t="shared" si="515"/>
        <v>0</v>
      </c>
      <c r="E4667" s="2721">
        <v>1</v>
      </c>
      <c r="F4667" s="294"/>
      <c r="G4667" s="409" t="s">
        <v>2792</v>
      </c>
      <c r="H4667" s="383"/>
      <c r="I4667" s="401"/>
      <c r="J4667" s="291"/>
      <c r="K4667" s="291"/>
      <c r="L4667" s="291"/>
      <c r="M4667" s="291"/>
      <c r="S4667" s="364"/>
      <c r="Z4667" s="609" t="s">
        <v>4255</v>
      </c>
      <c r="AA4667" s="609" t="s">
        <v>5706</v>
      </c>
    </row>
    <row r="4668" spans="1:27" ht="18">
      <c r="A4668" s="2714"/>
      <c r="B4668" s="371">
        <v>103</v>
      </c>
      <c r="C4668" s="371" t="s">
        <v>2791</v>
      </c>
      <c r="D4668" s="2716">
        <f t="shared" si="515"/>
        <v>0</v>
      </c>
      <c r="E4668" s="2721">
        <v>1</v>
      </c>
      <c r="F4668" s="294"/>
      <c r="G4668" s="409" t="s">
        <v>2792</v>
      </c>
      <c r="H4668" s="383"/>
      <c r="I4668" s="401"/>
      <c r="J4668" s="291"/>
      <c r="K4668" s="291"/>
      <c r="L4668" s="291"/>
      <c r="M4668" s="291"/>
      <c r="S4668" s="364"/>
      <c r="Z4668" s="609" t="s">
        <v>4255</v>
      </c>
      <c r="AA4668" s="609" t="s">
        <v>5706</v>
      </c>
    </row>
    <row r="4669" spans="1:27" ht="18">
      <c r="A4669" s="2714"/>
      <c r="B4669" s="371">
        <v>104</v>
      </c>
      <c r="C4669" s="371" t="s">
        <v>2791</v>
      </c>
      <c r="D4669" s="2716">
        <f t="shared" si="515"/>
        <v>0</v>
      </c>
      <c r="E4669" s="2721">
        <v>1</v>
      </c>
      <c r="F4669" s="294"/>
      <c r="G4669" s="409" t="s">
        <v>2792</v>
      </c>
      <c r="H4669" s="383"/>
      <c r="I4669" s="401"/>
      <c r="J4669" s="291"/>
      <c r="K4669" s="291"/>
      <c r="L4669" s="291"/>
      <c r="M4669" s="291"/>
      <c r="S4669" s="364"/>
      <c r="Z4669" s="609" t="s">
        <v>4255</v>
      </c>
      <c r="AA4669" s="609" t="s">
        <v>5706</v>
      </c>
    </row>
    <row r="4670" spans="1:27" ht="18">
      <c r="A4670" s="2714"/>
      <c r="B4670" s="371">
        <v>105</v>
      </c>
      <c r="C4670" s="371" t="s">
        <v>2791</v>
      </c>
      <c r="D4670" s="2716">
        <f t="shared" si="515"/>
        <v>0</v>
      </c>
      <c r="E4670" s="2721">
        <v>1</v>
      </c>
      <c r="F4670" s="294"/>
      <c r="G4670" s="409" t="s">
        <v>2792</v>
      </c>
      <c r="H4670" s="383"/>
      <c r="I4670" s="401"/>
      <c r="J4670" s="291"/>
      <c r="K4670" s="291"/>
      <c r="L4670" s="291"/>
      <c r="M4670" s="291"/>
      <c r="S4670" s="364"/>
      <c r="Z4670" s="609" t="s">
        <v>4255</v>
      </c>
      <c r="AA4670" s="609" t="s">
        <v>5706</v>
      </c>
    </row>
    <row r="4671" spans="1:27" ht="18">
      <c r="A4671" s="2714"/>
      <c r="B4671" s="371">
        <v>106</v>
      </c>
      <c r="C4671" s="371" t="s">
        <v>2791</v>
      </c>
      <c r="D4671" s="2716">
        <f t="shared" si="515"/>
        <v>0</v>
      </c>
      <c r="E4671" s="2721">
        <v>1</v>
      </c>
      <c r="F4671" s="294"/>
      <c r="G4671" s="409" t="s">
        <v>2792</v>
      </c>
      <c r="H4671" s="383"/>
      <c r="I4671" s="401"/>
      <c r="J4671" s="291"/>
      <c r="K4671" s="291"/>
      <c r="L4671" s="291"/>
      <c r="M4671" s="291"/>
      <c r="S4671" s="364"/>
      <c r="Z4671" s="609" t="s">
        <v>4255</v>
      </c>
      <c r="AA4671" s="609" t="s">
        <v>5706</v>
      </c>
    </row>
    <row r="4672" spans="1:27" ht="18">
      <c r="A4672" s="2714"/>
      <c r="B4672" s="371">
        <v>107</v>
      </c>
      <c r="C4672" s="371" t="s">
        <v>2791</v>
      </c>
      <c r="D4672" s="2716">
        <f t="shared" si="515"/>
        <v>0</v>
      </c>
      <c r="E4672" s="2721">
        <v>1</v>
      </c>
      <c r="F4672" s="294"/>
      <c r="G4672" s="409" t="s">
        <v>2792</v>
      </c>
      <c r="H4672" s="383"/>
      <c r="I4672" s="401"/>
      <c r="J4672" s="291"/>
      <c r="K4672" s="291"/>
      <c r="L4672" s="291"/>
      <c r="M4672" s="291"/>
      <c r="S4672" s="364"/>
      <c r="Z4672" s="609" t="s">
        <v>4255</v>
      </c>
      <c r="AA4672" s="609" t="s">
        <v>5706</v>
      </c>
    </row>
    <row r="4673" spans="1:27" ht="18">
      <c r="A4673" s="2714"/>
      <c r="B4673" s="371">
        <v>108</v>
      </c>
      <c r="C4673" s="371" t="s">
        <v>2791</v>
      </c>
      <c r="D4673" s="2716">
        <f t="shared" si="515"/>
        <v>0</v>
      </c>
      <c r="E4673" s="2721">
        <v>1</v>
      </c>
      <c r="F4673" s="294"/>
      <c r="G4673" s="409" t="s">
        <v>2792</v>
      </c>
      <c r="H4673" s="383"/>
      <c r="I4673" s="401"/>
      <c r="J4673" s="291"/>
      <c r="K4673" s="291"/>
      <c r="L4673" s="291"/>
      <c r="M4673" s="291"/>
      <c r="S4673" s="364"/>
      <c r="Z4673" s="609" t="s">
        <v>4255</v>
      </c>
      <c r="AA4673" s="609" t="s">
        <v>5706</v>
      </c>
    </row>
    <row r="4674" spans="1:27" ht="18">
      <c r="A4674" s="2714"/>
      <c r="B4674" s="371">
        <v>109</v>
      </c>
      <c r="C4674" s="371" t="s">
        <v>2791</v>
      </c>
      <c r="D4674" s="2716">
        <f t="shared" si="515"/>
        <v>0</v>
      </c>
      <c r="E4674" s="2721">
        <v>1</v>
      </c>
      <c r="F4674" s="294"/>
      <c r="G4674" s="409" t="s">
        <v>2792</v>
      </c>
      <c r="H4674" s="383"/>
      <c r="I4674" s="401"/>
      <c r="J4674" s="291"/>
      <c r="K4674" s="291"/>
      <c r="L4674" s="291"/>
      <c r="M4674" s="291"/>
      <c r="S4674" s="364"/>
      <c r="Z4674" s="609" t="s">
        <v>4255</v>
      </c>
      <c r="AA4674" s="609" t="s">
        <v>5706</v>
      </c>
    </row>
    <row r="4675" spans="1:27" ht="18">
      <c r="A4675" s="2714"/>
      <c r="B4675" s="371">
        <v>110</v>
      </c>
      <c r="C4675" s="371" t="s">
        <v>2791</v>
      </c>
      <c r="D4675" s="2716">
        <f t="shared" si="515"/>
        <v>0</v>
      </c>
      <c r="E4675" s="2721">
        <v>1</v>
      </c>
      <c r="F4675" s="294"/>
      <c r="G4675" s="409" t="s">
        <v>2792</v>
      </c>
      <c r="H4675" s="383"/>
      <c r="I4675" s="401"/>
      <c r="J4675" s="291"/>
      <c r="K4675" s="291"/>
      <c r="L4675" s="291"/>
      <c r="M4675" s="291"/>
      <c r="S4675" s="364"/>
      <c r="Z4675" s="609" t="s">
        <v>4255</v>
      </c>
      <c r="AA4675" s="609" t="s">
        <v>5706</v>
      </c>
    </row>
    <row r="4676" spans="1:27" ht="18">
      <c r="A4676" s="2714"/>
      <c r="B4676" s="371">
        <v>111</v>
      </c>
      <c r="C4676" s="371" t="s">
        <v>2791</v>
      </c>
      <c r="D4676" s="2716">
        <f t="shared" si="515"/>
        <v>0</v>
      </c>
      <c r="E4676" s="2721">
        <v>1</v>
      </c>
      <c r="F4676" s="294"/>
      <c r="G4676" s="409" t="s">
        <v>2792</v>
      </c>
      <c r="H4676" s="383"/>
      <c r="I4676" s="401"/>
      <c r="J4676" s="291"/>
      <c r="K4676" s="291"/>
      <c r="L4676" s="291"/>
      <c r="M4676" s="291"/>
      <c r="S4676" s="364"/>
      <c r="Z4676" s="609" t="s">
        <v>4255</v>
      </c>
      <c r="AA4676" s="609" t="s">
        <v>5706</v>
      </c>
    </row>
    <row r="4677" spans="1:27" ht="18">
      <c r="A4677" s="2714"/>
      <c r="B4677" s="371">
        <v>112</v>
      </c>
      <c r="C4677" s="371" t="s">
        <v>2791</v>
      </c>
      <c r="D4677" s="2716">
        <f t="shared" si="515"/>
        <v>0</v>
      </c>
      <c r="E4677" s="2721">
        <v>1</v>
      </c>
      <c r="F4677" s="294"/>
      <c r="G4677" s="409" t="s">
        <v>2792</v>
      </c>
      <c r="H4677" s="383"/>
      <c r="I4677" s="401"/>
      <c r="J4677" s="291"/>
      <c r="K4677" s="291"/>
      <c r="L4677" s="291"/>
      <c r="M4677" s="291"/>
      <c r="S4677" s="364"/>
      <c r="Z4677" s="609" t="s">
        <v>4255</v>
      </c>
      <c r="AA4677" s="609" t="s">
        <v>5706</v>
      </c>
    </row>
    <row r="4678" spans="1:27" ht="18">
      <c r="A4678" s="2714"/>
      <c r="B4678" s="371">
        <v>113</v>
      </c>
      <c r="C4678" s="371" t="s">
        <v>2791</v>
      </c>
      <c r="D4678" s="2716">
        <f t="shared" si="515"/>
        <v>0</v>
      </c>
      <c r="E4678" s="2721">
        <v>1</v>
      </c>
      <c r="F4678" s="294"/>
      <c r="G4678" s="409" t="s">
        <v>2792</v>
      </c>
      <c r="H4678" s="383"/>
      <c r="I4678" s="401"/>
      <c r="J4678" s="291"/>
      <c r="K4678" s="291"/>
      <c r="L4678" s="291"/>
      <c r="M4678" s="291"/>
      <c r="S4678" s="364"/>
      <c r="Z4678" s="609" t="s">
        <v>4255</v>
      </c>
      <c r="AA4678" s="609" t="s">
        <v>5706</v>
      </c>
    </row>
    <row r="4679" spans="1:27" ht="18">
      <c r="A4679" s="2714"/>
      <c r="B4679" s="371">
        <v>114</v>
      </c>
      <c r="C4679" s="371" t="s">
        <v>2791</v>
      </c>
      <c r="D4679" s="2716">
        <f t="shared" si="515"/>
        <v>0</v>
      </c>
      <c r="E4679" s="2721">
        <v>1</v>
      </c>
      <c r="F4679" s="294"/>
      <c r="G4679" s="409" t="s">
        <v>2792</v>
      </c>
      <c r="H4679" s="383"/>
      <c r="I4679" s="401"/>
      <c r="J4679" s="291"/>
      <c r="K4679" s="291"/>
      <c r="L4679" s="291"/>
      <c r="M4679" s="291"/>
      <c r="S4679" s="364"/>
      <c r="Z4679" s="609" t="s">
        <v>4255</v>
      </c>
      <c r="AA4679" s="609" t="s">
        <v>5706</v>
      </c>
    </row>
    <row r="4680" spans="1:27" ht="18">
      <c r="A4680" s="2714"/>
      <c r="B4680" s="371">
        <v>115</v>
      </c>
      <c r="C4680" s="371" t="s">
        <v>2791</v>
      </c>
      <c r="D4680" s="2716">
        <f t="shared" si="515"/>
        <v>0</v>
      </c>
      <c r="E4680" s="2721">
        <v>1</v>
      </c>
      <c r="F4680" s="294"/>
      <c r="G4680" s="409" t="s">
        <v>2792</v>
      </c>
      <c r="H4680" s="383"/>
      <c r="I4680" s="401"/>
      <c r="J4680" s="291"/>
      <c r="K4680" s="291"/>
      <c r="L4680" s="291"/>
      <c r="M4680" s="291"/>
      <c r="S4680" s="364"/>
      <c r="Z4680" s="609" t="s">
        <v>4255</v>
      </c>
      <c r="AA4680" s="609" t="s">
        <v>5706</v>
      </c>
    </row>
    <row r="4681" spans="1:27" ht="18.75" thickBot="1">
      <c r="A4681" s="2714"/>
      <c r="B4681" s="371"/>
      <c r="C4681" s="371"/>
      <c r="D4681" s="2716">
        <f t="shared" si="515"/>
        <v>1</v>
      </c>
      <c r="E4681" s="2721" t="s">
        <v>2751</v>
      </c>
      <c r="F4681" s="294"/>
      <c r="G4681" s="403" t="s">
        <v>2752</v>
      </c>
      <c r="H4681" s="503">
        <f>SUMPRODUCT($E4665:$E4680,H4665:H4680)</f>
        <v>0</v>
      </c>
      <c r="I4681" s="515">
        <f>SUMPRODUCT($E4665:$E4680,I4665:I4680)</f>
        <v>0</v>
      </c>
      <c r="J4681" s="291"/>
      <c r="K4681" s="291"/>
      <c r="L4681" s="291"/>
      <c r="M4681" s="291"/>
      <c r="S4681" s="364"/>
      <c r="Z4681" s="609" t="s">
        <v>4255</v>
      </c>
      <c r="AA4681" s="609" t="s">
        <v>5706</v>
      </c>
    </row>
    <row r="4682" spans="1:27" ht="18">
      <c r="A4682" s="2714"/>
      <c r="B4682" s="371"/>
      <c r="C4682" s="371" t="s">
        <v>2755</v>
      </c>
      <c r="D4682" s="371"/>
      <c r="F4682" s="294"/>
      <c r="G4682" s="301"/>
      <c r="H4682" s="349"/>
      <c r="I4682" s="349"/>
      <c r="J4682" s="291"/>
      <c r="K4682" s="291"/>
      <c r="L4682" s="291"/>
      <c r="M4682" s="291"/>
      <c r="S4682" s="364"/>
      <c r="Z4682" s="609" t="s">
        <v>4255</v>
      </c>
      <c r="AA4682" s="609" t="s">
        <v>5706</v>
      </c>
    </row>
    <row r="4683" spans="1:27" ht="18">
      <c r="A4683" s="2714" t="s">
        <v>1910</v>
      </c>
      <c r="B4683" s="371">
        <v>2</v>
      </c>
      <c r="C4683" s="371"/>
      <c r="D4683" s="2716" t="str">
        <f>VLOOKUP($A4683,Sheet_NoteList,2,0)</f>
        <v>销售费用补充资料</v>
      </c>
      <c r="E4683" s="2716" t="s">
        <v>6531</v>
      </c>
      <c r="F4683" s="294"/>
      <c r="G4683" s="307" t="str">
        <f>"("&amp;B4683&amp;")"&amp;D4683</f>
        <v>(2)销售费用补充资料</v>
      </c>
      <c r="H4683" s="1517" t="str">
        <f>$A4683</f>
        <v>6601x</v>
      </c>
      <c r="I4683" s="343" t="s">
        <v>5965</v>
      </c>
      <c r="J4683" s="301" t="s">
        <v>5984</v>
      </c>
      <c r="K4683" s="2210">
        <f>H4698</f>
        <v>5521.44</v>
      </c>
      <c r="L4683" s="1535" t="str">
        <f>IF($I4683="适用",IF(ROUND(K4682-K4683,2)&gt;=0,IF(K4682&lt;&gt;0,K4683/K4682,""),"#Logical!"),"#N/A")</f>
        <v>#Logical!</v>
      </c>
      <c r="M4683" s="301" t="s">
        <v>5985</v>
      </c>
      <c r="N4683" s="2210">
        <f>I4698</f>
        <v>5521.44</v>
      </c>
      <c r="O4683" s="1535" t="str">
        <f>IF($I4683="适用",IF(ROUND(N4682-N4683,2)&gt;=0,IF(N4682&lt;&gt;0,N4683/N4682,""),"#Logical!"),"#N/A")</f>
        <v>#Logical!</v>
      </c>
      <c r="P4683" s="301"/>
      <c r="S4683" s="364"/>
      <c r="Z4683" s="609" t="s">
        <v>4255</v>
      </c>
      <c r="AA4683" s="609" t="s">
        <v>5706</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8">
      <c r="A4685" s="2714"/>
      <c r="B4685" s="371"/>
      <c r="C4685" s="371"/>
      <c r="D4685" s="371"/>
      <c r="E4685" s="586" t="s">
        <v>2749</v>
      </c>
      <c r="F4685" s="363"/>
      <c r="G4685" s="2451" t="s">
        <v>47</v>
      </c>
      <c r="H4685" s="2447" t="s">
        <v>4242</v>
      </c>
      <c r="I4685" s="2446" t="s">
        <v>4245</v>
      </c>
      <c r="J4685" s="355" t="s">
        <v>6141</v>
      </c>
      <c r="K4685" s="291"/>
      <c r="L4685" s="291"/>
      <c r="M4685" s="291"/>
      <c r="S4685" s="364"/>
      <c r="Z4685" s="609" t="s">
        <v>4255</v>
      </c>
      <c r="AA4685" s="609" t="s">
        <v>5706</v>
      </c>
    </row>
    <row r="4686" spans="1:27" ht="18">
      <c r="A4686" s="2714"/>
      <c r="B4686" s="371">
        <v>101</v>
      </c>
      <c r="C4686" s="371" t="s">
        <v>2791</v>
      </c>
      <c r="D4686" s="2716">
        <f t="shared" ref="D4686:D4691" si="516">IF(OR(G4686="*",G4686="",G4686=0),0,COUNTIF($G$4686:$G$4691,G4686))</f>
        <v>0</v>
      </c>
      <c r="E4686" s="2721">
        <v>1</v>
      </c>
      <c r="F4686" s="294"/>
      <c r="G4686" s="2448" t="s">
        <v>2792</v>
      </c>
      <c r="H4686" s="2275"/>
      <c r="I4686" s="2296"/>
      <c r="J4686" s="579"/>
      <c r="K4686" s="291"/>
      <c r="L4686" s="291"/>
      <c r="M4686" s="291"/>
      <c r="S4686" s="364"/>
      <c r="Z4686" s="609" t="s">
        <v>4255</v>
      </c>
      <c r="AA4686" s="609" t="s">
        <v>5706</v>
      </c>
    </row>
    <row r="4687" spans="1:27" ht="18">
      <c r="A4687" s="2714"/>
      <c r="B4687" s="371">
        <v>102</v>
      </c>
      <c r="C4687" s="371" t="s">
        <v>2791</v>
      </c>
      <c r="D4687" s="2716">
        <f t="shared" si="516"/>
        <v>0</v>
      </c>
      <c r="E4687" s="2721">
        <v>1</v>
      </c>
      <c r="F4687" s="294"/>
      <c r="G4687" s="2448" t="s">
        <v>2792</v>
      </c>
      <c r="H4687" s="2275"/>
      <c r="I4687" s="2296"/>
      <c r="J4687" s="291"/>
      <c r="K4687" s="291"/>
      <c r="L4687" s="291"/>
      <c r="M4687" s="291"/>
      <c r="S4687" s="364"/>
      <c r="Z4687" s="609" t="s">
        <v>4255</v>
      </c>
      <c r="AA4687" s="609" t="s">
        <v>5706</v>
      </c>
    </row>
    <row r="4688" spans="1:27" ht="18">
      <c r="A4688" s="2714"/>
      <c r="B4688" s="371">
        <v>103</v>
      </c>
      <c r="C4688" s="371" t="s">
        <v>2791</v>
      </c>
      <c r="D4688" s="2716">
        <f t="shared" si="516"/>
        <v>0</v>
      </c>
      <c r="E4688" s="2721">
        <v>1</v>
      </c>
      <c r="F4688" s="294"/>
      <c r="G4688" s="2448" t="s">
        <v>2792</v>
      </c>
      <c r="H4688" s="2275"/>
      <c r="I4688" s="2296"/>
      <c r="J4688" s="291"/>
      <c r="K4688" s="291"/>
      <c r="L4688" s="291"/>
      <c r="M4688" s="291"/>
      <c r="S4688" s="364"/>
      <c r="Z4688" s="609" t="s">
        <v>4255</v>
      </c>
      <c r="AA4688" s="609" t="s">
        <v>5706</v>
      </c>
    </row>
    <row r="4689" spans="1:27" ht="18">
      <c r="A4689" s="2714"/>
      <c r="B4689" s="371">
        <v>104</v>
      </c>
      <c r="C4689" s="371" t="s">
        <v>2791</v>
      </c>
      <c r="D4689" s="2716">
        <f t="shared" si="516"/>
        <v>0</v>
      </c>
      <c r="E4689" s="2721">
        <v>1</v>
      </c>
      <c r="F4689" s="294"/>
      <c r="G4689" s="2448" t="s">
        <v>2792</v>
      </c>
      <c r="H4689" s="2275"/>
      <c r="I4689" s="2296"/>
      <c r="J4689" s="291"/>
      <c r="K4689" s="291"/>
      <c r="L4689" s="291"/>
      <c r="M4689" s="291"/>
      <c r="S4689" s="364"/>
      <c r="Z4689" s="609" t="s">
        <v>4255</v>
      </c>
      <c r="AA4689" s="609" t="s">
        <v>5706</v>
      </c>
    </row>
    <row r="4690" spans="1:27" ht="18">
      <c r="A4690" s="2714"/>
      <c r="B4690" s="371">
        <v>105</v>
      </c>
      <c r="C4690" s="371" t="s">
        <v>2791</v>
      </c>
      <c r="D4690" s="2716">
        <f t="shared" si="516"/>
        <v>0</v>
      </c>
      <c r="E4690" s="2721">
        <v>1</v>
      </c>
      <c r="F4690" s="294"/>
      <c r="G4690" s="2448" t="s">
        <v>2792</v>
      </c>
      <c r="H4690" s="2275"/>
      <c r="I4690" s="2296"/>
      <c r="J4690" s="291"/>
      <c r="K4690" s="291"/>
      <c r="L4690" s="291"/>
      <c r="M4690" s="291"/>
      <c r="S4690" s="364"/>
      <c r="Z4690" s="609" t="s">
        <v>4255</v>
      </c>
      <c r="AA4690" s="609" t="s">
        <v>5706</v>
      </c>
    </row>
    <row r="4691" spans="1:27" ht="18.75" thickBot="1">
      <c r="A4691" s="2714"/>
      <c r="B4691" s="371"/>
      <c r="C4691" s="371"/>
      <c r="D4691" s="2716">
        <f t="shared" si="516"/>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5706</v>
      </c>
    </row>
    <row r="4692" spans="1:27" ht="18">
      <c r="A4692" s="2714"/>
      <c r="B4692" s="371"/>
      <c r="C4692" s="371" t="s">
        <v>2755</v>
      </c>
      <c r="D4692" s="371"/>
      <c r="F4692" s="294"/>
      <c r="G4692" s="301"/>
      <c r="H4692" s="315"/>
      <c r="I4692" s="315"/>
      <c r="J4692" s="291"/>
      <c r="K4692" s="291"/>
      <c r="L4692" s="291"/>
      <c r="M4692" s="291"/>
      <c r="S4692" s="364"/>
      <c r="Z4692" s="609" t="s">
        <v>4255</v>
      </c>
      <c r="AA4692" s="609" t="s">
        <v>5706</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5051217.3499999996</v>
      </c>
      <c r="L4693" s="342"/>
      <c r="M4693" s="306" t="s">
        <v>4207</v>
      </c>
      <c r="N4693" s="341">
        <f>VLOOKUP($A4693,Sheet_Trialbal,10,0)</f>
        <v>5160685.92</v>
      </c>
      <c r="O4693" s="306"/>
      <c r="P4693" s="301"/>
      <c r="S4693" s="364"/>
      <c r="Z4693" s="609" t="s">
        <v>4260</v>
      </c>
      <c r="AA4693" s="609" t="s">
        <v>5707</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5051217.3499999996</v>
      </c>
      <c r="L4694" s="1535">
        <f>IF($I4694="适用",IF(ROUND(K4693-K4694,2)&gt;=0,IF(K4693&lt;&gt;0,K4694/K4693,""),"#Logical!"),"#N/A")</f>
        <v>1</v>
      </c>
      <c r="M4694" s="301" t="s">
        <v>4257</v>
      </c>
      <c r="N4694" s="2210">
        <f>I4712</f>
        <v>5160685.92</v>
      </c>
      <c r="O4694" s="1535">
        <f>IF($I4694="适用",IF(ROUND(N4693-N4694,2)&gt;=0,IF(N4693&lt;&gt;0,N4694/N4693,""),"#Logical!"),"#N/A")</f>
        <v>1</v>
      </c>
      <c r="P4694" s="301"/>
      <c r="Q4694" s="290" t="str">
        <f>IF($I4694="不适用","",IF(ROUND(SUM($H$4697:$I$4712),2)=0,"请输入",""))</f>
        <v/>
      </c>
      <c r="S4694" s="364"/>
      <c r="Z4694" s="609" t="s">
        <v>4260</v>
      </c>
      <c r="AA4694" s="609" t="s">
        <v>5707</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8">
      <c r="A4696" s="2714"/>
      <c r="B4696" s="371"/>
      <c r="C4696" s="371"/>
      <c r="D4696" s="371"/>
      <c r="E4696" s="586" t="s">
        <v>2749</v>
      </c>
      <c r="F4696" s="363"/>
      <c r="G4696" s="2449" t="s">
        <v>47</v>
      </c>
      <c r="H4696" s="2445" t="str">
        <f>$V$4</f>
        <v>2019年度</v>
      </c>
      <c r="I4696" s="2444" t="str">
        <f>$V$5</f>
        <v>2018年度</v>
      </c>
      <c r="J4696" s="355" t="s">
        <v>5329</v>
      </c>
      <c r="K4696" s="291"/>
      <c r="L4696" s="291"/>
      <c r="M4696" s="291"/>
      <c r="S4696" s="364"/>
      <c r="Z4696" s="609" t="s">
        <v>4260</v>
      </c>
      <c r="AA4696" s="609" t="s">
        <v>5707</v>
      </c>
    </row>
    <row r="4697" spans="1:27" ht="18">
      <c r="A4697" s="2714"/>
      <c r="B4697" s="371">
        <v>101</v>
      </c>
      <c r="C4697" s="371" t="s">
        <v>2791</v>
      </c>
      <c r="D4697" s="2716">
        <f t="shared" ref="D4697:D4712" si="517">IF(OR(G4697="*",G4697="",G4697=0),0,COUNTIF($G$4697:$G$4712,G4697))</f>
        <v>1</v>
      </c>
      <c r="E4697" s="2721">
        <v>1</v>
      </c>
      <c r="F4697" s="294"/>
      <c r="G4697" s="2448" t="s">
        <v>6905</v>
      </c>
      <c r="H4697" s="2275">
        <f>AJE!O10+4992905.33</f>
        <v>4812405.33</v>
      </c>
      <c r="I4697" s="2296">
        <v>2315863.41</v>
      </c>
      <c r="J4697" s="291"/>
      <c r="K4697" s="291"/>
      <c r="L4697" s="291"/>
      <c r="M4697" s="291"/>
      <c r="S4697" s="364"/>
      <c r="Z4697" s="609" t="s">
        <v>4260</v>
      </c>
      <c r="AA4697" s="609" t="s">
        <v>5707</v>
      </c>
    </row>
    <row r="4698" spans="1:27" ht="18">
      <c r="A4698" s="2714"/>
      <c r="B4698" s="371">
        <v>102</v>
      </c>
      <c r="C4698" s="371" t="s">
        <v>2791</v>
      </c>
      <c r="D4698" s="2716">
        <f t="shared" si="517"/>
        <v>1</v>
      </c>
      <c r="E4698" s="2721">
        <v>1</v>
      </c>
      <c r="F4698" s="294"/>
      <c r="G4698" s="2448" t="s">
        <v>6906</v>
      </c>
      <c r="H4698" s="2275">
        <v>5521.44</v>
      </c>
      <c r="I4698" s="2296">
        <v>5521.44</v>
      </c>
      <c r="J4698" s="291"/>
      <c r="K4698" s="291"/>
      <c r="L4698" s="291"/>
      <c r="M4698" s="291"/>
      <c r="S4698" s="364"/>
      <c r="Z4698" s="609" t="s">
        <v>4260</v>
      </c>
      <c r="AA4698" s="609" t="s">
        <v>5707</v>
      </c>
    </row>
    <row r="4699" spans="1:27" ht="18">
      <c r="A4699" s="2714"/>
      <c r="B4699" s="371">
        <v>103</v>
      </c>
      <c r="C4699" s="371" t="s">
        <v>2791</v>
      </c>
      <c r="D4699" s="2716">
        <f t="shared" si="517"/>
        <v>1</v>
      </c>
      <c r="E4699" s="2721">
        <v>1</v>
      </c>
      <c r="F4699" s="294"/>
      <c r="G4699" s="2448" t="s">
        <v>6907</v>
      </c>
      <c r="H4699" s="2275">
        <f>33998.06-280</f>
        <v>33718.06</v>
      </c>
      <c r="I4699" s="2296">
        <v>2602052.06</v>
      </c>
      <c r="J4699" s="291"/>
      <c r="K4699" s="291"/>
      <c r="L4699" s="291"/>
      <c r="M4699" s="291"/>
      <c r="S4699" s="364"/>
      <c r="Z4699" s="609" t="s">
        <v>4260</v>
      </c>
      <c r="AA4699" s="609" t="s">
        <v>5707</v>
      </c>
    </row>
    <row r="4700" spans="1:27" ht="18">
      <c r="A4700" s="2714"/>
      <c r="B4700" s="371">
        <v>104</v>
      </c>
      <c r="C4700" s="371" t="s">
        <v>2791</v>
      </c>
      <c r="D4700" s="2716">
        <f t="shared" si="517"/>
        <v>1</v>
      </c>
      <c r="E4700" s="2721">
        <v>1</v>
      </c>
      <c r="F4700" s="294"/>
      <c r="G4700" s="2448" t="s">
        <v>6855</v>
      </c>
      <c r="H4700" s="2275">
        <v>170133</v>
      </c>
      <c r="I4700" s="2296">
        <f>-2259+186790</f>
        <v>184531</v>
      </c>
      <c r="J4700" s="291"/>
      <c r="K4700" s="291"/>
      <c r="L4700" s="291"/>
      <c r="M4700" s="291"/>
      <c r="S4700" s="364"/>
      <c r="Z4700" s="609" t="s">
        <v>4260</v>
      </c>
      <c r="AA4700" s="609" t="s">
        <v>5707</v>
      </c>
    </row>
    <row r="4701" spans="1:27" ht="18">
      <c r="A4701" s="2714"/>
      <c r="B4701" s="371">
        <v>105</v>
      </c>
      <c r="C4701" s="371" t="s">
        <v>2791</v>
      </c>
      <c r="D4701" s="2716">
        <f t="shared" si="517"/>
        <v>1</v>
      </c>
      <c r="E4701" s="2721">
        <v>1</v>
      </c>
      <c r="F4701" s="294"/>
      <c r="G4701" s="2448" t="s">
        <v>6908</v>
      </c>
      <c r="H4701" s="2275">
        <v>29439.52</v>
      </c>
      <c r="I4701" s="2296">
        <v>52718.01</v>
      </c>
      <c r="J4701" s="3187"/>
      <c r="K4701" s="291"/>
      <c r="L4701" s="291"/>
      <c r="M4701" s="291"/>
      <c r="S4701" s="364"/>
      <c r="Z4701" s="609" t="s">
        <v>4260</v>
      </c>
      <c r="AA4701" s="609" t="s">
        <v>5707</v>
      </c>
    </row>
    <row r="4702" spans="1:27" ht="18">
      <c r="A4702" s="2714"/>
      <c r="B4702" s="371">
        <v>106</v>
      </c>
      <c r="C4702" s="371" t="s">
        <v>2791</v>
      </c>
      <c r="D4702" s="2716">
        <f t="shared" si="517"/>
        <v>0</v>
      </c>
      <c r="E4702" s="2721">
        <v>1</v>
      </c>
      <c r="F4702" s="294"/>
      <c r="G4702" s="2448" t="s">
        <v>2792</v>
      </c>
      <c r="H4702" s="2275"/>
      <c r="I4702" s="2296"/>
      <c r="J4702" s="291"/>
      <c r="K4702" s="291"/>
      <c r="L4702" s="291"/>
      <c r="M4702" s="291"/>
      <c r="S4702" s="364"/>
      <c r="Z4702" s="609" t="s">
        <v>4260</v>
      </c>
      <c r="AA4702" s="609" t="s">
        <v>5707</v>
      </c>
    </row>
    <row r="4703" spans="1:27" ht="18">
      <c r="A4703" s="2714"/>
      <c r="B4703" s="371">
        <v>107</v>
      </c>
      <c r="C4703" s="371" t="s">
        <v>2791</v>
      </c>
      <c r="D4703" s="2716">
        <f t="shared" si="517"/>
        <v>0</v>
      </c>
      <c r="E4703" s="2721">
        <v>1</v>
      </c>
      <c r="F4703" s="294"/>
      <c r="G4703" s="2448" t="s">
        <v>2792</v>
      </c>
      <c r="H4703" s="2275"/>
      <c r="I4703" s="2296"/>
      <c r="J4703" s="291"/>
      <c r="K4703" s="291"/>
      <c r="L4703" s="291"/>
      <c r="M4703" s="291"/>
      <c r="S4703" s="364"/>
      <c r="Z4703" s="609" t="s">
        <v>4260</v>
      </c>
      <c r="AA4703" s="609" t="s">
        <v>5707</v>
      </c>
    </row>
    <row r="4704" spans="1:27" ht="18">
      <c r="A4704" s="2714"/>
      <c r="B4704" s="371">
        <v>108</v>
      </c>
      <c r="C4704" s="371" t="s">
        <v>2791</v>
      </c>
      <c r="D4704" s="2716">
        <f t="shared" si="517"/>
        <v>0</v>
      </c>
      <c r="E4704" s="2721">
        <v>1</v>
      </c>
      <c r="F4704" s="294"/>
      <c r="G4704" s="2448" t="s">
        <v>2792</v>
      </c>
      <c r="H4704" s="2275"/>
      <c r="I4704" s="2296"/>
      <c r="J4704" s="291"/>
      <c r="K4704" s="291"/>
      <c r="L4704" s="291"/>
      <c r="M4704" s="291"/>
      <c r="S4704" s="364"/>
      <c r="Z4704" s="609" t="s">
        <v>4260</v>
      </c>
      <c r="AA4704" s="609" t="s">
        <v>5707</v>
      </c>
    </row>
    <row r="4705" spans="1:27" ht="18">
      <c r="A4705" s="2714"/>
      <c r="B4705" s="371">
        <v>109</v>
      </c>
      <c r="C4705" s="371" t="s">
        <v>2791</v>
      </c>
      <c r="D4705" s="2716">
        <f t="shared" si="517"/>
        <v>0</v>
      </c>
      <c r="E4705" s="2721">
        <v>1</v>
      </c>
      <c r="F4705" s="294"/>
      <c r="G4705" s="2448" t="s">
        <v>2792</v>
      </c>
      <c r="H4705" s="2275"/>
      <c r="I4705" s="2296"/>
      <c r="J4705" s="291"/>
      <c r="K4705" s="291"/>
      <c r="L4705" s="291"/>
      <c r="M4705" s="291"/>
      <c r="S4705" s="364"/>
      <c r="Z4705" s="609" t="s">
        <v>4260</v>
      </c>
      <c r="AA4705" s="609" t="s">
        <v>5707</v>
      </c>
    </row>
    <row r="4706" spans="1:27" ht="18">
      <c r="A4706" s="2714"/>
      <c r="B4706" s="371">
        <v>110</v>
      </c>
      <c r="C4706" s="371" t="s">
        <v>2791</v>
      </c>
      <c r="D4706" s="2716">
        <f t="shared" si="517"/>
        <v>0</v>
      </c>
      <c r="E4706" s="2721">
        <v>1</v>
      </c>
      <c r="F4706" s="294"/>
      <c r="G4706" s="2448" t="s">
        <v>2792</v>
      </c>
      <c r="H4706" s="2275"/>
      <c r="I4706" s="2296"/>
      <c r="J4706" s="291"/>
      <c r="K4706" s="291"/>
      <c r="L4706" s="291"/>
      <c r="M4706" s="291"/>
      <c r="S4706" s="364"/>
      <c r="Z4706" s="609" t="s">
        <v>4260</v>
      </c>
      <c r="AA4706" s="609" t="s">
        <v>5707</v>
      </c>
    </row>
    <row r="4707" spans="1:27" ht="18">
      <c r="A4707" s="2714"/>
      <c r="B4707" s="371">
        <v>111</v>
      </c>
      <c r="C4707" s="371" t="s">
        <v>2791</v>
      </c>
      <c r="D4707" s="2716">
        <f t="shared" si="517"/>
        <v>0</v>
      </c>
      <c r="E4707" s="2721">
        <v>1</v>
      </c>
      <c r="F4707" s="294"/>
      <c r="G4707" s="2448" t="s">
        <v>2792</v>
      </c>
      <c r="H4707" s="2275"/>
      <c r="I4707" s="2296"/>
      <c r="J4707" s="291"/>
      <c r="K4707" s="291"/>
      <c r="L4707" s="291"/>
      <c r="M4707" s="291"/>
      <c r="S4707" s="364"/>
      <c r="Z4707" s="609" t="s">
        <v>4260</v>
      </c>
      <c r="AA4707" s="609" t="s">
        <v>5707</v>
      </c>
    </row>
    <row r="4708" spans="1:27" ht="18">
      <c r="A4708" s="2714"/>
      <c r="B4708" s="371">
        <v>112</v>
      </c>
      <c r="C4708" s="371" t="s">
        <v>2791</v>
      </c>
      <c r="D4708" s="2716">
        <f t="shared" si="517"/>
        <v>0</v>
      </c>
      <c r="E4708" s="2721">
        <v>1</v>
      </c>
      <c r="F4708" s="294"/>
      <c r="G4708" s="2448" t="s">
        <v>2792</v>
      </c>
      <c r="H4708" s="2275"/>
      <c r="I4708" s="2296"/>
      <c r="J4708" s="291"/>
      <c r="K4708" s="291"/>
      <c r="L4708" s="291"/>
      <c r="M4708" s="291"/>
      <c r="S4708" s="364"/>
      <c r="Z4708" s="609" t="s">
        <v>4260</v>
      </c>
      <c r="AA4708" s="609" t="s">
        <v>5707</v>
      </c>
    </row>
    <row r="4709" spans="1:27" ht="18">
      <c r="A4709" s="2714"/>
      <c r="B4709" s="371">
        <v>113</v>
      </c>
      <c r="C4709" s="371" t="s">
        <v>2791</v>
      </c>
      <c r="D4709" s="2716">
        <f t="shared" si="517"/>
        <v>0</v>
      </c>
      <c r="E4709" s="2721">
        <v>1</v>
      </c>
      <c r="F4709" s="294"/>
      <c r="G4709" s="2448" t="s">
        <v>2792</v>
      </c>
      <c r="H4709" s="2275"/>
      <c r="I4709" s="2296"/>
      <c r="J4709" s="291"/>
      <c r="K4709" s="291"/>
      <c r="L4709" s="291"/>
      <c r="M4709" s="291"/>
      <c r="S4709" s="364"/>
      <c r="Z4709" s="609" t="s">
        <v>4260</v>
      </c>
      <c r="AA4709" s="609" t="s">
        <v>5707</v>
      </c>
    </row>
    <row r="4710" spans="1:27" ht="18">
      <c r="A4710" s="2714"/>
      <c r="B4710" s="371">
        <v>114</v>
      </c>
      <c r="C4710" s="371" t="s">
        <v>2791</v>
      </c>
      <c r="D4710" s="2716">
        <f t="shared" si="517"/>
        <v>0</v>
      </c>
      <c r="E4710" s="2721">
        <v>1</v>
      </c>
      <c r="F4710" s="294"/>
      <c r="G4710" s="2448" t="s">
        <v>2792</v>
      </c>
      <c r="H4710" s="2275"/>
      <c r="I4710" s="2296"/>
      <c r="J4710" s="291"/>
      <c r="K4710" s="291"/>
      <c r="L4710" s="291"/>
      <c r="M4710" s="291"/>
      <c r="S4710" s="364"/>
      <c r="Z4710" s="609" t="s">
        <v>4260</v>
      </c>
      <c r="AA4710" s="609" t="s">
        <v>5707</v>
      </c>
    </row>
    <row r="4711" spans="1:27" ht="18">
      <c r="A4711" s="2714"/>
      <c r="B4711" s="371">
        <v>115</v>
      </c>
      <c r="C4711" s="371" t="s">
        <v>2791</v>
      </c>
      <c r="D4711" s="2716">
        <f t="shared" si="517"/>
        <v>0</v>
      </c>
      <c r="E4711" s="2721">
        <v>1</v>
      </c>
      <c r="F4711" s="294"/>
      <c r="G4711" s="2448" t="s">
        <v>2792</v>
      </c>
      <c r="H4711" s="2275"/>
      <c r="I4711" s="2296"/>
      <c r="J4711" s="291"/>
      <c r="K4711" s="291"/>
      <c r="L4711" s="291"/>
      <c r="M4711" s="291"/>
      <c r="S4711" s="364"/>
      <c r="Z4711" s="609" t="s">
        <v>4260</v>
      </c>
      <c r="AA4711" s="609" t="s">
        <v>5707</v>
      </c>
    </row>
    <row r="4712" spans="1:27" ht="18.75" thickBot="1">
      <c r="A4712" s="2714"/>
      <c r="B4712" s="371"/>
      <c r="C4712" s="371"/>
      <c r="D4712" s="2716">
        <f t="shared" si="517"/>
        <v>1</v>
      </c>
      <c r="E4712" s="2721" t="s">
        <v>2751</v>
      </c>
      <c r="F4712" s="294"/>
      <c r="G4712" s="374" t="s">
        <v>2752</v>
      </c>
      <c r="H4712" s="1478">
        <f>SUMPRODUCT($E4696:$E4711,H4696:H4711)</f>
        <v>5051217.3499999996</v>
      </c>
      <c r="I4712" s="1479">
        <f>SUMPRODUCT($E4696:$E4711,I4696:I4711)</f>
        <v>5160685.92</v>
      </c>
      <c r="J4712" s="291"/>
      <c r="K4712" s="291"/>
      <c r="L4712" s="291"/>
      <c r="M4712" s="291"/>
      <c r="S4712" s="364"/>
      <c r="Z4712" s="609" t="s">
        <v>4260</v>
      </c>
      <c r="AA4712" s="609" t="s">
        <v>5707</v>
      </c>
    </row>
    <row r="4713" spans="1:27" ht="18">
      <c r="A4713" s="2714"/>
      <c r="B4713" s="371"/>
      <c r="C4713" s="371" t="s">
        <v>2755</v>
      </c>
      <c r="D4713" s="371"/>
      <c r="F4713" s="294"/>
      <c r="G4713" s="301"/>
      <c r="H4713" s="315"/>
      <c r="I4713" s="315"/>
      <c r="J4713" s="291"/>
      <c r="K4713" s="291"/>
      <c r="L4713" s="291"/>
      <c r="M4713" s="291"/>
      <c r="S4713" s="364"/>
      <c r="Z4713" s="609" t="s">
        <v>4260</v>
      </c>
      <c r="AA4713" s="609" t="s">
        <v>5707</v>
      </c>
    </row>
    <row r="4714" spans="1:27" ht="18">
      <c r="A4714" s="2714" t="s">
        <v>1916</v>
      </c>
      <c r="B4714" s="371">
        <v>2</v>
      </c>
      <c r="C4714" s="371"/>
      <c r="D4714" s="2716" t="str">
        <f>VLOOKUP($A4714,Sheet_NoteList,2,0)</f>
        <v>管理费用补充资料</v>
      </c>
      <c r="E4714" s="2716" t="s">
        <v>6531</v>
      </c>
      <c r="F4714" s="294"/>
      <c r="G4714" s="307" t="str">
        <f>"("&amp;B4714&amp;")"&amp;D4714</f>
        <v>(2)管理费用补充资料</v>
      </c>
      <c r="H4714" s="1517" t="str">
        <f>$A4714</f>
        <v>6602x</v>
      </c>
      <c r="I4714" s="343" t="s">
        <v>5966</v>
      </c>
      <c r="J4714" s="301" t="s">
        <v>5986</v>
      </c>
      <c r="K4714" s="2210">
        <f>H4722</f>
        <v>0</v>
      </c>
      <c r="L4714" s="1535"/>
      <c r="M4714" s="301" t="s">
        <v>5987</v>
      </c>
      <c r="N4714" s="2210">
        <f>I4722</f>
        <v>0</v>
      </c>
      <c r="O4714" s="1535"/>
      <c r="P4714" s="301"/>
      <c r="S4714" s="364"/>
      <c r="Z4714" s="609" t="s">
        <v>4260</v>
      </c>
      <c r="AA4714" s="609" t="s">
        <v>5707</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8">
      <c r="A4716" s="2714"/>
      <c r="B4716" s="371"/>
      <c r="C4716" s="371"/>
      <c r="D4716" s="371"/>
      <c r="E4716" s="586" t="s">
        <v>2749</v>
      </c>
      <c r="F4716" s="363"/>
      <c r="G4716" s="2451" t="s">
        <v>47</v>
      </c>
      <c r="H4716" s="2447" t="s">
        <v>4242</v>
      </c>
      <c r="I4716" s="2446" t="s">
        <v>4245</v>
      </c>
      <c r="J4716" s="355" t="s">
        <v>6141</v>
      </c>
      <c r="K4716" s="291"/>
      <c r="L4716" s="291"/>
      <c r="M4716" s="291"/>
      <c r="S4716" s="364"/>
      <c r="Z4716" s="609" t="s">
        <v>4260</v>
      </c>
      <c r="AA4716" s="609" t="s">
        <v>5707</v>
      </c>
    </row>
    <row r="4717" spans="1:27" ht="18">
      <c r="A4717" s="2714"/>
      <c r="B4717" s="371">
        <v>101</v>
      </c>
      <c r="C4717" s="371" t="s">
        <v>2791</v>
      </c>
      <c r="D4717" s="2716">
        <f t="shared" ref="D4717:D4722" si="518">IF(OR(G4717="*",G4717="",G4717=0),0,COUNTIF($G$4717:$G$4722,G4717))</f>
        <v>0</v>
      </c>
      <c r="E4717" s="2721">
        <v>1</v>
      </c>
      <c r="F4717" s="294"/>
      <c r="G4717" s="2448" t="s">
        <v>2792</v>
      </c>
      <c r="H4717" s="2275"/>
      <c r="I4717" s="2296"/>
      <c r="J4717" s="579"/>
      <c r="K4717" s="291"/>
      <c r="L4717" s="291"/>
      <c r="M4717" s="291"/>
      <c r="S4717" s="364"/>
      <c r="Z4717" s="609" t="s">
        <v>4260</v>
      </c>
      <c r="AA4717" s="609" t="s">
        <v>5707</v>
      </c>
    </row>
    <row r="4718" spans="1:27" ht="18">
      <c r="A4718" s="2714"/>
      <c r="B4718" s="371">
        <v>102</v>
      </c>
      <c r="C4718" s="371" t="s">
        <v>2791</v>
      </c>
      <c r="D4718" s="2716">
        <f t="shared" si="518"/>
        <v>0</v>
      </c>
      <c r="E4718" s="2721">
        <v>1</v>
      </c>
      <c r="F4718" s="294"/>
      <c r="G4718" s="2448" t="s">
        <v>2792</v>
      </c>
      <c r="H4718" s="2275"/>
      <c r="I4718" s="2296"/>
      <c r="J4718" s="291"/>
      <c r="K4718" s="291"/>
      <c r="L4718" s="291"/>
      <c r="M4718" s="291"/>
      <c r="S4718" s="364"/>
      <c r="Z4718" s="609" t="s">
        <v>4260</v>
      </c>
      <c r="AA4718" s="609" t="s">
        <v>5707</v>
      </c>
    </row>
    <row r="4719" spans="1:27" ht="18">
      <c r="A4719" s="2714"/>
      <c r="B4719" s="371">
        <v>103</v>
      </c>
      <c r="C4719" s="371" t="s">
        <v>2791</v>
      </c>
      <c r="D4719" s="2716">
        <f t="shared" si="518"/>
        <v>0</v>
      </c>
      <c r="E4719" s="2721">
        <v>1</v>
      </c>
      <c r="F4719" s="294"/>
      <c r="G4719" s="2448" t="s">
        <v>2792</v>
      </c>
      <c r="H4719" s="2275"/>
      <c r="I4719" s="2296"/>
      <c r="J4719" s="291"/>
      <c r="K4719" s="291"/>
      <c r="L4719" s="291"/>
      <c r="M4719" s="291"/>
      <c r="S4719" s="364"/>
      <c r="Z4719" s="609" t="s">
        <v>4260</v>
      </c>
      <c r="AA4719" s="609" t="s">
        <v>5707</v>
      </c>
    </row>
    <row r="4720" spans="1:27" ht="18">
      <c r="A4720" s="2714"/>
      <c r="B4720" s="371">
        <v>104</v>
      </c>
      <c r="C4720" s="371" t="s">
        <v>2791</v>
      </c>
      <c r="D4720" s="2716">
        <f t="shared" si="518"/>
        <v>0</v>
      </c>
      <c r="E4720" s="2721">
        <v>1</v>
      </c>
      <c r="F4720" s="294"/>
      <c r="G4720" s="2448" t="s">
        <v>2792</v>
      </c>
      <c r="H4720" s="2275"/>
      <c r="I4720" s="2296"/>
      <c r="J4720" s="291"/>
      <c r="K4720" s="291"/>
      <c r="L4720" s="291"/>
      <c r="M4720" s="291"/>
      <c r="S4720" s="364"/>
      <c r="Z4720" s="609" t="s">
        <v>4260</v>
      </c>
      <c r="AA4720" s="609" t="s">
        <v>5707</v>
      </c>
    </row>
    <row r="4721" spans="1:27" ht="18">
      <c r="A4721" s="2714"/>
      <c r="B4721" s="371">
        <v>105</v>
      </c>
      <c r="C4721" s="371" t="s">
        <v>2791</v>
      </c>
      <c r="D4721" s="2716">
        <f t="shared" si="518"/>
        <v>0</v>
      </c>
      <c r="E4721" s="2721">
        <v>1</v>
      </c>
      <c r="F4721" s="294"/>
      <c r="G4721" s="2448" t="s">
        <v>2792</v>
      </c>
      <c r="H4721" s="2275"/>
      <c r="I4721" s="2296"/>
      <c r="J4721" s="291"/>
      <c r="K4721" s="291"/>
      <c r="L4721" s="291"/>
      <c r="M4721" s="291"/>
      <c r="S4721" s="364"/>
      <c r="Z4721" s="609" t="s">
        <v>4260</v>
      </c>
      <c r="AA4721" s="609" t="s">
        <v>5707</v>
      </c>
    </row>
    <row r="4722" spans="1:27" ht="18.75" thickBot="1">
      <c r="A4722" s="2714"/>
      <c r="B4722" s="371"/>
      <c r="C4722" s="371"/>
      <c r="D4722" s="2716">
        <f t="shared" si="518"/>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5707</v>
      </c>
    </row>
    <row r="4723" spans="1:27" ht="18">
      <c r="A4723" s="2714"/>
      <c r="B4723" s="371"/>
      <c r="C4723" s="371" t="s">
        <v>2755</v>
      </c>
      <c r="D4723" s="371"/>
      <c r="F4723" s="294"/>
      <c r="G4723" s="301"/>
      <c r="H4723" s="315"/>
      <c r="I4723" s="315"/>
      <c r="J4723" s="291"/>
      <c r="K4723" s="291"/>
      <c r="L4723" s="291"/>
      <c r="M4723" s="291"/>
      <c r="S4723" s="364"/>
      <c r="Z4723" s="609" t="s">
        <v>4260</v>
      </c>
      <c r="AA4723" s="609" t="s">
        <v>5707</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5708</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0</v>
      </c>
      <c r="L4725" s="349" t="str">
        <f>IF($I4725="适用",IF(ROUND(K$4724-K4725,2)=0,"F/S",ROUND(K$4724-K4725,2)),"#N/A")</f>
        <v>F/S</v>
      </c>
      <c r="M4725" s="301" t="s">
        <v>4211</v>
      </c>
      <c r="N4725" s="2210">
        <f>I4734</f>
        <v>0</v>
      </c>
      <c r="O4725" s="349" t="str">
        <f>IF($I4725="适用",IF(ROUND(N$4724-N4725,2)=0,"F/S",ROUND(N$4724-N4725,2)),"#N/A")</f>
        <v>F/S</v>
      </c>
      <c r="P4725" s="301"/>
      <c r="S4725" s="364"/>
      <c r="Z4725" s="609" t="s">
        <v>4263</v>
      </c>
      <c r="AA4725" s="609" t="s">
        <v>5708</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5708</v>
      </c>
    </row>
    <row r="4727" spans="1:27" ht="18">
      <c r="A4727" s="2714"/>
      <c r="B4727" s="371"/>
      <c r="C4727" s="371"/>
      <c r="D4727" s="2716"/>
      <c r="E4727" s="586" t="s">
        <v>2749</v>
      </c>
      <c r="F4727" s="586"/>
      <c r="G4727" s="2567" t="s">
        <v>47</v>
      </c>
      <c r="H4727" s="2606" t="str">
        <f>$V$4</f>
        <v>2019年度</v>
      </c>
      <c r="I4727" s="2607" t="str">
        <f>$V$5</f>
        <v>2018年度</v>
      </c>
      <c r="J4727" s="355" t="s">
        <v>5330</v>
      </c>
      <c r="K4727" s="391"/>
      <c r="L4727" s="349"/>
      <c r="M4727" s="301"/>
      <c r="N4727" s="391"/>
      <c r="O4727" s="349"/>
      <c r="P4727" s="301"/>
      <c r="S4727" s="364"/>
      <c r="Z4727" s="609" t="s">
        <v>4263</v>
      </c>
      <c r="AA4727" s="609" t="s">
        <v>5708</v>
      </c>
    </row>
    <row r="4728" spans="1:27" ht="18">
      <c r="A4728" s="2714"/>
      <c r="B4728" s="371">
        <v>101</v>
      </c>
      <c r="C4728" s="371" t="s">
        <v>2791</v>
      </c>
      <c r="D4728" s="2716">
        <f t="shared" ref="D4728:D4734" si="519">IF(OR(G4728="*",G4728="",G4728=0),0,COUNTIF($G$4728:$G$4734,G4728))</f>
        <v>1</v>
      </c>
      <c r="E4728" s="2721">
        <v>1</v>
      </c>
      <c r="F4728" s="371"/>
      <c r="G4728" s="2568" t="s">
        <v>4265</v>
      </c>
      <c r="H4728" s="2275"/>
      <c r="I4728" s="2296"/>
      <c r="J4728" s="301"/>
      <c r="K4728" s="391"/>
      <c r="L4728" s="349"/>
      <c r="M4728" s="301"/>
      <c r="N4728" s="391"/>
      <c r="O4728" s="349"/>
      <c r="P4728" s="301"/>
      <c r="S4728" s="364"/>
      <c r="Z4728" s="609" t="s">
        <v>4263</v>
      </c>
      <c r="AA4728" s="609" t="s">
        <v>5708</v>
      </c>
    </row>
    <row r="4729" spans="1:27" ht="18">
      <c r="A4729" s="2714"/>
      <c r="B4729" s="371">
        <v>102</v>
      </c>
      <c r="C4729" s="371" t="s">
        <v>2791</v>
      </c>
      <c r="D4729" s="2716">
        <f t="shared" si="519"/>
        <v>1</v>
      </c>
      <c r="E4729" s="2721">
        <v>1</v>
      </c>
      <c r="F4729" s="371"/>
      <c r="G4729" s="2568" t="s">
        <v>4266</v>
      </c>
      <c r="H4729" s="2275"/>
      <c r="I4729" s="2296"/>
      <c r="J4729" s="301"/>
      <c r="K4729" s="391"/>
      <c r="L4729" s="349"/>
      <c r="M4729" s="301"/>
      <c r="N4729" s="391"/>
      <c r="O4729" s="349"/>
      <c r="P4729" s="301"/>
      <c r="S4729" s="364"/>
      <c r="Z4729" s="609" t="s">
        <v>4263</v>
      </c>
      <c r="AA4729" s="609" t="s">
        <v>5708</v>
      </c>
    </row>
    <row r="4730" spans="1:27" ht="18">
      <c r="A4730" s="2714"/>
      <c r="B4730" s="371">
        <v>103</v>
      </c>
      <c r="C4730" s="371" t="s">
        <v>2791</v>
      </c>
      <c r="D4730" s="2716">
        <f t="shared" si="519"/>
        <v>1</v>
      </c>
      <c r="E4730" s="2721">
        <v>1</v>
      </c>
      <c r="F4730" s="371"/>
      <c r="G4730" s="2568" t="s">
        <v>4267</v>
      </c>
      <c r="H4730" s="2275"/>
      <c r="I4730" s="2296"/>
      <c r="J4730" s="301"/>
      <c r="K4730" s="391"/>
      <c r="L4730" s="349"/>
      <c r="M4730" s="301"/>
      <c r="N4730" s="391"/>
      <c r="O4730" s="349"/>
      <c r="P4730" s="301"/>
      <c r="S4730" s="364"/>
      <c r="Z4730" s="609" t="s">
        <v>4263</v>
      </c>
      <c r="AA4730" s="609" t="s">
        <v>5708</v>
      </c>
    </row>
    <row r="4731" spans="1:27" ht="18">
      <c r="A4731" s="2714"/>
      <c r="B4731" s="371">
        <v>104</v>
      </c>
      <c r="C4731" s="371" t="s">
        <v>2791</v>
      </c>
      <c r="D4731" s="2716">
        <f t="shared" si="519"/>
        <v>1</v>
      </c>
      <c r="E4731" s="2721">
        <v>1</v>
      </c>
      <c r="F4731" s="371"/>
      <c r="G4731" s="2568" t="s">
        <v>4268</v>
      </c>
      <c r="H4731" s="2275"/>
      <c r="I4731" s="2296"/>
      <c r="J4731" s="301"/>
      <c r="K4731" s="391"/>
      <c r="L4731" s="349"/>
      <c r="M4731" s="301"/>
      <c r="N4731" s="391"/>
      <c r="O4731" s="349"/>
      <c r="P4731" s="301"/>
      <c r="S4731" s="364"/>
      <c r="Z4731" s="609" t="s">
        <v>4263</v>
      </c>
      <c r="AA4731" s="609" t="s">
        <v>5708</v>
      </c>
    </row>
    <row r="4732" spans="1:27" ht="18">
      <c r="A4732" s="2714"/>
      <c r="B4732" s="371">
        <v>105</v>
      </c>
      <c r="C4732" s="371" t="s">
        <v>2791</v>
      </c>
      <c r="D4732" s="2716">
        <f t="shared" si="519"/>
        <v>0</v>
      </c>
      <c r="E4732" s="2721">
        <v>1</v>
      </c>
      <c r="F4732" s="371"/>
      <c r="G4732" s="2568" t="s">
        <v>2792</v>
      </c>
      <c r="H4732" s="2275"/>
      <c r="I4732" s="2296"/>
      <c r="J4732" s="301"/>
      <c r="K4732" s="391"/>
      <c r="L4732" s="349"/>
      <c r="M4732" s="301"/>
      <c r="N4732" s="391"/>
      <c r="O4732" s="349"/>
      <c r="P4732" s="301"/>
      <c r="S4732" s="364"/>
      <c r="Z4732" s="609" t="s">
        <v>4263</v>
      </c>
      <c r="AA4732" s="609" t="s">
        <v>5708</v>
      </c>
    </row>
    <row r="4733" spans="1:27" ht="18">
      <c r="A4733" s="2714"/>
      <c r="B4733" s="371">
        <v>106</v>
      </c>
      <c r="C4733" s="371" t="s">
        <v>2791</v>
      </c>
      <c r="D4733" s="2716">
        <f t="shared" si="519"/>
        <v>0</v>
      </c>
      <c r="E4733" s="2721">
        <v>1</v>
      </c>
      <c r="F4733" s="371"/>
      <c r="G4733" s="2568" t="s">
        <v>2792</v>
      </c>
      <c r="H4733" s="2275"/>
      <c r="I4733" s="2296"/>
      <c r="J4733" s="301"/>
      <c r="K4733" s="391"/>
      <c r="L4733" s="349"/>
      <c r="M4733" s="301"/>
      <c r="N4733" s="391"/>
      <c r="O4733" s="349"/>
      <c r="P4733" s="301"/>
      <c r="S4733" s="364"/>
      <c r="Z4733" s="609" t="s">
        <v>4263</v>
      </c>
      <c r="AA4733" s="609" t="s">
        <v>5708</v>
      </c>
    </row>
    <row r="4734" spans="1:27" ht="18.75" thickBot="1">
      <c r="A4734" s="2714"/>
      <c r="B4734" s="371"/>
      <c r="C4734" s="371"/>
      <c r="D4734" s="2716">
        <f t="shared" si="519"/>
        <v>1</v>
      </c>
      <c r="E4734" s="2721" t="s">
        <v>2751</v>
      </c>
      <c r="F4734" s="371"/>
      <c r="G4734" s="374" t="s">
        <v>2752</v>
      </c>
      <c r="H4734" s="1478">
        <f>SUMPRODUCT($E4727:$E4733,H4727:H4733)</f>
        <v>0</v>
      </c>
      <c r="I4734" s="1479">
        <f>SUMPRODUCT($E4727:$E4733,I4727:I4733)</f>
        <v>0</v>
      </c>
      <c r="J4734" s="301"/>
      <c r="K4734" s="391"/>
      <c r="L4734" s="349"/>
      <c r="M4734" s="301"/>
      <c r="N4734" s="391"/>
      <c r="O4734" s="349"/>
      <c r="P4734" s="301"/>
      <c r="S4734" s="364"/>
      <c r="Z4734" s="609" t="s">
        <v>4263</v>
      </c>
      <c r="AA4734" s="609" t="s">
        <v>5708</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5708</v>
      </c>
    </row>
    <row r="4736" spans="1:27" ht="18">
      <c r="A4736" s="2714" t="s">
        <v>6169</v>
      </c>
      <c r="B4736" s="371">
        <v>2</v>
      </c>
      <c r="C4736" s="371"/>
      <c r="D4736" s="2716" t="str">
        <f>VLOOKUP($A4736,Sheet_NoteList,2,0)</f>
        <v>研发费用补充资料</v>
      </c>
      <c r="E4736" s="2716" t="s">
        <v>6531</v>
      </c>
      <c r="F4736" s="293"/>
      <c r="G4736" s="372" t="str">
        <f>"("&amp;B4736&amp;")"&amp;D4736</f>
        <v>(2)研发费用补充资料</v>
      </c>
      <c r="H4736" s="1517" t="str">
        <f>$A4736</f>
        <v>6606x</v>
      </c>
      <c r="I4736" s="343" t="s">
        <v>6171</v>
      </c>
      <c r="J4736" s="301" t="s">
        <v>6172</v>
      </c>
      <c r="K4736" s="2210">
        <f>H4747</f>
        <v>0</v>
      </c>
      <c r="L4736" s="349" t="str">
        <f>IF($I4736="适用",IF(ROUND(K$4724-K4736,2)=0,"F/S",ROUND(K$4724-K4736,2)),"#N/A")</f>
        <v>F/S</v>
      </c>
      <c r="M4736" s="301" t="s">
        <v>6173</v>
      </c>
      <c r="N4736" s="2210">
        <f>I4747</f>
        <v>0</v>
      </c>
      <c r="O4736" s="349" t="str">
        <f>IF($I4736="适用",IF(ROUND(N$4724-N4736,2)=0,"F/S",ROUND(N$4724-N4736,2)),"#N/A")</f>
        <v>F/S</v>
      </c>
      <c r="P4736" s="301"/>
      <c r="S4736" s="364"/>
      <c r="Z4736" s="609" t="s">
        <v>4263</v>
      </c>
      <c r="AA4736" s="609" t="s">
        <v>5708</v>
      </c>
    </row>
    <row r="4737" spans="1:27" ht="0.75" customHeight="1" thickBot="1">
      <c r="A4737" s="2714"/>
      <c r="B4737" s="371"/>
      <c r="C4737" s="371"/>
      <c r="D4737" s="2716"/>
      <c r="E4737" s="586"/>
      <c r="F4737" s="586"/>
      <c r="G4737" s="2224" t="s">
        <v>6174</v>
      </c>
      <c r="H4737" s="371" t="s">
        <v>4223</v>
      </c>
      <c r="I4737" s="371" t="s">
        <v>4224</v>
      </c>
      <c r="J4737" s="371" t="s">
        <v>6216</v>
      </c>
      <c r="K4737" s="391"/>
      <c r="L4737" s="349"/>
      <c r="M4737" s="301"/>
      <c r="N4737" s="391"/>
      <c r="O4737" s="349"/>
      <c r="P4737" s="301"/>
      <c r="S4737" s="364"/>
      <c r="Z4737" s="609" t="s">
        <v>4263</v>
      </c>
      <c r="AA4737" s="609" t="s">
        <v>5708</v>
      </c>
    </row>
    <row r="4738" spans="1:27" ht="18">
      <c r="A4738" s="2714"/>
      <c r="B4738" s="371"/>
      <c r="C4738" s="371"/>
      <c r="D4738" s="2716"/>
      <c r="E4738" s="586" t="s">
        <v>2749</v>
      </c>
      <c r="F4738" s="414"/>
      <c r="G4738" s="2583" t="s">
        <v>47</v>
      </c>
      <c r="H4738" s="2586" t="str">
        <f>$V$4</f>
        <v>2019年度</v>
      </c>
      <c r="I4738" s="2586" t="str">
        <f>$V$5</f>
        <v>2018年度</v>
      </c>
      <c r="J4738" s="2585" t="s">
        <v>6175</v>
      </c>
      <c r="K4738" s="355" t="s">
        <v>6141</v>
      </c>
      <c r="L4738" s="349"/>
      <c r="M4738" s="301"/>
      <c r="N4738" s="391"/>
      <c r="O4738" s="349"/>
      <c r="P4738" s="301"/>
      <c r="S4738" s="364"/>
      <c r="Z4738" s="609" t="s">
        <v>4263</v>
      </c>
      <c r="AA4738" s="609" t="s">
        <v>5708</v>
      </c>
    </row>
    <row r="4739" spans="1:27" ht="18">
      <c r="A4739" s="2714"/>
      <c r="B4739" s="371">
        <v>101</v>
      </c>
      <c r="C4739" s="371" t="s">
        <v>2791</v>
      </c>
      <c r="D4739" s="2716">
        <f t="shared" ref="D4739:D4747" si="520">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5708</v>
      </c>
    </row>
    <row r="4740" spans="1:27" ht="18">
      <c r="A4740" s="2714"/>
      <c r="B4740" s="371">
        <v>102</v>
      </c>
      <c r="C4740" s="371" t="s">
        <v>2791</v>
      </c>
      <c r="D4740" s="2716">
        <f t="shared" si="520"/>
        <v>0</v>
      </c>
      <c r="E4740" s="2721">
        <v>1</v>
      </c>
      <c r="F4740" s="293"/>
      <c r="G4740" s="2589" t="s">
        <v>2792</v>
      </c>
      <c r="H4740" s="2275"/>
      <c r="I4740" s="2275"/>
      <c r="J4740" s="2276"/>
      <c r="K4740" s="391"/>
      <c r="L4740" s="349"/>
      <c r="M4740" s="301"/>
      <c r="N4740" s="391"/>
      <c r="O4740" s="349"/>
      <c r="P4740" s="301"/>
      <c r="S4740" s="364"/>
      <c r="Z4740" s="609" t="s">
        <v>4263</v>
      </c>
      <c r="AA4740" s="609" t="s">
        <v>5708</v>
      </c>
    </row>
    <row r="4741" spans="1:27" ht="18">
      <c r="A4741" s="2714"/>
      <c r="B4741" s="371">
        <v>103</v>
      </c>
      <c r="C4741" s="371" t="s">
        <v>2791</v>
      </c>
      <c r="D4741" s="2716">
        <f t="shared" si="520"/>
        <v>0</v>
      </c>
      <c r="E4741" s="2721">
        <v>1</v>
      </c>
      <c r="F4741" s="293"/>
      <c r="G4741" s="2589" t="s">
        <v>2792</v>
      </c>
      <c r="H4741" s="2275"/>
      <c r="I4741" s="2275"/>
      <c r="J4741" s="2276"/>
      <c r="K4741" s="391"/>
      <c r="L4741" s="349"/>
      <c r="M4741" s="301"/>
      <c r="N4741" s="391"/>
      <c r="O4741" s="349"/>
      <c r="P4741" s="301"/>
      <c r="S4741" s="364"/>
      <c r="Z4741" s="609" t="s">
        <v>4263</v>
      </c>
      <c r="AA4741" s="609" t="s">
        <v>5708</v>
      </c>
    </row>
    <row r="4742" spans="1:27" ht="18">
      <c r="A4742" s="2714"/>
      <c r="B4742" s="371">
        <v>104</v>
      </c>
      <c r="C4742" s="371" t="s">
        <v>2791</v>
      </c>
      <c r="D4742" s="2716">
        <f t="shared" si="520"/>
        <v>0</v>
      </c>
      <c r="E4742" s="2721">
        <v>1</v>
      </c>
      <c r="F4742" s="293"/>
      <c r="G4742" s="2589" t="s">
        <v>2792</v>
      </c>
      <c r="H4742" s="2275"/>
      <c r="I4742" s="2275"/>
      <c r="J4742" s="2276"/>
      <c r="K4742" s="391"/>
      <c r="L4742" s="349"/>
      <c r="M4742" s="301"/>
      <c r="N4742" s="391"/>
      <c r="O4742" s="349"/>
      <c r="P4742" s="301"/>
      <c r="S4742" s="364"/>
      <c r="Z4742" s="609" t="s">
        <v>4263</v>
      </c>
      <c r="AA4742" s="609" t="s">
        <v>5708</v>
      </c>
    </row>
    <row r="4743" spans="1:27" ht="18">
      <c r="A4743" s="2714"/>
      <c r="B4743" s="371">
        <v>105</v>
      </c>
      <c r="C4743" s="371" t="s">
        <v>2791</v>
      </c>
      <c r="D4743" s="2716">
        <f t="shared" si="520"/>
        <v>0</v>
      </c>
      <c r="E4743" s="2721">
        <v>1</v>
      </c>
      <c r="F4743" s="293"/>
      <c r="G4743" s="2589" t="s">
        <v>2792</v>
      </c>
      <c r="H4743" s="2275"/>
      <c r="I4743" s="2275"/>
      <c r="J4743" s="2276"/>
      <c r="K4743" s="391"/>
      <c r="L4743" s="349"/>
      <c r="M4743" s="301"/>
      <c r="N4743" s="391"/>
      <c r="O4743" s="349"/>
      <c r="P4743" s="301"/>
      <c r="S4743" s="364"/>
      <c r="Z4743" s="609" t="s">
        <v>4263</v>
      </c>
      <c r="AA4743" s="609" t="s">
        <v>5708</v>
      </c>
    </row>
    <row r="4744" spans="1:27" ht="18">
      <c r="A4744" s="2714"/>
      <c r="B4744" s="371">
        <v>106</v>
      </c>
      <c r="C4744" s="371" t="s">
        <v>2791</v>
      </c>
      <c r="D4744" s="2716">
        <f t="shared" si="520"/>
        <v>0</v>
      </c>
      <c r="E4744" s="2721">
        <v>1</v>
      </c>
      <c r="F4744" s="293"/>
      <c r="G4744" s="2589" t="s">
        <v>2792</v>
      </c>
      <c r="H4744" s="2275"/>
      <c r="I4744" s="2275"/>
      <c r="J4744" s="2276"/>
      <c r="K4744" s="391"/>
      <c r="L4744" s="349"/>
      <c r="M4744" s="301"/>
      <c r="N4744" s="391"/>
      <c r="O4744" s="349"/>
      <c r="P4744" s="301"/>
      <c r="S4744" s="364"/>
      <c r="Z4744" s="609" t="s">
        <v>4263</v>
      </c>
      <c r="AA4744" s="609" t="s">
        <v>5708</v>
      </c>
    </row>
    <row r="4745" spans="1:27" ht="18">
      <c r="A4745" s="2714"/>
      <c r="B4745" s="371">
        <v>107</v>
      </c>
      <c r="C4745" s="371" t="s">
        <v>2791</v>
      </c>
      <c r="D4745" s="2716">
        <f t="shared" si="520"/>
        <v>0</v>
      </c>
      <c r="E4745" s="2721">
        <v>1</v>
      </c>
      <c r="F4745" s="293"/>
      <c r="G4745" s="2589" t="s">
        <v>2792</v>
      </c>
      <c r="H4745" s="2275"/>
      <c r="I4745" s="2275"/>
      <c r="J4745" s="2276"/>
      <c r="K4745" s="391"/>
      <c r="L4745" s="349"/>
      <c r="M4745" s="301"/>
      <c r="N4745" s="391"/>
      <c r="O4745" s="349"/>
      <c r="P4745" s="301"/>
      <c r="S4745" s="364"/>
      <c r="Z4745" s="609" t="s">
        <v>4263</v>
      </c>
      <c r="AA4745" s="609" t="s">
        <v>5708</v>
      </c>
    </row>
    <row r="4746" spans="1:27" ht="18">
      <c r="A4746" s="2714"/>
      <c r="B4746" s="371">
        <v>108</v>
      </c>
      <c r="C4746" s="371" t="s">
        <v>2791</v>
      </c>
      <c r="D4746" s="2716">
        <f t="shared" si="520"/>
        <v>0</v>
      </c>
      <c r="E4746" s="2721">
        <v>1</v>
      </c>
      <c r="F4746" s="293"/>
      <c r="G4746" s="2589" t="s">
        <v>2792</v>
      </c>
      <c r="H4746" s="2275"/>
      <c r="I4746" s="2275"/>
      <c r="J4746" s="2276"/>
      <c r="K4746" s="391"/>
      <c r="L4746" s="349"/>
      <c r="M4746" s="301"/>
      <c r="N4746" s="391"/>
      <c r="O4746" s="349"/>
      <c r="P4746" s="301"/>
      <c r="S4746" s="364"/>
      <c r="Z4746" s="609" t="s">
        <v>4263</v>
      </c>
      <c r="AA4746" s="609" t="s">
        <v>5708</v>
      </c>
    </row>
    <row r="4747" spans="1:27" ht="18.75" thickBot="1">
      <c r="A4747" s="2714"/>
      <c r="B4747" s="371"/>
      <c r="C4747" s="371"/>
      <c r="D4747" s="2716">
        <f t="shared" si="520"/>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5708</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5708</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-10537.07</v>
      </c>
      <c r="L4749" s="342"/>
      <c r="M4749" s="306" t="s">
        <v>4207</v>
      </c>
      <c r="N4749" s="341">
        <f>VLOOKUP($A4749,Sheet_Trialbal,10,0)</f>
        <v>-4939.1400000000003</v>
      </c>
      <c r="O4749" s="306"/>
      <c r="P4749" s="301"/>
      <c r="S4749" s="364"/>
      <c r="Z4749" s="609" t="s">
        <v>4269</v>
      </c>
      <c r="AA4749" s="609" t="s">
        <v>5709</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-10537.07</v>
      </c>
      <c r="L4750" s="1535">
        <f>IF($I4750="适用",IF(ROUND(K4749-K4750,2)&gt;=0,IF(K4749&lt;&gt;0,K4750/K4749,""),"#Logical!"),"#N/A")</f>
        <v>1</v>
      </c>
      <c r="M4750" s="301" t="s">
        <v>4257</v>
      </c>
      <c r="N4750" s="2210">
        <f>I4763</f>
        <v>-4939.1400000000003</v>
      </c>
      <c r="O4750" s="1535">
        <f>IF($I4750="适用",IF(ROUND(N4749-N4750,2)&gt;=0,IF(N4749&lt;&gt;0,N4750/N4749,""),"#Logical!"),"#N/A")</f>
        <v>1</v>
      </c>
      <c r="P4750" s="301"/>
      <c r="Q4750" s="290" t="str">
        <f>IF($I4750="不适用","",IF(ROUND(SUM($H$4753:$I$4763),2)=0,"请输入",""))</f>
        <v/>
      </c>
      <c r="S4750" s="364"/>
      <c r="Z4750" s="609" t="s">
        <v>4269</v>
      </c>
      <c r="AA4750" s="609" t="s">
        <v>5709</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8">
      <c r="A4752" s="2714"/>
      <c r="B4752" s="371"/>
      <c r="C4752" s="371"/>
      <c r="D4752" s="371"/>
      <c r="E4752" s="2716"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8">
      <c r="A4753" s="2714"/>
      <c r="B4753" s="371">
        <v>101</v>
      </c>
      <c r="C4753" s="371" t="s">
        <v>2791</v>
      </c>
      <c r="D4753" s="2716">
        <f t="shared" ref="D4753:D4763" si="521">IF(OR(G4753="*",G4753="",G4753=0),0,COUNTIF($G$4753:$G$4763,G4753))</f>
        <v>1</v>
      </c>
      <c r="E4753" s="2721">
        <v>0</v>
      </c>
      <c r="F4753" s="294"/>
      <c r="G4753" s="2612" t="s">
        <v>771</v>
      </c>
      <c r="H4753" s="383"/>
      <c r="I4753" s="401"/>
      <c r="J4753" s="291"/>
      <c r="K4753" s="291"/>
      <c r="L4753" s="291"/>
      <c r="M4753" s="291"/>
      <c r="S4753" s="364"/>
      <c r="Z4753" s="609" t="s">
        <v>4269</v>
      </c>
      <c r="AA4753" s="609" t="s">
        <v>5709</v>
      </c>
    </row>
    <row r="4754" spans="1:27" ht="18">
      <c r="A4754" s="2714"/>
      <c r="B4754" s="371">
        <v>102</v>
      </c>
      <c r="C4754" s="371" t="s">
        <v>2791</v>
      </c>
      <c r="D4754" s="2716">
        <f t="shared" si="521"/>
        <v>1</v>
      </c>
      <c r="E4754" s="2721">
        <v>0</v>
      </c>
      <c r="F4754" s="294"/>
      <c r="G4754" s="384" t="s">
        <v>4271</v>
      </c>
      <c r="H4754" s="383">
        <v>10615</v>
      </c>
      <c r="I4754" s="401">
        <v>5039.1400000000003</v>
      </c>
      <c r="J4754" s="291"/>
      <c r="K4754" s="291"/>
      <c r="L4754" s="291"/>
      <c r="M4754" s="291"/>
      <c r="S4754" s="364"/>
      <c r="Z4754" s="609" t="s">
        <v>4269</v>
      </c>
      <c r="AA4754" s="609" t="s">
        <v>5709</v>
      </c>
    </row>
    <row r="4755" spans="1:27" ht="18">
      <c r="A4755" s="2714"/>
      <c r="B4755" s="371">
        <v>103</v>
      </c>
      <c r="C4755" s="371" t="s">
        <v>2791</v>
      </c>
      <c r="D4755" s="2716">
        <f t="shared" si="521"/>
        <v>1</v>
      </c>
      <c r="E4755" s="2721">
        <v>1</v>
      </c>
      <c r="F4755" s="294"/>
      <c r="G4755" s="2612" t="s">
        <v>4272</v>
      </c>
      <c r="H4755" s="383">
        <f>H4753-H4754</f>
        <v>-10615</v>
      </c>
      <c r="I4755" s="401">
        <f>I4753-I4754</f>
        <v>-5039.1400000000003</v>
      </c>
      <c r="J4755" s="291"/>
      <c r="K4755" s="291"/>
      <c r="L4755" s="291"/>
      <c r="M4755" s="291"/>
      <c r="S4755" s="364"/>
      <c r="Z4755" s="609" t="s">
        <v>4269</v>
      </c>
      <c r="AA4755" s="609" t="s">
        <v>5709</v>
      </c>
    </row>
    <row r="4756" spans="1:27" ht="18">
      <c r="A4756" s="2714"/>
      <c r="B4756" s="371">
        <v>104</v>
      </c>
      <c r="C4756" s="371" t="s">
        <v>2791</v>
      </c>
      <c r="D4756" s="2716">
        <f t="shared" si="521"/>
        <v>1</v>
      </c>
      <c r="E4756" s="2721">
        <v>0</v>
      </c>
      <c r="F4756" s="294"/>
      <c r="G4756" s="2612" t="s">
        <v>4273</v>
      </c>
      <c r="H4756" s="383"/>
      <c r="I4756" s="401"/>
      <c r="J4756" s="291"/>
      <c r="K4756" s="291"/>
      <c r="L4756" s="291"/>
      <c r="M4756" s="291"/>
      <c r="S4756" s="364"/>
      <c r="Z4756" s="609" t="s">
        <v>4269</v>
      </c>
      <c r="AA4756" s="609" t="s">
        <v>5709</v>
      </c>
    </row>
    <row r="4757" spans="1:27" ht="18">
      <c r="A4757" s="2714"/>
      <c r="B4757" s="371">
        <v>105</v>
      </c>
      <c r="C4757" s="371" t="s">
        <v>2791</v>
      </c>
      <c r="D4757" s="2716">
        <f t="shared" si="521"/>
        <v>1</v>
      </c>
      <c r="E4757" s="2721">
        <v>0</v>
      </c>
      <c r="F4757" s="294"/>
      <c r="G4757" s="384" t="s">
        <v>4274</v>
      </c>
      <c r="H4757" s="383"/>
      <c r="I4757" s="401"/>
      <c r="J4757" s="291"/>
      <c r="K4757" s="291"/>
      <c r="L4757" s="291"/>
      <c r="M4757" s="291"/>
      <c r="S4757" s="364"/>
      <c r="Z4757" s="609" t="s">
        <v>4269</v>
      </c>
      <c r="AA4757" s="609" t="s">
        <v>5709</v>
      </c>
    </row>
    <row r="4758" spans="1:27" ht="18">
      <c r="A4758" s="2714"/>
      <c r="B4758" s="371">
        <v>106</v>
      </c>
      <c r="C4758" s="371" t="s">
        <v>2791</v>
      </c>
      <c r="D4758" s="2716">
        <f t="shared" si="521"/>
        <v>1</v>
      </c>
      <c r="E4758" s="2721">
        <v>1</v>
      </c>
      <c r="F4758" s="294"/>
      <c r="G4758" s="2612" t="s">
        <v>4275</v>
      </c>
      <c r="H4758" s="383">
        <f>H4756-H4757</f>
        <v>0</v>
      </c>
      <c r="I4758" s="401">
        <f>I4756-I4757</f>
        <v>0</v>
      </c>
      <c r="J4758" s="291"/>
      <c r="K4758" s="291"/>
      <c r="L4758" s="291"/>
      <c r="M4758" s="291"/>
      <c r="S4758" s="364"/>
      <c r="Z4758" s="609" t="s">
        <v>4269</v>
      </c>
      <c r="AA4758" s="609" t="s">
        <v>5709</v>
      </c>
    </row>
    <row r="4759" spans="1:27" ht="18">
      <c r="A4759" s="2714"/>
      <c r="B4759" s="371">
        <v>107</v>
      </c>
      <c r="C4759" s="371" t="s">
        <v>2791</v>
      </c>
      <c r="D4759" s="2716">
        <f t="shared" si="521"/>
        <v>1</v>
      </c>
      <c r="E4759" s="2721">
        <v>1</v>
      </c>
      <c r="F4759" s="294"/>
      <c r="G4759" s="409" t="s">
        <v>4276</v>
      </c>
      <c r="H4759" s="383">
        <v>77.930000000000007</v>
      </c>
      <c r="I4759" s="401">
        <v>100</v>
      </c>
      <c r="J4759" s="291"/>
      <c r="K4759" s="291"/>
      <c r="L4759" s="291"/>
      <c r="M4759" s="291"/>
      <c r="S4759" s="364"/>
      <c r="Z4759" s="609" t="s">
        <v>4269</v>
      </c>
      <c r="AA4759" s="609" t="s">
        <v>5709</v>
      </c>
    </row>
    <row r="4760" spans="1:27" ht="18">
      <c r="A4760" s="2714"/>
      <c r="B4760" s="371">
        <v>108</v>
      </c>
      <c r="C4760" s="371" t="s">
        <v>2791</v>
      </c>
      <c r="D4760" s="2716">
        <f t="shared" si="521"/>
        <v>0</v>
      </c>
      <c r="E4760" s="2721">
        <v>1</v>
      </c>
      <c r="F4760" s="294"/>
      <c r="G4760" s="409" t="s">
        <v>2792</v>
      </c>
      <c r="H4760" s="383"/>
      <c r="I4760" s="401"/>
      <c r="J4760" s="291"/>
      <c r="K4760" s="291"/>
      <c r="L4760" s="291"/>
      <c r="M4760" s="291"/>
      <c r="S4760" s="364"/>
      <c r="Z4760" s="609" t="s">
        <v>4269</v>
      </c>
      <c r="AA4760" s="609" t="s">
        <v>5709</v>
      </c>
    </row>
    <row r="4761" spans="1:27" ht="18">
      <c r="A4761" s="2714"/>
      <c r="B4761" s="371">
        <v>109</v>
      </c>
      <c r="C4761" s="371" t="s">
        <v>6532</v>
      </c>
      <c r="D4761" s="2716">
        <f t="shared" si="521"/>
        <v>0</v>
      </c>
      <c r="E4761" s="2721">
        <v>1</v>
      </c>
      <c r="F4761" s="294"/>
      <c r="G4761" s="409" t="s">
        <v>2792</v>
      </c>
      <c r="H4761" s="383"/>
      <c r="I4761" s="401"/>
      <c r="J4761" s="291"/>
      <c r="K4761" s="291"/>
      <c r="L4761" s="291"/>
      <c r="M4761" s="291"/>
      <c r="S4761" s="364"/>
      <c r="Z4761" s="609" t="s">
        <v>4269</v>
      </c>
      <c r="AA4761" s="609" t="s">
        <v>5709</v>
      </c>
    </row>
    <row r="4762" spans="1:27" ht="18">
      <c r="A4762" s="2714"/>
      <c r="B4762" s="371">
        <v>110</v>
      </c>
      <c r="C4762" s="371" t="s">
        <v>2791</v>
      </c>
      <c r="D4762" s="2716">
        <f t="shared" si="521"/>
        <v>1</v>
      </c>
      <c r="E4762" s="2721">
        <v>1</v>
      </c>
      <c r="F4762" s="294"/>
      <c r="G4762" s="409" t="s">
        <v>932</v>
      </c>
      <c r="H4762" s="383"/>
      <c r="I4762" s="401"/>
      <c r="J4762" s="291"/>
      <c r="K4762" s="291"/>
      <c r="L4762" s="291"/>
      <c r="M4762" s="291"/>
      <c r="S4762" s="364"/>
      <c r="Z4762" s="609" t="s">
        <v>4269</v>
      </c>
      <c r="AA4762" s="609" t="s">
        <v>5709</v>
      </c>
    </row>
    <row r="4763" spans="1:27" ht="18.75" thickBot="1">
      <c r="A4763" s="2714"/>
      <c r="B4763" s="371"/>
      <c r="C4763" s="371"/>
      <c r="D4763" s="2716">
        <f t="shared" si="521"/>
        <v>1</v>
      </c>
      <c r="E4763" s="2721" t="s">
        <v>2751</v>
      </c>
      <c r="F4763" s="294"/>
      <c r="G4763" s="403" t="s">
        <v>2752</v>
      </c>
      <c r="H4763" s="1498">
        <f>SUMPRODUCT($E4752:$E4762,H4752:H4762)</f>
        <v>-10537.07</v>
      </c>
      <c r="I4763" s="1499">
        <f>SUMPRODUCT($E4752:$E4762,I4752:I4762)</f>
        <v>-4939.1400000000003</v>
      </c>
      <c r="J4763" s="291"/>
      <c r="K4763" s="291"/>
      <c r="L4763" s="291"/>
      <c r="M4763" s="291"/>
      <c r="S4763" s="364"/>
      <c r="Z4763" s="609" t="s">
        <v>4269</v>
      </c>
      <c r="AA4763" s="609" t="s">
        <v>5709</v>
      </c>
    </row>
    <row r="4764" spans="1:27" ht="18">
      <c r="A4764" s="2714"/>
      <c r="B4764" s="371"/>
      <c r="C4764" s="371" t="s">
        <v>2755</v>
      </c>
      <c r="D4764" s="371"/>
      <c r="F4764" s="294"/>
      <c r="G4764" s="301"/>
      <c r="H4764" s="349"/>
      <c r="I4764" s="349"/>
      <c r="J4764" s="291"/>
      <c r="K4764" s="291"/>
      <c r="L4764" s="291"/>
      <c r="M4764" s="291"/>
      <c r="S4764" s="364"/>
      <c r="Z4764" s="609" t="s">
        <v>4269</v>
      </c>
      <c r="AA4764" s="609" t="s">
        <v>5709</v>
      </c>
    </row>
    <row r="4765" spans="1:27" ht="18">
      <c r="A4765" s="2714" t="s">
        <v>1922</v>
      </c>
      <c r="B4765" s="371">
        <v>2</v>
      </c>
      <c r="C4765" s="371"/>
      <c r="D4765" s="2716" t="str">
        <f>VLOOKUP($A4765,Sheet_NoteList,2,0)</f>
        <v>财务费用补充资料</v>
      </c>
      <c r="E4765" s="2716" t="s">
        <v>6531</v>
      </c>
      <c r="F4765" s="294"/>
      <c r="G4765" s="307" t="str">
        <f>"("&amp;B4765&amp;")"&amp;D4765</f>
        <v>(2)财务费用补充资料</v>
      </c>
      <c r="H4765" s="1517" t="str">
        <f>$A4765</f>
        <v>6603x</v>
      </c>
      <c r="I4765" s="343" t="s">
        <v>5974</v>
      </c>
      <c r="J4765" s="301" t="s">
        <v>5988</v>
      </c>
      <c r="K4765" s="2210">
        <f>H4773</f>
        <v>0</v>
      </c>
      <c r="L4765" s="1535"/>
      <c r="M4765" s="301" t="s">
        <v>5989</v>
      </c>
      <c r="N4765" s="2210">
        <f>I4773</f>
        <v>0</v>
      </c>
      <c r="O4765" s="1535"/>
      <c r="P4765" s="301"/>
      <c r="S4765" s="364"/>
      <c r="Z4765" s="609" t="s">
        <v>4269</v>
      </c>
      <c r="AA4765" s="609" t="s">
        <v>5709</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8">
      <c r="A4767" s="2714"/>
      <c r="B4767" s="371"/>
      <c r="C4767" s="371"/>
      <c r="D4767" s="371"/>
      <c r="E4767" s="586" t="s">
        <v>2749</v>
      </c>
      <c r="F4767" s="363"/>
      <c r="G4767" s="2451" t="s">
        <v>47</v>
      </c>
      <c r="H4767" s="2447" t="str">
        <f>$V$4</f>
        <v>2019年度</v>
      </c>
      <c r="I4767" s="2446" t="str">
        <f>$V$5</f>
        <v>2018年度</v>
      </c>
      <c r="J4767" s="355" t="s">
        <v>6141</v>
      </c>
      <c r="K4767" s="291"/>
      <c r="L4767" s="291"/>
      <c r="M4767" s="291"/>
      <c r="S4767" s="364"/>
      <c r="Z4767" s="609" t="s">
        <v>4269</v>
      </c>
      <c r="AA4767" s="609" t="s">
        <v>5709</v>
      </c>
    </row>
    <row r="4768" spans="1:27" ht="18">
      <c r="A4768" s="2714"/>
      <c r="B4768" s="371">
        <v>101</v>
      </c>
      <c r="C4768" s="371" t="s">
        <v>2791</v>
      </c>
      <c r="D4768" s="2716">
        <f t="shared" ref="D4768:D4773" si="522">IF(OR(G4768="*",G4768="",G4768=0),0,COUNTIF($G$4768:$G$4773,G4768))</f>
        <v>0</v>
      </c>
      <c r="E4768" s="2721">
        <v>1</v>
      </c>
      <c r="F4768" s="294"/>
      <c r="G4768" s="2448" t="s">
        <v>2792</v>
      </c>
      <c r="H4768" s="2275"/>
      <c r="I4768" s="2296"/>
      <c r="J4768" s="579"/>
      <c r="K4768" s="291"/>
      <c r="L4768" s="291"/>
      <c r="M4768" s="291"/>
      <c r="S4768" s="364"/>
      <c r="Z4768" s="609" t="s">
        <v>4269</v>
      </c>
      <c r="AA4768" s="609" t="s">
        <v>5709</v>
      </c>
    </row>
    <row r="4769" spans="1:29" ht="18">
      <c r="A4769" s="2714"/>
      <c r="B4769" s="371">
        <v>102</v>
      </c>
      <c r="C4769" s="371" t="s">
        <v>2791</v>
      </c>
      <c r="D4769" s="2716">
        <f t="shared" si="522"/>
        <v>0</v>
      </c>
      <c r="E4769" s="2721">
        <v>1</v>
      </c>
      <c r="F4769" s="294"/>
      <c r="G4769" s="2448" t="s">
        <v>2792</v>
      </c>
      <c r="H4769" s="2275"/>
      <c r="I4769" s="2296"/>
      <c r="J4769" s="291"/>
      <c r="K4769" s="291"/>
      <c r="L4769" s="291"/>
      <c r="M4769" s="291"/>
      <c r="S4769" s="364"/>
      <c r="Z4769" s="609" t="s">
        <v>4269</v>
      </c>
      <c r="AA4769" s="609" t="s">
        <v>5709</v>
      </c>
    </row>
    <row r="4770" spans="1:29" ht="18">
      <c r="A4770" s="2714"/>
      <c r="B4770" s="371">
        <v>103</v>
      </c>
      <c r="C4770" s="371" t="s">
        <v>2791</v>
      </c>
      <c r="D4770" s="2716">
        <f t="shared" si="522"/>
        <v>0</v>
      </c>
      <c r="E4770" s="2721">
        <v>1</v>
      </c>
      <c r="F4770" s="294"/>
      <c r="G4770" s="2448" t="s">
        <v>2792</v>
      </c>
      <c r="H4770" s="2275"/>
      <c r="I4770" s="2296"/>
      <c r="J4770" s="291"/>
      <c r="K4770" s="291"/>
      <c r="L4770" s="291"/>
      <c r="M4770" s="291"/>
      <c r="S4770" s="364"/>
      <c r="Z4770" s="609" t="s">
        <v>4269</v>
      </c>
      <c r="AA4770" s="609" t="s">
        <v>5709</v>
      </c>
    </row>
    <row r="4771" spans="1:29" ht="18">
      <c r="A4771" s="2714"/>
      <c r="B4771" s="371">
        <v>104</v>
      </c>
      <c r="C4771" s="371" t="s">
        <v>2791</v>
      </c>
      <c r="D4771" s="2716">
        <f t="shared" si="522"/>
        <v>0</v>
      </c>
      <c r="E4771" s="2721">
        <v>1</v>
      </c>
      <c r="F4771" s="294"/>
      <c r="G4771" s="2448" t="s">
        <v>2792</v>
      </c>
      <c r="H4771" s="2275"/>
      <c r="I4771" s="2296"/>
      <c r="J4771" s="291"/>
      <c r="K4771" s="291"/>
      <c r="L4771" s="291"/>
      <c r="M4771" s="291"/>
      <c r="S4771" s="364"/>
      <c r="Z4771" s="609" t="s">
        <v>4269</v>
      </c>
      <c r="AA4771" s="609" t="s">
        <v>5709</v>
      </c>
    </row>
    <row r="4772" spans="1:29" ht="18">
      <c r="A4772" s="2714"/>
      <c r="B4772" s="371">
        <v>105</v>
      </c>
      <c r="C4772" s="371" t="s">
        <v>2791</v>
      </c>
      <c r="D4772" s="2716">
        <f t="shared" si="522"/>
        <v>0</v>
      </c>
      <c r="E4772" s="2721">
        <v>1</v>
      </c>
      <c r="F4772" s="294"/>
      <c r="G4772" s="2448" t="s">
        <v>2792</v>
      </c>
      <c r="H4772" s="2275"/>
      <c r="I4772" s="2296"/>
      <c r="J4772" s="291"/>
      <c r="K4772" s="291"/>
      <c r="L4772" s="291"/>
      <c r="M4772" s="291"/>
      <c r="S4772" s="364"/>
      <c r="Z4772" s="609" t="s">
        <v>4269</v>
      </c>
      <c r="AA4772" s="609" t="s">
        <v>5709</v>
      </c>
    </row>
    <row r="4773" spans="1:29" ht="18.75" thickBot="1">
      <c r="A4773" s="2714"/>
      <c r="B4773" s="371"/>
      <c r="C4773" s="371"/>
      <c r="D4773" s="2716">
        <f t="shared" si="522"/>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5709</v>
      </c>
    </row>
    <row r="4774" spans="1:29" ht="18">
      <c r="A4774" s="2714"/>
      <c r="B4774" s="371"/>
      <c r="C4774" s="371" t="s">
        <v>2755</v>
      </c>
      <c r="D4774" s="371"/>
      <c r="F4774" s="294"/>
      <c r="G4774" s="301"/>
      <c r="H4774" s="315"/>
      <c r="I4774" s="315"/>
      <c r="J4774" s="291"/>
      <c r="K4774" s="291"/>
      <c r="L4774" s="291"/>
      <c r="M4774" s="291"/>
      <c r="S4774" s="364"/>
      <c r="Z4774" s="609" t="s">
        <v>4269</v>
      </c>
      <c r="AA4774" s="609" t="s">
        <v>5709</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10490.18</v>
      </c>
      <c r="L4775" s="342"/>
      <c r="M4775" s="306" t="s">
        <v>4207</v>
      </c>
      <c r="N4775" s="341">
        <f>VLOOKUP($A4775,Sheet_Trialbal,10,0)</f>
        <v>0</v>
      </c>
      <c r="O4775" s="342"/>
      <c r="P4775" s="301"/>
      <c r="S4775" s="364"/>
      <c r="Z4775" s="609" t="s">
        <v>4278</v>
      </c>
      <c r="AA4775" s="609" t="s">
        <v>5710</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H4788</f>
        <v>10490.18</v>
      </c>
      <c r="L4776" s="349" t="str">
        <f>IF($I4776="适用",IF(ROUND(K$4775-K4776,2)=0,"F/S",ROUND(K$4775-K4776,2)),"#N/A")</f>
        <v>F/S</v>
      </c>
      <c r="M4776" s="301" t="s">
        <v>4211</v>
      </c>
      <c r="N4776" s="2210">
        <f>I4788</f>
        <v>0</v>
      </c>
      <c r="O4776" s="349" t="str">
        <f>IF($I4776="适用",IF(ROUND(N$4775-N4776,2)=0,"F/S",ROUND(N$4775-N4776,2)),"#N/A")</f>
        <v>F/S</v>
      </c>
      <c r="P4776" s="301"/>
      <c r="S4776" s="364"/>
      <c r="Z4776" s="609" t="s">
        <v>4278</v>
      </c>
      <c r="AA4776" s="609" t="s">
        <v>5710</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5710</v>
      </c>
    </row>
    <row r="4778" spans="1:29" ht="24">
      <c r="A4778" s="2714"/>
      <c r="B4778" s="371"/>
      <c r="C4778" s="371"/>
      <c r="D4778" s="2716"/>
      <c r="E4778" s="586" t="s">
        <v>2749</v>
      </c>
      <c r="F4778" s="586"/>
      <c r="G4778" s="2449" t="s">
        <v>4280</v>
      </c>
      <c r="H4778" s="2445" t="str">
        <f>$V$4</f>
        <v>2019年度</v>
      </c>
      <c r="I4778" s="2445" t="str">
        <f>$V$5</f>
        <v>2018年度</v>
      </c>
      <c r="J4778" s="2444" t="s">
        <v>6090</v>
      </c>
      <c r="K4778" s="355" t="s">
        <v>5332</v>
      </c>
      <c r="L4778" s="349"/>
      <c r="M4778" s="301"/>
      <c r="N4778" s="391"/>
      <c r="O4778" s="349"/>
      <c r="P4778" s="301"/>
      <c r="S4778" s="364"/>
      <c r="Z4778" s="609" t="s">
        <v>4278</v>
      </c>
      <c r="AA4778" s="609" t="s">
        <v>5710</v>
      </c>
    </row>
    <row r="4779" spans="1:29" ht="18">
      <c r="A4779" s="2714"/>
      <c r="B4779" s="371">
        <v>101</v>
      </c>
      <c r="C4779" s="371"/>
      <c r="D4779" s="2716">
        <f t="shared" ref="D4779:D4788" si="523">IF(OR(G4779="*",G4779="",G4779=0),0,COUNTIF($G$4779:$G$4788,G4779))</f>
        <v>1</v>
      </c>
      <c r="E4779" s="2721">
        <v>1</v>
      </c>
      <c r="F4779" s="371"/>
      <c r="G4779" s="1474" t="s">
        <v>4281</v>
      </c>
      <c r="H4779" s="1476">
        <f>SUM(H4780:H4783)</f>
        <v>10490.18</v>
      </c>
      <c r="I4779" s="1476">
        <f>SUM(I4780:I4783)</f>
        <v>0</v>
      </c>
      <c r="J4779" s="2276"/>
      <c r="L4779" s="2675"/>
      <c r="M4779" s="2672" t="s">
        <v>6361</v>
      </c>
      <c r="N4779" s="2673" t="s">
        <v>6362</v>
      </c>
      <c r="O4779" s="349"/>
      <c r="P4779" s="301"/>
      <c r="S4779" s="364"/>
      <c r="Z4779" s="609" t="s">
        <v>4278</v>
      </c>
      <c r="AA4779" s="609" t="s">
        <v>5710</v>
      </c>
    </row>
    <row r="4780" spans="1:29" ht="24">
      <c r="A4780" s="2714"/>
      <c r="B4780" s="371">
        <v>102</v>
      </c>
      <c r="C4780" s="371"/>
      <c r="D4780" s="2716">
        <f t="shared" si="523"/>
        <v>1</v>
      </c>
      <c r="E4780" s="2721">
        <v>0</v>
      </c>
      <c r="F4780" s="371"/>
      <c r="G4780" s="1474" t="s">
        <v>4282</v>
      </c>
      <c r="H4780" s="2275"/>
      <c r="I4780" s="2275"/>
      <c r="J4780" s="2276" t="s">
        <v>4283</v>
      </c>
      <c r="K4780" s="1533" t="str">
        <f ca="1">HYPERLINK("#'"&amp;$G$1&amp;"'!"&amp;ADDRESS(ROW(Notes!H4792),COLUMN(Notes!H4792),4),"* 请勿删除此行！点击往勾稽单元格，F5+Enter返回")</f>
        <v>* 请勿删除此行！点击往勾稽单元格，F5+Enter返回</v>
      </c>
      <c r="L4780" s="2675"/>
      <c r="M4780" s="1604"/>
      <c r="N4780" s="2673" t="s">
        <v>6363</v>
      </c>
      <c r="O4780" s="349"/>
      <c r="P4780" s="301"/>
      <c r="S4780" s="364"/>
      <c r="Z4780" s="609" t="s">
        <v>4278</v>
      </c>
      <c r="AA4780" s="609" t="s">
        <v>5710</v>
      </c>
      <c r="AC4780" s="369" t="s">
        <v>2794</v>
      </c>
    </row>
    <row r="4781" spans="1:29" ht="24">
      <c r="A4781" s="2714"/>
      <c r="B4781" s="371">
        <v>103</v>
      </c>
      <c r="C4781" s="371"/>
      <c r="D4781" s="2716">
        <f t="shared" si="523"/>
        <v>1</v>
      </c>
      <c r="E4781" s="2721">
        <v>0</v>
      </c>
      <c r="F4781" s="371"/>
      <c r="G4781" s="603" t="s">
        <v>4284</v>
      </c>
      <c r="H4781" s="2275"/>
      <c r="I4781" s="2275"/>
      <c r="J4781" s="2276" t="s">
        <v>4285</v>
      </c>
      <c r="K4781" s="1533"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4">
      <c r="A4782" s="2714"/>
      <c r="B4782" s="371">
        <v>104</v>
      </c>
      <c r="C4782" s="371"/>
      <c r="D4782" s="2716">
        <f t="shared" si="523"/>
        <v>1</v>
      </c>
      <c r="E4782" s="2721">
        <v>0</v>
      </c>
      <c r="F4782" s="371"/>
      <c r="G4782" s="603" t="s">
        <v>4286</v>
      </c>
      <c r="H4782" s="2275"/>
      <c r="I4782" s="2275"/>
      <c r="J4782" s="2276"/>
      <c r="K4782" s="391"/>
      <c r="L4782" s="349"/>
      <c r="M4782" s="301"/>
      <c r="N4782" s="391"/>
      <c r="O4782" s="349"/>
      <c r="P4782" s="301"/>
      <c r="S4782" s="364"/>
      <c r="Z4782" s="609" t="s">
        <v>4278</v>
      </c>
      <c r="AA4782" s="609" t="s">
        <v>5710</v>
      </c>
    </row>
    <row r="4783" spans="1:29" ht="18">
      <c r="A4783" s="2714"/>
      <c r="B4783" s="371">
        <v>105</v>
      </c>
      <c r="C4783" s="371" t="s">
        <v>2791</v>
      </c>
      <c r="D4783" s="2716">
        <f t="shared" si="523"/>
        <v>1</v>
      </c>
      <c r="E4783" s="2721">
        <v>0</v>
      </c>
      <c r="F4783" s="371"/>
      <c r="G4783" s="2448" t="s">
        <v>6909</v>
      </c>
      <c r="H4783" s="2275">
        <v>10490.18</v>
      </c>
      <c r="I4783" s="2275"/>
      <c r="J4783" s="2276" t="s">
        <v>4285</v>
      </c>
      <c r="K4783" s="391"/>
      <c r="L4783" s="349"/>
      <c r="M4783" s="301"/>
      <c r="N4783" s="391"/>
      <c r="O4783" s="349"/>
      <c r="P4783" s="301"/>
      <c r="S4783" s="364"/>
      <c r="Z4783" s="609" t="s">
        <v>4278</v>
      </c>
      <c r="AA4783" s="609" t="s">
        <v>5710</v>
      </c>
    </row>
    <row r="4784" spans="1:29" ht="24">
      <c r="A4784" s="2714"/>
      <c r="B4784" s="371">
        <v>106</v>
      </c>
      <c r="C4784" s="371"/>
      <c r="D4784" s="2716">
        <f t="shared" si="523"/>
        <v>1</v>
      </c>
      <c r="E4784" s="2721">
        <v>1</v>
      </c>
      <c r="F4784" s="371"/>
      <c r="G4784" s="1474" t="s">
        <v>6146</v>
      </c>
      <c r="H4784" s="1476">
        <f>SUM(H4785:H4787)</f>
        <v>0</v>
      </c>
      <c r="I4784" s="1476">
        <f>SUM(I4785:I4787)</f>
        <v>0</v>
      </c>
      <c r="J4784" s="2276"/>
      <c r="K4784" s="391"/>
      <c r="L4784" s="349"/>
      <c r="M4784" s="301"/>
      <c r="N4784" s="391"/>
      <c r="O4784" s="349"/>
      <c r="P4784" s="301"/>
      <c r="S4784" s="364"/>
      <c r="Z4784" s="609" t="s">
        <v>4278</v>
      </c>
      <c r="AA4784" s="609" t="s">
        <v>5710</v>
      </c>
    </row>
    <row r="4785" spans="1:27" ht="18">
      <c r="A4785" s="2714"/>
      <c r="B4785" s="371">
        <v>107</v>
      </c>
      <c r="C4785" s="371"/>
      <c r="D4785" s="2716">
        <f t="shared" si="523"/>
        <v>1</v>
      </c>
      <c r="E4785" s="2721">
        <v>0</v>
      </c>
      <c r="F4785" s="371"/>
      <c r="G4785" s="1474" t="s">
        <v>4287</v>
      </c>
      <c r="H4785" s="2275"/>
      <c r="I4785" s="2275"/>
      <c r="J4785" s="2276"/>
      <c r="K4785" s="391"/>
      <c r="L4785" s="349"/>
      <c r="M4785" s="301"/>
      <c r="N4785" s="391"/>
      <c r="O4785" s="349"/>
      <c r="P4785" s="301"/>
      <c r="S4785" s="364"/>
      <c r="Z4785" s="609" t="s">
        <v>4278</v>
      </c>
      <c r="AA4785" s="609" t="s">
        <v>5710</v>
      </c>
    </row>
    <row r="4786" spans="1:27" ht="18">
      <c r="A4786" s="2714"/>
      <c r="B4786" s="371">
        <v>108</v>
      </c>
      <c r="C4786" s="371" t="s">
        <v>2791</v>
      </c>
      <c r="D4786" s="2716">
        <f t="shared" si="523"/>
        <v>0</v>
      </c>
      <c r="E4786" s="2721">
        <v>0</v>
      </c>
      <c r="F4786" s="371"/>
      <c r="G4786" s="2448" t="s">
        <v>2792</v>
      </c>
      <c r="H4786" s="2275"/>
      <c r="I4786" s="2275"/>
      <c r="J4786" s="2276"/>
      <c r="K4786" s="391"/>
      <c r="L4786" s="349"/>
      <c r="M4786" s="301"/>
      <c r="N4786" s="391"/>
      <c r="O4786" s="349"/>
      <c r="P4786" s="301"/>
      <c r="S4786" s="364"/>
      <c r="Z4786" s="609" t="s">
        <v>4278</v>
      </c>
      <c r="AA4786" s="609" t="s">
        <v>5710</v>
      </c>
    </row>
    <row r="4787" spans="1:27" ht="18">
      <c r="A4787" s="2714"/>
      <c r="B4787" s="371">
        <v>109</v>
      </c>
      <c r="C4787" s="371" t="s">
        <v>2791</v>
      </c>
      <c r="D4787" s="2716">
        <f t="shared" si="523"/>
        <v>0</v>
      </c>
      <c r="E4787" s="2721">
        <v>0</v>
      </c>
      <c r="F4787" s="371"/>
      <c r="G4787" s="2448" t="s">
        <v>2792</v>
      </c>
      <c r="H4787" s="2275"/>
      <c r="I4787" s="2275"/>
      <c r="J4787" s="2276"/>
      <c r="K4787" s="391"/>
      <c r="L4787" s="349"/>
      <c r="M4787" s="301"/>
      <c r="N4787" s="391"/>
      <c r="O4787" s="349"/>
      <c r="P4787" s="301"/>
      <c r="S4787" s="364"/>
      <c r="Z4787" s="609" t="s">
        <v>4278</v>
      </c>
      <c r="AA4787" s="609" t="s">
        <v>5710</v>
      </c>
    </row>
    <row r="4788" spans="1:27" ht="18.75" thickBot="1">
      <c r="A4788" s="2714"/>
      <c r="B4788" s="371"/>
      <c r="C4788" s="371"/>
      <c r="D4788" s="2716">
        <f t="shared" si="523"/>
        <v>1</v>
      </c>
      <c r="E4788" s="2721" t="s">
        <v>2751</v>
      </c>
      <c r="F4788" s="371"/>
      <c r="G4788" s="374" t="s">
        <v>2752</v>
      </c>
      <c r="H4788" s="1478">
        <f>SUMPRODUCT($E4778:$E4787,H4778:H4787)</f>
        <v>10490.18</v>
      </c>
      <c r="I4788" s="1478">
        <f>SUMPRODUCT($E4778:$E4787,I4778:I4787)</f>
        <v>0</v>
      </c>
      <c r="J4788" s="2260"/>
      <c r="K4788" s="391"/>
      <c r="L4788" s="349"/>
      <c r="M4788" s="301"/>
      <c r="N4788" s="391"/>
      <c r="O4788" s="349"/>
      <c r="P4788" s="301"/>
      <c r="S4788" s="364"/>
      <c r="Z4788" s="609" t="s">
        <v>4278</v>
      </c>
      <c r="AA4788" s="609" t="s">
        <v>5710</v>
      </c>
    </row>
    <row r="4789" spans="1:27" ht="18.75" thickBot="1">
      <c r="A4789" s="2714"/>
      <c r="B4789" s="371"/>
      <c r="C4789" s="371" t="s">
        <v>2755</v>
      </c>
      <c r="D4789" s="2716"/>
      <c r="F4789" s="371"/>
      <c r="G4789" s="376"/>
      <c r="H4789" s="527" t="s">
        <v>3002</v>
      </c>
      <c r="I4789" s="2253"/>
      <c r="J4789" s="393"/>
      <c r="K4789" s="391"/>
      <c r="L4789" s="349"/>
      <c r="M4789" s="301"/>
      <c r="N4789" s="391"/>
      <c r="O4789" s="349"/>
      <c r="P4789" s="301"/>
      <c r="S4789" s="364"/>
      <c r="Z4789" s="609" t="s">
        <v>4278</v>
      </c>
      <c r="AA4789" s="609" t="s">
        <v>5710</v>
      </c>
    </row>
    <row r="4790" spans="1:27" ht="18.75" thickTop="1">
      <c r="A4790" s="2714"/>
      <c r="B4790" s="371"/>
      <c r="C4790" s="371" t="s">
        <v>2565</v>
      </c>
      <c r="D4790" s="2716"/>
      <c r="F4790" s="371"/>
      <c r="G4790" s="1549" t="s">
        <v>5367</v>
      </c>
      <c r="H4790" s="1550" t="str">
        <f>G4269</f>
        <v>(2)递延收益（涉及政府补助的项目）</v>
      </c>
      <c r="I4790" s="1552"/>
      <c r="J4790" s="1551"/>
      <c r="K4790" s="1553" t="s">
        <v>5368</v>
      </c>
      <c r="L4790" s="349"/>
      <c r="M4790" s="301"/>
      <c r="N4790" s="391"/>
      <c r="O4790" s="349"/>
      <c r="P4790" s="301"/>
      <c r="S4790" s="364"/>
      <c r="Z4790" s="609" t="s">
        <v>4278</v>
      </c>
      <c r="AA4790" s="609" t="s">
        <v>5710</v>
      </c>
    </row>
    <row r="4791" spans="1:27" ht="18">
      <c r="A4791" s="2714"/>
      <c r="B4791" s="371"/>
      <c r="C4791" s="371" t="s">
        <v>2565</v>
      </c>
      <c r="D4791" s="2716"/>
      <c r="F4791" s="371"/>
      <c r="G4791" s="604" t="str">
        <f>"注释A:"&amp; G4277</f>
        <v>注释A:合       计</v>
      </c>
      <c r="H4791" s="2252">
        <f ca="1">HYPERLINK("#'"&amp;$G$1&amp;"'!"&amp;ADDRESS(ROW(Notes!K4277),COLUMN(Notes!K4277),4),K4277)</f>
        <v>0</v>
      </c>
      <c r="I4791" s="456"/>
      <c r="J4791" s="351"/>
      <c r="K4791" s="2632" t="str">
        <f>H4269</f>
        <v>2401b</v>
      </c>
      <c r="L4791" s="349"/>
      <c r="M4791" s="301"/>
      <c r="N4791" s="391"/>
      <c r="O4791" s="349"/>
      <c r="P4791" s="301"/>
      <c r="S4791" s="364"/>
      <c r="Z4791" s="609" t="s">
        <v>4278</v>
      </c>
      <c r="AA4791" s="609" t="s">
        <v>5710</v>
      </c>
    </row>
    <row r="4792" spans="1:27" ht="36">
      <c r="A4792" s="2714"/>
      <c r="B4792" s="371"/>
      <c r="C4792" s="371" t="s">
        <v>2565</v>
      </c>
      <c r="D4792" s="2716"/>
      <c r="F4792" s="371"/>
      <c r="G4792" s="604" t="str">
        <f>"本注释B:"&amp; G4780</f>
        <v>本注释B:其中：与递延收益相关的政府补助（与资产相关）</v>
      </c>
      <c r="H4792" s="2252">
        <f ca="1">HYPERLINK("#'"&amp;$G$1&amp;"'!"&amp;ADDRESS(ROW(Notes!H4780),COLUMN(Notes!H4780),4),H4780)</f>
        <v>0</v>
      </c>
      <c r="I4792" s="456"/>
      <c r="J4792" s="351"/>
      <c r="K4792" s="2638" t="s">
        <v>1891</v>
      </c>
      <c r="L4792" s="349"/>
      <c r="M4792" s="301"/>
      <c r="N4792" s="391"/>
      <c r="O4792" s="349"/>
      <c r="P4792" s="301"/>
      <c r="S4792" s="364"/>
      <c r="Z4792" s="609" t="s">
        <v>4278</v>
      </c>
      <c r="AA4792" s="609" t="s">
        <v>5710</v>
      </c>
    </row>
    <row r="4793" spans="1:27" ht="36">
      <c r="A4793" s="2714"/>
      <c r="B4793" s="371"/>
      <c r="C4793" s="371" t="s">
        <v>2565</v>
      </c>
      <c r="D4793" s="2716"/>
      <c r="F4793" s="371"/>
      <c r="G4793" s="604" t="str">
        <f>"加：本注释B:"&amp; G4781</f>
        <v>加：本注释B:与递延收益相关的政府补助（与收益相关）</v>
      </c>
      <c r="H4793" s="2252">
        <f ca="1">HYPERLINK("#'"&amp;$G$1&amp;"'!"&amp;ADDRESS(ROW(Notes!H4781),COLUMN(Notes!H4781),4),H4781)</f>
        <v>0</v>
      </c>
      <c r="I4793" s="456"/>
      <c r="J4793" s="351"/>
      <c r="K4793" s="2638" t="s">
        <v>1891</v>
      </c>
      <c r="L4793" s="349"/>
      <c r="M4793" s="301"/>
      <c r="N4793" s="391"/>
      <c r="O4793" s="349"/>
      <c r="P4793" s="301"/>
      <c r="S4793" s="364"/>
      <c r="Z4793" s="609" t="s">
        <v>4278</v>
      </c>
      <c r="AA4793" s="609" t="s">
        <v>5710</v>
      </c>
    </row>
    <row r="4794" spans="1:27" ht="18.75" thickBot="1">
      <c r="A4794" s="2714"/>
      <c r="B4794" s="371"/>
      <c r="C4794" s="371" t="s">
        <v>2565</v>
      </c>
      <c r="D4794" s="2716"/>
      <c r="F4794" s="371"/>
      <c r="G4794" s="1554" t="s">
        <v>2757</v>
      </c>
      <c r="H4794" s="1531">
        <f ca="1">IF(AND(H4791="",H4793=""),"",ROUND(H4791-H4793-H4792,2))</f>
        <v>0</v>
      </c>
      <c r="I4794" s="1531"/>
      <c r="J4794" s="1555"/>
      <c r="K4794" s="1555"/>
      <c r="L4794" s="349"/>
      <c r="M4794" s="301"/>
      <c r="N4794" s="391"/>
      <c r="O4794" s="349"/>
      <c r="P4794" s="301"/>
      <c r="S4794" s="364"/>
      <c r="Z4794" s="609" t="s">
        <v>4278</v>
      </c>
      <c r="AA4794" s="609" t="s">
        <v>5710</v>
      </c>
    </row>
    <row r="4795" spans="1:27" ht="18.75" thickTop="1">
      <c r="A4795" s="2714"/>
      <c r="B4795" s="371"/>
      <c r="C4795" s="371" t="s">
        <v>2565</v>
      </c>
      <c r="D4795" s="2716"/>
      <c r="F4795" s="371"/>
      <c r="G4795" s="1545"/>
      <c r="H4795" s="459" t="str">
        <f ca="1">IF(OR(H4794=0,H4794=""),"√","？")</f>
        <v>√</v>
      </c>
      <c r="I4795" s="461"/>
      <c r="J4795" s="317"/>
      <c r="K4795" s="317"/>
      <c r="L4795" s="349"/>
      <c r="M4795" s="301"/>
      <c r="N4795" s="391"/>
      <c r="O4795" s="349"/>
      <c r="P4795" s="301"/>
      <c r="S4795" s="364"/>
      <c r="Z4795" s="609" t="s">
        <v>4278</v>
      </c>
      <c r="AA4795" s="609" t="s">
        <v>5710</v>
      </c>
    </row>
    <row r="4796" spans="1:27" ht="18">
      <c r="A4796" s="2714"/>
      <c r="B4796" s="371"/>
      <c r="C4796" s="371" t="s">
        <v>2565</v>
      </c>
      <c r="D4796" s="2716"/>
      <c r="F4796" s="371"/>
      <c r="G4796" s="1559" t="s">
        <v>2759</v>
      </c>
      <c r="H4796" s="461"/>
      <c r="I4796" s="461"/>
      <c r="J4796" s="317"/>
      <c r="K4796" s="352">
        <f ca="1">SUMIF($H$4795:$K$4795,"&lt;&gt;√",$H$4794:$K$4794)</f>
        <v>0</v>
      </c>
      <c r="L4796" s="475" t="str">
        <f ca="1">IF(OR(K4796=0,K4796=""),"√","？")</f>
        <v>√</v>
      </c>
      <c r="M4796" s="301"/>
      <c r="N4796" s="391"/>
      <c r="O4796" s="349"/>
      <c r="P4796" s="301"/>
      <c r="S4796" s="364"/>
      <c r="Z4796" s="609" t="s">
        <v>4278</v>
      </c>
      <c r="AA4796" s="609" t="s">
        <v>5710</v>
      </c>
    </row>
    <row r="4797" spans="1:27" ht="18">
      <c r="A4797" s="2714"/>
      <c r="B4797" s="371"/>
      <c r="C4797" s="371" t="s">
        <v>2565</v>
      </c>
      <c r="D4797" s="2716"/>
      <c r="F4797" s="371"/>
      <c r="G4797" s="1545"/>
      <c r="H4797" s="461"/>
      <c r="I4797" s="461"/>
      <c r="J4797" s="317"/>
      <c r="K4797" s="317"/>
      <c r="L4797" s="349"/>
      <c r="M4797" s="301"/>
      <c r="N4797" s="391"/>
      <c r="O4797" s="349"/>
      <c r="P4797" s="301"/>
      <c r="S4797" s="364"/>
      <c r="Z4797" s="609" t="s">
        <v>4278</v>
      </c>
      <c r="AA4797" s="609" t="s">
        <v>5710</v>
      </c>
    </row>
    <row r="4798" spans="1:27" ht="18">
      <c r="A4798" s="2714">
        <v>6111</v>
      </c>
      <c r="B4798" s="371">
        <v>68</v>
      </c>
      <c r="C4798" s="2716" t="str">
        <f>VLOOKUP($A4798,Sheet_Items,2,0)</f>
        <v>投资收益</v>
      </c>
      <c r="D4798" s="371"/>
      <c r="E4798" s="2716" t="s">
        <v>2739</v>
      </c>
      <c r="F4798" s="294"/>
      <c r="G4798" s="305" t="str">
        <f>B4798&amp;" "&amp;C4798</f>
        <v>68 投资收益</v>
      </c>
      <c r="H4798" s="306"/>
      <c r="I4798" s="306"/>
      <c r="J4798" s="306" t="s">
        <v>4206</v>
      </c>
      <c r="K4798" s="341">
        <f>VLOOKUP($A4798,Sheet_Trialbal,6,0)</f>
        <v>0</v>
      </c>
      <c r="L4798" s="342"/>
      <c r="M4798" s="306" t="s">
        <v>4207</v>
      </c>
      <c r="N4798" s="341">
        <f>VLOOKUP($A4798,Sheet_Trialbal,10,0)</f>
        <v>5521086.3499999996</v>
      </c>
      <c r="O4798" s="306"/>
      <c r="P4798" s="301"/>
      <c r="S4798" s="364"/>
      <c r="Z4798" s="609" t="s">
        <v>4288</v>
      </c>
      <c r="AA4798" s="609" t="s">
        <v>5711</v>
      </c>
    </row>
    <row r="4799" spans="1:27" ht="18">
      <c r="A4799" s="2714" t="s">
        <v>1885</v>
      </c>
      <c r="B4799" s="371">
        <v>1</v>
      </c>
      <c r="C4799" s="371"/>
      <c r="D4799" s="2716" t="str">
        <f>VLOOKUP($A4799,Sheet_NoteList,2,0)</f>
        <v>投资收益明细项目</v>
      </c>
      <c r="E4799" s="2716" t="s">
        <v>2742</v>
      </c>
      <c r="F4799" s="294"/>
      <c r="G4799" s="307" t="str">
        <f>"("&amp;B4799&amp;")"&amp;D4799</f>
        <v>(1)投资收益明细项目</v>
      </c>
      <c r="H4799" s="1517" t="str">
        <f>$A4799</f>
        <v>6111a</v>
      </c>
      <c r="I4799" s="343" t="s">
        <v>2743</v>
      </c>
      <c r="J4799" s="301" t="s">
        <v>4210</v>
      </c>
      <c r="K4799" s="2210">
        <f>H4819</f>
        <v>0</v>
      </c>
      <c r="L4799" s="345" t="str">
        <f>IF($I4799="适用",IF(ROUND(K4798-K4799,2)=0,"F/S",ROUND(K4798-K4799,2)),"#N/A")</f>
        <v>F/S</v>
      </c>
      <c r="M4799" s="301" t="s">
        <v>4211</v>
      </c>
      <c r="N4799" s="2210">
        <f>I4819</f>
        <v>5521086.3499999996</v>
      </c>
      <c r="O4799" s="345" t="str">
        <f>IF($I4799="适用",IF(ROUND(N4798-N4799,2)=0,"F/S",ROUND(N4798-N4799,2)),"#N/A")</f>
        <v>F/S</v>
      </c>
      <c r="P4799" s="301"/>
      <c r="Q4799" s="290" t="str">
        <f>IF($I4799="不适用","",IF(ROUND(SUM($H$4802:$I$4819),2)=0,"请输入",""))</f>
        <v/>
      </c>
      <c r="S4799" s="364"/>
      <c r="Z4799" s="609" t="s">
        <v>4288</v>
      </c>
      <c r="AA4799" s="609" t="s">
        <v>5711</v>
      </c>
    </row>
    <row r="4800" spans="1:27" ht="0.75" customHeight="1" thickBot="1">
      <c r="A4800" s="2714"/>
      <c r="B4800" s="371"/>
      <c r="C4800" s="371"/>
      <c r="D4800" s="371"/>
      <c r="F4800" s="294"/>
      <c r="G4800" s="294" t="s">
        <v>4289</v>
      </c>
      <c r="H4800" s="294" t="s">
        <v>4223</v>
      </c>
      <c r="I4800" s="294" t="s">
        <v>4224</v>
      </c>
      <c r="J4800" s="291"/>
      <c r="K4800" s="291"/>
      <c r="L4800" s="291"/>
      <c r="M4800" s="291"/>
      <c r="S4800" s="364"/>
      <c r="Z4800" s="609" t="s">
        <v>4288</v>
      </c>
      <c r="AA4800" s="609" t="s">
        <v>5711</v>
      </c>
    </row>
    <row r="4801" spans="1:27" ht="18">
      <c r="A4801" s="2714"/>
      <c r="B4801" s="371"/>
      <c r="C4801" s="371"/>
      <c r="D4801" s="371"/>
      <c r="E4801" s="2716" t="s">
        <v>2749</v>
      </c>
      <c r="F4801" s="294"/>
      <c r="G4801" s="378" t="s">
        <v>47</v>
      </c>
      <c r="H4801" s="398" t="str">
        <f>$V$4</f>
        <v>2019年度</v>
      </c>
      <c r="I4801" s="511" t="str">
        <f>$V$5</f>
        <v>2018年度</v>
      </c>
      <c r="J4801" s="355" t="s">
        <v>5333</v>
      </c>
      <c r="K4801" s="291"/>
      <c r="L4801" s="291"/>
      <c r="M4801" s="291"/>
      <c r="S4801" s="364"/>
      <c r="Z4801" s="609" t="s">
        <v>4288</v>
      </c>
      <c r="AA4801" s="609" t="s">
        <v>5711</v>
      </c>
    </row>
    <row r="4802" spans="1:27" ht="24">
      <c r="A4802" s="2714"/>
      <c r="B4802" s="371">
        <v>101</v>
      </c>
      <c r="C4802" s="371"/>
      <c r="D4802" s="2716">
        <f t="shared" ref="D4802:D4819" si="524">IF(OR(G4802="*",G4802="",G4802=0),0,COUNTIF($G$4802:$G$4819,G4802))</f>
        <v>1</v>
      </c>
      <c r="E4802" s="2721">
        <v>1</v>
      </c>
      <c r="F4802" s="294"/>
      <c r="G4802" s="380" t="s">
        <v>4290</v>
      </c>
      <c r="H4802" s="383"/>
      <c r="I4802" s="401"/>
      <c r="J4802" s="291"/>
      <c r="K4802" s="355" t="s">
        <v>6360</v>
      </c>
      <c r="L4802" s="2677" t="s">
        <v>6367</v>
      </c>
      <c r="M4802" s="291"/>
      <c r="S4802" s="364"/>
      <c r="Z4802" s="609" t="s">
        <v>4288</v>
      </c>
      <c r="AA4802" s="609" t="s">
        <v>5711</v>
      </c>
    </row>
    <row r="4803" spans="1:27" ht="24">
      <c r="A4803" s="2714"/>
      <c r="B4803" s="371">
        <v>102</v>
      </c>
      <c r="C4803" s="371"/>
      <c r="D4803" s="2716">
        <f t="shared" si="524"/>
        <v>1</v>
      </c>
      <c r="E4803" s="2721">
        <v>1</v>
      </c>
      <c r="F4803" s="294"/>
      <c r="G4803" s="380" t="s">
        <v>4291</v>
      </c>
      <c r="H4803" s="383"/>
      <c r="I4803" s="401"/>
      <c r="J4803" s="291"/>
      <c r="K4803" s="291"/>
      <c r="L4803" s="291"/>
      <c r="M4803" s="291"/>
      <c r="S4803" s="364"/>
      <c r="Z4803" s="609" t="s">
        <v>4288</v>
      </c>
      <c r="AA4803" s="609" t="s">
        <v>5711</v>
      </c>
    </row>
    <row r="4804" spans="1:27" ht="36">
      <c r="A4804" s="2714"/>
      <c r="B4804" s="371">
        <v>103</v>
      </c>
      <c r="C4804" s="371"/>
      <c r="D4804" s="2716">
        <f t="shared" si="524"/>
        <v>1</v>
      </c>
      <c r="E4804" s="2721">
        <v>1</v>
      </c>
      <c r="F4804" s="294"/>
      <c r="G4804" s="380" t="s">
        <v>4292</v>
      </c>
      <c r="H4804" s="2329">
        <v>0</v>
      </c>
      <c r="I4804" s="401"/>
      <c r="J4804" s="291"/>
      <c r="K4804" s="291"/>
      <c r="L4804" s="291"/>
      <c r="M4804" s="291"/>
      <c r="S4804" s="364"/>
      <c r="Z4804" s="609" t="s">
        <v>4288</v>
      </c>
      <c r="AA4804" s="609" t="s">
        <v>5711</v>
      </c>
    </row>
    <row r="4805" spans="1:27" ht="36">
      <c r="A4805" s="2714"/>
      <c r="B4805" s="371">
        <v>104</v>
      </c>
      <c r="C4805" s="371"/>
      <c r="D4805" s="2716">
        <f t="shared" si="524"/>
        <v>1</v>
      </c>
      <c r="E4805" s="2721">
        <v>1</v>
      </c>
      <c r="F4805" s="294"/>
      <c r="G4805" s="380" t="s">
        <v>4293</v>
      </c>
      <c r="H4805" s="2329">
        <v>0</v>
      </c>
      <c r="I4805" s="401"/>
      <c r="J4805" s="291"/>
      <c r="K4805" s="291"/>
      <c r="L4805" s="291"/>
      <c r="M4805" s="291"/>
      <c r="S4805" s="364"/>
      <c r="Z4805" s="609" t="s">
        <v>4288</v>
      </c>
      <c r="AA4805" s="609" t="s">
        <v>5711</v>
      </c>
    </row>
    <row r="4806" spans="1:27" ht="24">
      <c r="A4806" s="2714"/>
      <c r="B4806" s="371">
        <v>105</v>
      </c>
      <c r="C4806" s="371"/>
      <c r="D4806" s="2716">
        <f t="shared" si="524"/>
        <v>1</v>
      </c>
      <c r="E4806" s="2721">
        <v>1</v>
      </c>
      <c r="F4806" s="294"/>
      <c r="G4806" s="380" t="s">
        <v>4294</v>
      </c>
      <c r="H4806" s="2329">
        <v>0</v>
      </c>
      <c r="I4806" s="401"/>
      <c r="J4806" s="291"/>
      <c r="K4806" s="291"/>
      <c r="L4806" s="291"/>
      <c r="M4806" s="291"/>
      <c r="S4806" s="364"/>
      <c r="Z4806" s="609" t="s">
        <v>4288</v>
      </c>
      <c r="AA4806" s="609" t="s">
        <v>5711</v>
      </c>
    </row>
    <row r="4807" spans="1:27" ht="24">
      <c r="A4807" s="2714"/>
      <c r="B4807" s="371">
        <v>106</v>
      </c>
      <c r="C4807" s="371"/>
      <c r="D4807" s="2716">
        <f t="shared" si="524"/>
        <v>1</v>
      </c>
      <c r="E4807" s="2721">
        <v>1</v>
      </c>
      <c r="F4807" s="294"/>
      <c r="G4807" s="380" t="s">
        <v>4295</v>
      </c>
      <c r="H4807" s="2329">
        <v>0</v>
      </c>
      <c r="I4807" s="401"/>
      <c r="J4807" s="291"/>
      <c r="K4807" s="291"/>
      <c r="L4807" s="291"/>
      <c r="M4807" s="291"/>
      <c r="S4807" s="364"/>
      <c r="Z4807" s="609" t="s">
        <v>4288</v>
      </c>
      <c r="AA4807" s="609" t="s">
        <v>5711</v>
      </c>
    </row>
    <row r="4808" spans="1:27" ht="24">
      <c r="A4808" s="2714"/>
      <c r="B4808" s="371">
        <v>107</v>
      </c>
      <c r="C4808" s="371"/>
      <c r="D4808" s="2716">
        <f t="shared" si="524"/>
        <v>1</v>
      </c>
      <c r="E4808" s="2721">
        <v>1</v>
      </c>
      <c r="F4808" s="294"/>
      <c r="G4808" s="380" t="s">
        <v>4296</v>
      </c>
      <c r="H4808" s="2329">
        <v>0</v>
      </c>
      <c r="I4808" s="401"/>
      <c r="J4808" s="291"/>
      <c r="K4808" s="291"/>
      <c r="L4808" s="291"/>
      <c r="M4808" s="291"/>
      <c r="S4808" s="364"/>
      <c r="Z4808" s="609" t="s">
        <v>4288</v>
      </c>
      <c r="AA4808" s="609" t="s">
        <v>5711</v>
      </c>
    </row>
    <row r="4809" spans="1:27" ht="24">
      <c r="A4809" s="2714"/>
      <c r="B4809" s="371">
        <v>108</v>
      </c>
      <c r="C4809" s="371"/>
      <c r="D4809" s="2716">
        <f t="shared" si="524"/>
        <v>1</v>
      </c>
      <c r="E4809" s="2721">
        <v>1</v>
      </c>
      <c r="F4809" s="294"/>
      <c r="G4809" s="380" t="s">
        <v>4297</v>
      </c>
      <c r="H4809" s="383"/>
      <c r="I4809" s="401"/>
      <c r="J4809" s="291"/>
      <c r="K4809" s="291"/>
      <c r="L4809" s="291"/>
      <c r="M4809" s="291"/>
      <c r="S4809" s="364"/>
      <c r="Z4809" s="609" t="s">
        <v>4288</v>
      </c>
      <c r="AA4809" s="609" t="s">
        <v>5711</v>
      </c>
    </row>
    <row r="4810" spans="1:27" ht="24">
      <c r="A4810" s="2714"/>
      <c r="B4810" s="371">
        <v>109</v>
      </c>
      <c r="C4810" s="371"/>
      <c r="D4810" s="2716">
        <f t="shared" si="524"/>
        <v>1</v>
      </c>
      <c r="E4810" s="2721">
        <v>1</v>
      </c>
      <c r="F4810" s="294"/>
      <c r="G4810" s="380" t="s">
        <v>4298</v>
      </c>
      <c r="H4810" s="383"/>
      <c r="I4810" s="1500">
        <v>0</v>
      </c>
      <c r="J4810" s="291"/>
      <c r="K4810" s="291"/>
      <c r="L4810" s="291"/>
      <c r="M4810" s="291"/>
      <c r="S4810" s="364"/>
      <c r="Z4810" s="609" t="s">
        <v>4288</v>
      </c>
      <c r="AA4810" s="609" t="s">
        <v>5711</v>
      </c>
    </row>
    <row r="4811" spans="1:27" ht="24">
      <c r="A4811" s="2714"/>
      <c r="B4811" s="371">
        <v>110</v>
      </c>
      <c r="C4811" s="371"/>
      <c r="D4811" s="2716">
        <f t="shared" si="524"/>
        <v>1</v>
      </c>
      <c r="E4811" s="2721">
        <v>1</v>
      </c>
      <c r="F4811" s="294"/>
      <c r="G4811" s="409" t="s">
        <v>4299</v>
      </c>
      <c r="H4811" s="383"/>
      <c r="I4811" s="1500">
        <v>0</v>
      </c>
      <c r="J4811" s="291"/>
      <c r="K4811" s="291"/>
      <c r="L4811" s="291"/>
      <c r="M4811" s="291"/>
      <c r="S4811" s="364"/>
      <c r="Z4811" s="609" t="s">
        <v>4288</v>
      </c>
      <c r="AA4811" s="609" t="s">
        <v>5711</v>
      </c>
    </row>
    <row r="4812" spans="1:27" ht="24">
      <c r="A4812" s="2714"/>
      <c r="B4812" s="371">
        <v>111</v>
      </c>
      <c r="C4812" s="371"/>
      <c r="D4812" s="2716">
        <f t="shared" si="524"/>
        <v>1</v>
      </c>
      <c r="E4812" s="2721">
        <v>1</v>
      </c>
      <c r="F4812" s="294"/>
      <c r="G4812" s="409" t="s">
        <v>4300</v>
      </c>
      <c r="H4812" s="383"/>
      <c r="I4812" s="1500">
        <v>0</v>
      </c>
      <c r="J4812" s="291"/>
      <c r="K4812" s="291"/>
      <c r="L4812" s="291"/>
      <c r="M4812" s="291"/>
      <c r="S4812" s="364"/>
      <c r="Z4812" s="609" t="s">
        <v>4288</v>
      </c>
      <c r="AA4812" s="609" t="s">
        <v>5711</v>
      </c>
    </row>
    <row r="4813" spans="1:27" ht="24">
      <c r="A4813" s="2714"/>
      <c r="B4813" s="371">
        <v>112</v>
      </c>
      <c r="C4813" s="371"/>
      <c r="D4813" s="2716">
        <f t="shared" si="524"/>
        <v>1</v>
      </c>
      <c r="E4813" s="2721">
        <v>1</v>
      </c>
      <c r="F4813" s="294"/>
      <c r="G4813" s="409" t="s">
        <v>4301</v>
      </c>
      <c r="H4813" s="383"/>
      <c r="I4813" s="1500">
        <v>0</v>
      </c>
      <c r="J4813" s="291"/>
      <c r="K4813" s="291"/>
      <c r="L4813" s="291"/>
      <c r="M4813" s="291"/>
      <c r="S4813" s="364"/>
      <c r="Z4813" s="609" t="s">
        <v>4288</v>
      </c>
      <c r="AA4813" s="609" t="s">
        <v>5711</v>
      </c>
    </row>
    <row r="4814" spans="1:27" ht="24">
      <c r="A4814" s="2714"/>
      <c r="B4814" s="371">
        <v>113</v>
      </c>
      <c r="C4814" s="371"/>
      <c r="D4814" s="2716">
        <f t="shared" si="524"/>
        <v>1</v>
      </c>
      <c r="E4814" s="2721">
        <v>1</v>
      </c>
      <c r="F4814" s="294"/>
      <c r="G4814" s="409" t="s">
        <v>4302</v>
      </c>
      <c r="H4814" s="383"/>
      <c r="I4814" s="1500">
        <v>0</v>
      </c>
      <c r="J4814" s="291"/>
      <c r="K4814" s="291"/>
      <c r="L4814" s="291"/>
      <c r="M4814" s="291"/>
      <c r="S4814" s="364"/>
      <c r="Z4814" s="609" t="s">
        <v>4288</v>
      </c>
      <c r="AA4814" s="609" t="s">
        <v>5711</v>
      </c>
    </row>
    <row r="4815" spans="1:27" ht="24">
      <c r="A4815" s="2714"/>
      <c r="B4815" s="371">
        <v>114</v>
      </c>
      <c r="C4815" s="371"/>
      <c r="D4815" s="2716">
        <f t="shared" si="524"/>
        <v>1</v>
      </c>
      <c r="E4815" s="2721">
        <v>1</v>
      </c>
      <c r="F4815" s="294"/>
      <c r="G4815" s="380" t="s">
        <v>4303</v>
      </c>
      <c r="H4815" s="383"/>
      <c r="I4815" s="1500">
        <v>0</v>
      </c>
      <c r="J4815" s="291"/>
      <c r="K4815" s="291"/>
      <c r="L4815" s="291"/>
      <c r="M4815" s="291"/>
      <c r="S4815" s="364"/>
      <c r="Z4815" s="609" t="s">
        <v>4288</v>
      </c>
      <c r="AA4815" s="609" t="s">
        <v>5711</v>
      </c>
    </row>
    <row r="4816" spans="1:27" ht="24">
      <c r="A4816" s="2714"/>
      <c r="B4816" s="371">
        <v>115</v>
      </c>
      <c r="C4816" s="371"/>
      <c r="D4816" s="2716">
        <f t="shared" si="524"/>
        <v>1</v>
      </c>
      <c r="E4816" s="2721">
        <v>1</v>
      </c>
      <c r="F4816" s="294"/>
      <c r="G4816" s="380" t="s">
        <v>4304</v>
      </c>
      <c r="H4816" s="383"/>
      <c r="I4816" s="1500">
        <v>0</v>
      </c>
      <c r="J4816" s="291"/>
      <c r="K4816" s="291"/>
      <c r="L4816" s="291"/>
      <c r="M4816" s="291"/>
      <c r="S4816" s="364"/>
      <c r="Z4816" s="609" t="s">
        <v>4288</v>
      </c>
      <c r="AA4816" s="609" t="s">
        <v>5711</v>
      </c>
    </row>
    <row r="4817" spans="1:27" ht="18">
      <c r="A4817" s="2714"/>
      <c r="B4817" s="371">
        <v>116</v>
      </c>
      <c r="C4817" s="371" t="s">
        <v>2791</v>
      </c>
      <c r="D4817" s="2716">
        <f t="shared" si="524"/>
        <v>1</v>
      </c>
      <c r="E4817" s="2721">
        <v>1</v>
      </c>
      <c r="F4817" s="294"/>
      <c r="G4817" s="409" t="s">
        <v>6911</v>
      </c>
      <c r="H4817" s="383"/>
      <c r="I4817" s="401">
        <v>5273012.07</v>
      </c>
      <c r="J4817" s="291"/>
      <c r="K4817" s="291"/>
      <c r="L4817" s="291"/>
      <c r="M4817" s="291"/>
      <c r="S4817" s="364"/>
      <c r="Z4817" s="609" t="s">
        <v>4288</v>
      </c>
      <c r="AA4817" s="609" t="s">
        <v>5711</v>
      </c>
    </row>
    <row r="4818" spans="1:27" ht="18">
      <c r="A4818" s="2714"/>
      <c r="B4818" s="371"/>
      <c r="C4818" s="371" t="s">
        <v>6910</v>
      </c>
      <c r="D4818" s="2716">
        <f t="shared" si="524"/>
        <v>1</v>
      </c>
      <c r="E4818" s="2721">
        <v>1</v>
      </c>
      <c r="F4818" s="294"/>
      <c r="G4818" s="409" t="s">
        <v>6912</v>
      </c>
      <c r="H4818" s="383"/>
      <c r="I4818" s="401">
        <v>248074.28</v>
      </c>
      <c r="J4818" s="291"/>
      <c r="K4818" s="291"/>
      <c r="L4818" s="291"/>
      <c r="M4818" s="291"/>
      <c r="S4818" s="364"/>
      <c r="Z4818" s="609" t="s">
        <v>4288</v>
      </c>
      <c r="AA4818" s="609" t="s">
        <v>5711</v>
      </c>
    </row>
    <row r="4819" spans="1:27" ht="18.75" thickBot="1">
      <c r="A4819" s="2714"/>
      <c r="B4819" s="371"/>
      <c r="C4819" s="371"/>
      <c r="D4819" s="2716">
        <f t="shared" si="524"/>
        <v>1</v>
      </c>
      <c r="E4819" s="2721" t="s">
        <v>2751</v>
      </c>
      <c r="F4819" s="294"/>
      <c r="G4819" s="403" t="s">
        <v>2752</v>
      </c>
      <c r="H4819" s="1498">
        <f>SUMPRODUCT($E4801:$E4818,H4801:H4818)</f>
        <v>0</v>
      </c>
      <c r="I4819" s="1499">
        <f>SUMPRODUCT($E4801:$E4818,I4801:I4818)</f>
        <v>5521086.3499999996</v>
      </c>
      <c r="J4819" s="291"/>
      <c r="K4819" s="291"/>
      <c r="L4819" s="291"/>
      <c r="M4819" s="291"/>
      <c r="S4819" s="364"/>
      <c r="Z4819" s="609" t="s">
        <v>4288</v>
      </c>
      <c r="AA4819" s="609" t="s">
        <v>5711</v>
      </c>
    </row>
    <row r="4820" spans="1:27" ht="18">
      <c r="A4820" s="2714"/>
      <c r="B4820" s="371"/>
      <c r="C4820" s="371" t="s">
        <v>2755</v>
      </c>
      <c r="D4820" s="2716"/>
      <c r="F4820" s="293"/>
      <c r="G4820" s="376"/>
      <c r="H4820" s="315"/>
      <c r="I4820" s="396"/>
      <c r="J4820" s="425"/>
      <c r="K4820" s="426"/>
      <c r="L4820" s="427"/>
      <c r="M4820" s="425"/>
      <c r="N4820" s="426"/>
      <c r="O4820" s="427"/>
      <c r="P4820" s="425"/>
      <c r="Q4820" s="442"/>
      <c r="R4820" s="443"/>
      <c r="S4820" s="364"/>
      <c r="Z4820" s="609" t="s">
        <v>4288</v>
      </c>
      <c r="AA4820" s="609" t="s">
        <v>5711</v>
      </c>
    </row>
    <row r="4821" spans="1:27" ht="17.25">
      <c r="A4821" s="2715">
        <v>6102</v>
      </c>
      <c r="B4821" s="371">
        <v>69</v>
      </c>
      <c r="C4821" s="2716" t="str">
        <f>VLOOKUP($A4821,Sheet_Items,2,0)</f>
        <v>净敞口套期收益</v>
      </c>
      <c r="D4821" s="371"/>
      <c r="E4821" s="2716" t="s">
        <v>2739</v>
      </c>
      <c r="F4821" s="293"/>
      <c r="G4821" s="305" t="str">
        <f>B4821&amp;" "&amp;C4821</f>
        <v>69 净敞口套期收益</v>
      </c>
      <c r="H4821" s="306"/>
      <c r="I4821" s="306"/>
      <c r="J4821" s="306" t="s">
        <v>4206</v>
      </c>
      <c r="K4821" s="341">
        <f>VLOOKUP($A4821,Sheet_Trialbal,6,0)</f>
        <v>0</v>
      </c>
      <c r="L4821" s="342"/>
      <c r="M4821" s="306" t="s">
        <v>4207</v>
      </c>
      <c r="N4821" s="341">
        <f>VLOOKUP($A4821,Sheet_Trialbal,10,0)</f>
        <v>0</v>
      </c>
      <c r="O4821" s="342"/>
      <c r="P4821" s="301"/>
      <c r="S4821" s="364"/>
      <c r="Z4821" s="609" t="s">
        <v>4305</v>
      </c>
      <c r="AA4821" s="609" t="s">
        <v>4306</v>
      </c>
    </row>
    <row r="4822" spans="1:27" ht="24">
      <c r="A4822" s="2714" t="s">
        <v>1882</v>
      </c>
      <c r="B4822" s="371">
        <v>1</v>
      </c>
      <c r="C4822" s="371"/>
      <c r="D4822" s="2716" t="str">
        <f>VLOOKUP($A4822,Sheet_NoteList,2,0)</f>
        <v>净敞口套期收益明细项目</v>
      </c>
      <c r="E4822" s="2716" t="s">
        <v>2742</v>
      </c>
      <c r="F4822" s="293"/>
      <c r="G4822" s="372" t="str">
        <f>"("&amp;B4822&amp;")"&amp;D4822</f>
        <v>(1)净敞口套期收益明细项目</v>
      </c>
      <c r="H4822" s="1517" t="str">
        <f>$A4822</f>
        <v>6102a</v>
      </c>
      <c r="I4822" s="343" t="s">
        <v>2743</v>
      </c>
      <c r="J4822" s="301" t="s">
        <v>4210</v>
      </c>
      <c r="K4822" s="2210">
        <f>H4833</f>
        <v>0</v>
      </c>
      <c r="L4822" s="349" t="str">
        <f>IF($I4822="适用",IF(ROUND(K$4821-K4822,2)=0,"F/S",ROUND(K$4821-K4822,2)),"#N/A")</f>
        <v>F/S</v>
      </c>
      <c r="M4822" s="301" t="s">
        <v>4211</v>
      </c>
      <c r="N4822" s="2210">
        <f>I4833</f>
        <v>0</v>
      </c>
      <c r="O4822" s="349" t="str">
        <f>IF($I4822="适用",IF(ROUND(N$4821-N4822,2)=0,"F/S",ROUND(N$4821-N4822,2)),"#N/A")</f>
        <v>F/S</v>
      </c>
      <c r="P4822" s="301"/>
      <c r="S4822" s="364"/>
      <c r="Z4822" s="609" t="s">
        <v>4305</v>
      </c>
      <c r="AA4822" s="609" t="s">
        <v>4306</v>
      </c>
    </row>
    <row r="4823" spans="1:27" ht="0.75" customHeight="1" thickBot="1">
      <c r="A4823" s="2714"/>
      <c r="B4823" s="371"/>
      <c r="C4823" s="371"/>
      <c r="D4823" s="2716"/>
      <c r="F4823" s="371"/>
      <c r="G4823" s="405" t="s">
        <v>4307</v>
      </c>
      <c r="H4823" s="371" t="s">
        <v>2747</v>
      </c>
      <c r="I4823" s="371" t="s">
        <v>2748</v>
      </c>
      <c r="J4823" s="433"/>
      <c r="K4823" s="428"/>
      <c r="L4823" s="428"/>
      <c r="M4823" s="433"/>
      <c r="N4823" s="428"/>
      <c r="O4823" s="428"/>
      <c r="P4823" s="433"/>
      <c r="Q4823" s="442"/>
      <c r="R4823" s="443"/>
      <c r="S4823" s="364"/>
      <c r="Z4823" s="609" t="s">
        <v>4305</v>
      </c>
      <c r="AA4823" s="609" t="s">
        <v>4306</v>
      </c>
    </row>
    <row r="4824" spans="1:27" ht="18">
      <c r="A4824" s="2714"/>
      <c r="B4824" s="371"/>
      <c r="C4824" s="371"/>
      <c r="D4824" s="2716"/>
      <c r="E4824" s="2716" t="s">
        <v>2749</v>
      </c>
      <c r="F4824" s="293"/>
      <c r="G4824" s="2305" t="s">
        <v>47</v>
      </c>
      <c r="H4824" s="2291" t="str">
        <f>$V$4</f>
        <v>2019年度</v>
      </c>
      <c r="I4824" s="2293" t="str">
        <f>$V$5</f>
        <v>2018年度</v>
      </c>
      <c r="J4824" s="355" t="s">
        <v>5334</v>
      </c>
      <c r="K4824" s="434"/>
      <c r="L4824" s="434"/>
      <c r="M4824" s="435"/>
      <c r="N4824" s="434"/>
      <c r="O4824" s="434"/>
      <c r="P4824" s="435"/>
      <c r="Q4824" s="442"/>
      <c r="R4824" s="443"/>
      <c r="S4824" s="364"/>
      <c r="Z4824" s="609" t="s">
        <v>4305</v>
      </c>
      <c r="AA4824" s="609" t="s">
        <v>4306</v>
      </c>
    </row>
    <row r="4825" spans="1:27" ht="18">
      <c r="A4825" s="2714"/>
      <c r="B4825" s="371">
        <v>101</v>
      </c>
      <c r="C4825" s="371" t="s">
        <v>2791</v>
      </c>
      <c r="D4825" s="2716">
        <f t="shared" ref="D4825:D4833" si="525">IF(OR(G4825="*",G4825="",G4825=0),0,COUNTIF($G$4825:$G$4833,G4825))</f>
        <v>0</v>
      </c>
      <c r="E4825" s="2721">
        <v>1</v>
      </c>
      <c r="F4825" s="293"/>
      <c r="G4825" s="319" t="s">
        <v>2792</v>
      </c>
      <c r="H4825" s="309"/>
      <c r="I4825" s="1475">
        <v>0</v>
      </c>
      <c r="J4825" s="438"/>
      <c r="K4825" s="439"/>
      <c r="L4825" s="437"/>
      <c r="M4825" s="438"/>
      <c r="N4825" s="439"/>
      <c r="O4825" s="437"/>
      <c r="P4825" s="438"/>
      <c r="Q4825" s="442"/>
      <c r="R4825" s="443"/>
      <c r="S4825" s="364"/>
      <c r="Z4825" s="609" t="s">
        <v>4305</v>
      </c>
      <c r="AA4825" s="609" t="s">
        <v>4306</v>
      </c>
    </row>
    <row r="4826" spans="1:27" ht="18">
      <c r="A4826" s="2714"/>
      <c r="B4826" s="371">
        <v>102</v>
      </c>
      <c r="C4826" s="371" t="s">
        <v>2791</v>
      </c>
      <c r="D4826" s="2716">
        <f t="shared" si="525"/>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8">
      <c r="A4827" s="2714"/>
      <c r="B4827" s="371">
        <v>103</v>
      </c>
      <c r="C4827" s="371" t="s">
        <v>2791</v>
      </c>
      <c r="D4827" s="2716">
        <f t="shared" si="525"/>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104</v>
      </c>
      <c r="C4828" s="371" t="s">
        <v>2791</v>
      </c>
      <c r="D4828" s="2716">
        <f t="shared" si="525"/>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105</v>
      </c>
      <c r="C4829" s="371" t="s">
        <v>2791</v>
      </c>
      <c r="D4829" s="2716">
        <f t="shared" si="525"/>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106</v>
      </c>
      <c r="C4830" s="371" t="s">
        <v>2791</v>
      </c>
      <c r="D4830" s="2716">
        <f t="shared" si="525"/>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107</v>
      </c>
      <c r="C4831" s="371" t="s">
        <v>2791</v>
      </c>
      <c r="D4831" s="2716">
        <f t="shared" si="525"/>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
      <c r="A4832" s="2714"/>
      <c r="B4832" s="371">
        <v>108</v>
      </c>
      <c r="C4832" s="371" t="s">
        <v>2791</v>
      </c>
      <c r="D4832" s="2716">
        <f t="shared" si="525"/>
        <v>0</v>
      </c>
      <c r="E4832" s="2721">
        <v>1</v>
      </c>
      <c r="F4832" s="293"/>
      <c r="G4832" s="319" t="s">
        <v>2792</v>
      </c>
      <c r="H4832" s="309"/>
      <c r="I4832" s="1475">
        <v>0</v>
      </c>
      <c r="J4832" s="438"/>
      <c r="K4832" s="439"/>
      <c r="L4832" s="437"/>
      <c r="M4832" s="438"/>
      <c r="N4832" s="439"/>
      <c r="O4832" s="437"/>
      <c r="P4832" s="438"/>
      <c r="Q4832" s="442"/>
      <c r="R4832" s="443"/>
      <c r="S4832" s="364"/>
      <c r="Z4832" s="609" t="s">
        <v>4305</v>
      </c>
      <c r="AA4832" s="609" t="s">
        <v>4306</v>
      </c>
    </row>
    <row r="4833" spans="1:27" ht="18.75" thickBot="1">
      <c r="A4833" s="2714"/>
      <c r="B4833" s="371"/>
      <c r="C4833" s="371"/>
      <c r="D4833" s="2716">
        <f t="shared" si="525"/>
        <v>1</v>
      </c>
      <c r="E4833" s="2721" t="s">
        <v>2751</v>
      </c>
      <c r="F4833" s="293"/>
      <c r="G4833" s="2234" t="s">
        <v>2752</v>
      </c>
      <c r="H4833" s="2325">
        <f>SUMPRODUCT($E4824:$E4832,H4824:H4832)</f>
        <v>0</v>
      </c>
      <c r="I4833" s="2342">
        <f>SUMPRODUCT($E4824:$E4832,I4824:I4832)</f>
        <v>0</v>
      </c>
      <c r="J4833" s="440"/>
      <c r="K4833" s="439"/>
      <c r="L4833" s="437"/>
      <c r="M4833" s="440"/>
      <c r="N4833" s="439"/>
      <c r="O4833" s="437"/>
      <c r="P4833" s="440"/>
      <c r="Q4833" s="442"/>
      <c r="R4833" s="443"/>
      <c r="S4833" s="364"/>
      <c r="Z4833" s="609" t="s">
        <v>4305</v>
      </c>
      <c r="AA4833" s="609" t="s">
        <v>4306</v>
      </c>
    </row>
    <row r="4834" spans="1:27" ht="18">
      <c r="A4834" s="2714"/>
      <c r="B4834" s="371"/>
      <c r="C4834" s="371" t="s">
        <v>2755</v>
      </c>
      <c r="D4834" s="2716"/>
      <c r="F4834" s="293"/>
      <c r="G4834" s="376"/>
      <c r="H4834" s="315"/>
      <c r="I4834" s="396"/>
      <c r="J4834" s="425"/>
      <c r="K4834" s="426"/>
      <c r="L4834" s="427"/>
      <c r="M4834" s="425"/>
      <c r="N4834" s="426"/>
      <c r="O4834" s="427"/>
      <c r="P4834" s="425"/>
      <c r="Q4834" s="442"/>
      <c r="R4834" s="443"/>
      <c r="S4834" s="364"/>
      <c r="Z4834" s="609" t="s">
        <v>4305</v>
      </c>
      <c r="AA4834" s="609" t="s">
        <v>4306</v>
      </c>
    </row>
    <row r="4835" spans="1:27" ht="18">
      <c r="A4835" s="2714">
        <v>6101</v>
      </c>
      <c r="B4835" s="371">
        <v>70</v>
      </c>
      <c r="C4835" s="2716" t="str">
        <f>VLOOKUP($A4835,Sheet_Items,2,0)</f>
        <v>公允价值变动收益</v>
      </c>
      <c r="D4835" s="371"/>
      <c r="E4835" s="2716" t="s">
        <v>2739</v>
      </c>
      <c r="F4835" s="294"/>
      <c r="G4835" s="305" t="str">
        <f>B4835&amp;" "&amp;C4835</f>
        <v>70 公允价值变动收益</v>
      </c>
      <c r="H4835" s="306"/>
      <c r="I4835" s="306"/>
      <c r="J4835" s="306" t="s">
        <v>4206</v>
      </c>
      <c r="K4835" s="341">
        <f>VLOOKUP($A4835,Sheet_Trialbal,6,0)</f>
        <v>0</v>
      </c>
      <c r="L4835" s="342"/>
      <c r="M4835" s="306" t="s">
        <v>4207</v>
      </c>
      <c r="N4835" s="341">
        <f>VLOOKUP($A4835,Sheet_Trialbal,10,0)</f>
        <v>0</v>
      </c>
      <c r="O4835" s="306"/>
      <c r="P4835" s="301"/>
      <c r="S4835" s="364"/>
      <c r="Z4835" s="609" t="s">
        <v>4308</v>
      </c>
      <c r="AA4835" s="609" t="s">
        <v>5713</v>
      </c>
    </row>
    <row r="4836" spans="1:27" ht="24">
      <c r="A4836" s="2714" t="s">
        <v>6091</v>
      </c>
      <c r="B4836" s="371">
        <v>1</v>
      </c>
      <c r="C4836" s="371"/>
      <c r="D4836" s="2716" t="str">
        <f>VLOOKUP($A4836,Sheet_NoteList,2,0)</f>
        <v>公允价值变动收益明细项目列示</v>
      </c>
      <c r="E4836" s="2716" t="s">
        <v>6530</v>
      </c>
      <c r="F4836" s="293"/>
      <c r="G4836" s="372" t="str">
        <f>"("&amp;B4836&amp;")"&amp;D4836</f>
        <v>(1)公允价值变动收益明细项目列示</v>
      </c>
      <c r="H4836" s="1517" t="str">
        <f>$A4836</f>
        <v>6101b</v>
      </c>
      <c r="I4836" s="343" t="s">
        <v>6093</v>
      </c>
      <c r="J4836" s="301" t="s">
        <v>6094</v>
      </c>
      <c r="K4836" s="2210">
        <f>H4847</f>
        <v>0</v>
      </c>
      <c r="L4836" s="349" t="str">
        <f>IF($I4836="适用",IF(ROUND(K$4835-K4836,2)=0,"F/S",ROUND(K$4835-K4836,2)),"#N/A")</f>
        <v>F/S</v>
      </c>
      <c r="M4836" s="301" t="s">
        <v>6095</v>
      </c>
      <c r="N4836" s="2210">
        <f>I4847</f>
        <v>0</v>
      </c>
      <c r="O4836" s="349" t="str">
        <f>IF($I4836="适用",IF(ROUND(N$4835-N4836,2)=0,"F/S",ROUND(N$4835-N4836,2)),"#N/A")</f>
        <v>F/S</v>
      </c>
      <c r="P4836" s="301"/>
      <c r="S4836" s="364"/>
      <c r="Z4836" s="609" t="s">
        <v>4308</v>
      </c>
      <c r="AA4836" s="609" t="s">
        <v>5713</v>
      </c>
    </row>
    <row r="4837" spans="1:27" ht="0.75" customHeight="1" thickBot="1">
      <c r="A4837" s="2714"/>
      <c r="B4837" s="371"/>
      <c r="C4837" s="371"/>
      <c r="D4837" s="2716"/>
      <c r="E4837" s="586"/>
      <c r="F4837" s="586"/>
      <c r="G4837" s="2224" t="s">
        <v>6096</v>
      </c>
      <c r="H4837" s="1617" t="s">
        <v>4223</v>
      </c>
      <c r="I4837" s="371" t="s">
        <v>4224</v>
      </c>
      <c r="J4837" s="301"/>
      <c r="K4837" s="391"/>
      <c r="L4837" s="349"/>
      <c r="M4837" s="301"/>
      <c r="N4837" s="391"/>
      <c r="O4837" s="349"/>
      <c r="P4837" s="301"/>
      <c r="S4837" s="364"/>
      <c r="Z4837" s="609" t="s">
        <v>4308</v>
      </c>
      <c r="AA4837" s="609" t="s">
        <v>5713</v>
      </c>
    </row>
    <row r="4838" spans="1:27" ht="18">
      <c r="A4838" s="2714"/>
      <c r="B4838" s="371"/>
      <c r="C4838" s="371"/>
      <c r="D4838" s="2716"/>
      <c r="E4838" s="586" t="s">
        <v>2749</v>
      </c>
      <c r="F4838" s="414"/>
      <c r="G4838" s="2453" t="s">
        <v>1878</v>
      </c>
      <c r="H4838" s="2523" t="str">
        <f>$V$4</f>
        <v>2019年度</v>
      </c>
      <c r="I4838" s="2524" t="str">
        <f>$V$5</f>
        <v>2018年度</v>
      </c>
      <c r="J4838" s="355" t="s">
        <v>5335</v>
      </c>
      <c r="K4838" s="391"/>
      <c r="L4838" s="349"/>
      <c r="M4838" s="301"/>
      <c r="N4838" s="391"/>
      <c r="O4838" s="349"/>
      <c r="P4838" s="301"/>
      <c r="S4838" s="364"/>
      <c r="Z4838" s="609" t="s">
        <v>4308</v>
      </c>
      <c r="AA4838" s="609" t="s">
        <v>5713</v>
      </c>
    </row>
    <row r="4839" spans="1:27" ht="18">
      <c r="A4839" s="2714"/>
      <c r="B4839" s="371">
        <v>101</v>
      </c>
      <c r="C4839" s="371"/>
      <c r="D4839" s="2716">
        <f t="shared" ref="D4839:D4847" si="526">IF(OR(G4839="*",G4839="",G4839=0),0,COUNTIF($G$4839:$G$4847,G4839))</f>
        <v>1</v>
      </c>
      <c r="E4839" s="2721">
        <v>1</v>
      </c>
      <c r="F4839" s="294"/>
      <c r="G4839" s="1474" t="s">
        <v>71</v>
      </c>
      <c r="H4839" s="2275"/>
      <c r="I4839" s="2296"/>
      <c r="J4839" s="301"/>
      <c r="K4839" s="391"/>
      <c r="L4839" s="349"/>
      <c r="M4839" s="301"/>
      <c r="N4839" s="391"/>
      <c r="O4839" s="349"/>
      <c r="P4839" s="301"/>
      <c r="S4839" s="364"/>
      <c r="Z4839" s="609" t="s">
        <v>4308</v>
      </c>
      <c r="AA4839" s="609" t="s">
        <v>5713</v>
      </c>
    </row>
    <row r="4840" spans="1:27" ht="24">
      <c r="A4840" s="2714"/>
      <c r="B4840" s="371">
        <v>102</v>
      </c>
      <c r="C4840" s="371"/>
      <c r="D4840" s="2716">
        <f t="shared" si="526"/>
        <v>1</v>
      </c>
      <c r="E4840" s="2721">
        <v>0</v>
      </c>
      <c r="F4840" s="294"/>
      <c r="G4840" s="1474" t="s">
        <v>4310</v>
      </c>
      <c r="H4840" s="2275"/>
      <c r="I4840" s="2296"/>
      <c r="J4840" s="301"/>
      <c r="K4840" s="391"/>
      <c r="L4840" s="349"/>
      <c r="M4840" s="301"/>
      <c r="N4840" s="391"/>
      <c r="O4840" s="349"/>
      <c r="P4840" s="301"/>
      <c r="S4840" s="364"/>
      <c r="Z4840" s="609" t="s">
        <v>4308</v>
      </c>
      <c r="AA4840" s="609" t="s">
        <v>5713</v>
      </c>
    </row>
    <row r="4841" spans="1:27" ht="24">
      <c r="A4841" s="2714"/>
      <c r="B4841" s="371">
        <v>103</v>
      </c>
      <c r="C4841" s="371"/>
      <c r="D4841" s="2716">
        <f t="shared" si="526"/>
        <v>1</v>
      </c>
      <c r="E4841" s="2721">
        <v>1</v>
      </c>
      <c r="F4841" s="294"/>
      <c r="G4841" s="1474" t="s">
        <v>4311</v>
      </c>
      <c r="H4841" s="2275"/>
      <c r="I4841" s="2296"/>
      <c r="J4841" s="301"/>
      <c r="K4841" s="391"/>
      <c r="L4841" s="349"/>
      <c r="M4841" s="301"/>
      <c r="N4841" s="391"/>
      <c r="O4841" s="349"/>
      <c r="P4841" s="301"/>
      <c r="S4841" s="364"/>
      <c r="Z4841" s="609" t="s">
        <v>4308</v>
      </c>
      <c r="AA4841" s="609" t="s">
        <v>5713</v>
      </c>
    </row>
    <row r="4842" spans="1:27" ht="18">
      <c r="A4842" s="2714"/>
      <c r="B4842" s="371">
        <v>104</v>
      </c>
      <c r="C4842" s="371"/>
      <c r="D4842" s="2716">
        <f t="shared" si="526"/>
        <v>1</v>
      </c>
      <c r="E4842" s="2721">
        <v>1</v>
      </c>
      <c r="F4842" s="294"/>
      <c r="G4842" s="1474" t="s">
        <v>462</v>
      </c>
      <c r="H4842" s="2275"/>
      <c r="I4842" s="2296"/>
      <c r="J4842" s="301"/>
      <c r="K4842" s="391"/>
      <c r="L4842" s="349"/>
      <c r="M4842" s="301"/>
      <c r="N4842" s="391"/>
      <c r="O4842" s="349"/>
      <c r="P4842" s="301"/>
      <c r="S4842" s="364"/>
      <c r="Z4842" s="609" t="s">
        <v>4308</v>
      </c>
      <c r="AA4842" s="609" t="s">
        <v>5713</v>
      </c>
    </row>
    <row r="4843" spans="1:27" ht="24">
      <c r="A4843" s="2714"/>
      <c r="B4843" s="371">
        <v>105</v>
      </c>
      <c r="C4843" s="371"/>
      <c r="D4843" s="2716">
        <f t="shared" si="526"/>
        <v>1</v>
      </c>
      <c r="E4843" s="2721">
        <v>0</v>
      </c>
      <c r="F4843" s="294"/>
      <c r="G4843" s="1474" t="s">
        <v>4312</v>
      </c>
      <c r="H4843" s="2275"/>
      <c r="I4843" s="2296"/>
      <c r="J4843" s="301"/>
      <c r="K4843" s="391"/>
      <c r="L4843" s="349"/>
      <c r="M4843" s="301"/>
      <c r="N4843" s="391"/>
      <c r="O4843" s="349"/>
      <c r="P4843" s="301"/>
      <c r="S4843" s="364"/>
      <c r="Z4843" s="609" t="s">
        <v>4308</v>
      </c>
      <c r="AA4843" s="609" t="s">
        <v>5713</v>
      </c>
    </row>
    <row r="4844" spans="1:27" ht="24">
      <c r="A4844" s="2714"/>
      <c r="B4844" s="371">
        <v>106</v>
      </c>
      <c r="C4844" s="371"/>
      <c r="D4844" s="2716">
        <f t="shared" si="526"/>
        <v>1</v>
      </c>
      <c r="E4844" s="2721">
        <v>1</v>
      </c>
      <c r="F4844" s="294"/>
      <c r="G4844" s="1474" t="s">
        <v>4313</v>
      </c>
      <c r="H4844" s="2275"/>
      <c r="I4844" s="2296"/>
      <c r="J4844" s="301"/>
      <c r="K4844" s="391"/>
      <c r="L4844" s="349"/>
      <c r="M4844" s="301"/>
      <c r="N4844" s="391"/>
      <c r="O4844" s="349"/>
      <c r="P4844" s="301"/>
      <c r="S4844" s="364"/>
      <c r="Z4844" s="609" t="s">
        <v>4308</v>
      </c>
      <c r="AA4844" s="609" t="s">
        <v>5713</v>
      </c>
    </row>
    <row r="4845" spans="1:27" ht="18">
      <c r="A4845" s="2714"/>
      <c r="B4845" s="371">
        <v>107</v>
      </c>
      <c r="C4845" s="371"/>
      <c r="D4845" s="2716">
        <f t="shared" si="526"/>
        <v>1</v>
      </c>
      <c r="E4845" s="2721">
        <v>1</v>
      </c>
      <c r="F4845" s="294"/>
      <c r="G4845" s="1474" t="s">
        <v>329</v>
      </c>
      <c r="H4845" s="2275"/>
      <c r="I4845" s="2296"/>
      <c r="J4845" s="301"/>
      <c r="K4845" s="391"/>
      <c r="L4845" s="349"/>
      <c r="M4845" s="301"/>
      <c r="N4845" s="391"/>
      <c r="O4845" s="349"/>
      <c r="P4845" s="301"/>
      <c r="S4845" s="364"/>
      <c r="Z4845" s="609" t="s">
        <v>4308</v>
      </c>
      <c r="AA4845" s="609" t="s">
        <v>5713</v>
      </c>
    </row>
    <row r="4846" spans="1:27" ht="18">
      <c r="A4846" s="2714"/>
      <c r="B4846" s="371">
        <v>108</v>
      </c>
      <c r="C4846" s="371" t="s">
        <v>2791</v>
      </c>
      <c r="D4846" s="2716">
        <f t="shared" si="526"/>
        <v>0</v>
      </c>
      <c r="E4846" s="2721">
        <v>1</v>
      </c>
      <c r="F4846" s="294"/>
      <c r="G4846" s="2467" t="s">
        <v>2792</v>
      </c>
      <c r="H4846" s="2275"/>
      <c r="I4846" s="2296"/>
      <c r="J4846" s="301"/>
      <c r="K4846" s="391"/>
      <c r="L4846" s="349"/>
      <c r="M4846" s="301"/>
      <c r="N4846" s="391"/>
      <c r="O4846" s="349"/>
      <c r="P4846" s="301"/>
      <c r="S4846" s="364"/>
      <c r="Z4846" s="609" t="s">
        <v>4308</v>
      </c>
      <c r="AA4846" s="609" t="s">
        <v>5713</v>
      </c>
    </row>
    <row r="4847" spans="1:27" ht="18.75" thickBot="1">
      <c r="A4847" s="2714"/>
      <c r="B4847" s="371"/>
      <c r="C4847" s="371"/>
      <c r="D4847" s="2716">
        <f t="shared" si="526"/>
        <v>1</v>
      </c>
      <c r="E4847" s="2721" t="s">
        <v>2751</v>
      </c>
      <c r="F4847" s="293"/>
      <c r="G4847" s="2234" t="s">
        <v>2752</v>
      </c>
      <c r="H4847" s="2235">
        <f>SUMPRODUCT($E4838:$E4846,H4838:H4846)</f>
        <v>0</v>
      </c>
      <c r="I4847" s="2236">
        <f>SUMPRODUCT($E4838:$E4846,I4838:I4846)</f>
        <v>0</v>
      </c>
      <c r="J4847" s="301"/>
      <c r="K4847" s="391"/>
      <c r="L4847" s="349"/>
      <c r="M4847" s="301"/>
      <c r="N4847" s="391"/>
      <c r="O4847" s="349"/>
      <c r="P4847" s="301"/>
      <c r="S4847" s="364"/>
      <c r="Z4847" s="609" t="s">
        <v>4308</v>
      </c>
      <c r="AA4847" s="609" t="s">
        <v>5713</v>
      </c>
    </row>
    <row r="4848" spans="1:27" ht="18">
      <c r="A4848" s="2714"/>
      <c r="B4848" s="371"/>
      <c r="C4848" s="371" t="s">
        <v>2755</v>
      </c>
      <c r="D4848" s="2716"/>
      <c r="F4848" s="293"/>
      <c r="G4848" s="376"/>
      <c r="H4848" s="1576"/>
      <c r="I4848" s="396"/>
      <c r="J4848" s="301"/>
      <c r="K4848" s="391"/>
      <c r="L4848" s="349"/>
      <c r="M4848" s="301"/>
      <c r="N4848" s="391"/>
      <c r="O4848" s="349"/>
      <c r="P4848" s="301"/>
      <c r="S4848" s="364"/>
      <c r="Z4848" s="609" t="s">
        <v>4308</v>
      </c>
      <c r="AA4848" s="609" t="s">
        <v>5713</v>
      </c>
    </row>
    <row r="4849" spans="1:31" ht="24" hidden="1">
      <c r="A4849" s="2714" t="s">
        <v>1876</v>
      </c>
      <c r="B4849" s="371">
        <v>1</v>
      </c>
      <c r="C4849" s="371"/>
      <c r="D4849" s="2716" t="str">
        <f>VLOOKUP($A4849,Sheet_NoteList,2,0)</f>
        <v>公允价值变动收益明细项目</v>
      </c>
      <c r="E4849" s="2716" t="s">
        <v>6631</v>
      </c>
      <c r="F4849" s="294"/>
      <c r="G4849" s="372" t="str">
        <f>"("&amp;B4849&amp;")"&amp;D4849</f>
        <v>(1)公允价值变动收益明细项目</v>
      </c>
      <c r="H4849" s="1517" t="str">
        <f>$A4849</f>
        <v>6101a</v>
      </c>
      <c r="I4849" s="343" t="s">
        <v>6630</v>
      </c>
      <c r="J4849" s="301" t="s">
        <v>6632</v>
      </c>
      <c r="K4849" s="344">
        <f>H4860</f>
        <v>0</v>
      </c>
      <c r="L4849" s="345" t="str">
        <f>IF($I4849="适用",IF(ROUND(K4835-K4849,2)=0,"F/S",ROUND(K4835-K4849,2)),"#N/A")</f>
        <v>#N/A</v>
      </c>
      <c r="M4849" s="301" t="s">
        <v>6633</v>
      </c>
      <c r="N4849" s="344">
        <f>I4860</f>
        <v>0</v>
      </c>
      <c r="O4849" s="345" t="str">
        <f>IF($I4849="适用",IF(ROUND(N4835-N4849,2)=0,"F/S",ROUND(N4835-N4849,2)),"#N/A")</f>
        <v>#N/A</v>
      </c>
      <c r="P4849" s="301"/>
      <c r="Q4849" s="290" t="str">
        <f>IF($I4849="不适用","",IF(ROUND(SUM($H$4852:$I$4860),2)=0,"请输入",""))</f>
        <v/>
      </c>
      <c r="S4849" s="364"/>
      <c r="Z4849" s="609" t="s">
        <v>4308</v>
      </c>
      <c r="AA4849" s="609" t="s">
        <v>5713</v>
      </c>
      <c r="AE4849" s="369" t="s">
        <v>2761</v>
      </c>
    </row>
    <row r="4850" spans="1:31" ht="0.75" hidden="1" customHeight="1" thickBot="1">
      <c r="A4850" s="2714"/>
      <c r="B4850" s="371"/>
      <c r="C4850" s="371"/>
      <c r="D4850" s="371"/>
      <c r="E4850" s="586"/>
      <c r="F4850" s="586"/>
      <c r="G4850" s="586" t="s">
        <v>4309</v>
      </c>
      <c r="H4850" s="371" t="s">
        <v>4223</v>
      </c>
      <c r="I4850" s="371" t="s">
        <v>4224</v>
      </c>
      <c r="J4850" s="291"/>
      <c r="K4850" s="291"/>
      <c r="L4850" s="291"/>
      <c r="M4850" s="291"/>
      <c r="S4850" s="364"/>
      <c r="Z4850" s="609" t="s">
        <v>4308</v>
      </c>
      <c r="AA4850" s="609" t="s">
        <v>5713</v>
      </c>
      <c r="AE4850" s="369" t="s">
        <v>2761</v>
      </c>
    </row>
    <row r="4851" spans="1:31" ht="18" hidden="1">
      <c r="A4851" s="2714"/>
      <c r="B4851" s="371"/>
      <c r="C4851" s="371"/>
      <c r="D4851" s="371"/>
      <c r="E4851" s="586" t="s">
        <v>2749</v>
      </c>
      <c r="F4851" s="363"/>
      <c r="G4851" s="2569" t="s">
        <v>1878</v>
      </c>
      <c r="H4851" s="2557" t="s">
        <v>4242</v>
      </c>
      <c r="I4851" s="2572" t="s">
        <v>4245</v>
      </c>
      <c r="J4851" s="2452" t="s">
        <v>5990</v>
      </c>
      <c r="K4851" s="291"/>
      <c r="L4851" s="291"/>
      <c r="M4851" s="291"/>
      <c r="S4851" s="364"/>
      <c r="Z4851" s="609" t="s">
        <v>4308</v>
      </c>
      <c r="AA4851" s="609" t="s">
        <v>5713</v>
      </c>
      <c r="AE4851" s="369" t="s">
        <v>2761</v>
      </c>
    </row>
    <row r="4852" spans="1:31" ht="24" hidden="1">
      <c r="A4852" s="2714"/>
      <c r="B4852" s="371">
        <v>101</v>
      </c>
      <c r="C4852" s="371"/>
      <c r="D4852" s="2716">
        <f t="shared" ref="D4852:D4860" si="527">IF(OR(G4852="*",G4852="",G4852=0),0,COUNTIF($G$4852:$G$4860,G4852))</f>
        <v>1</v>
      </c>
      <c r="E4852" s="2721">
        <v>1</v>
      </c>
      <c r="F4852" s="294"/>
      <c r="G4852" s="1474" t="s">
        <v>6098</v>
      </c>
      <c r="H4852" s="2275"/>
      <c r="I4852" s="2296"/>
      <c r="J4852" s="291"/>
      <c r="K4852" s="291"/>
      <c r="L4852" s="291"/>
      <c r="M4852" s="291"/>
      <c r="S4852" s="364"/>
      <c r="Z4852" s="609" t="s">
        <v>4308</v>
      </c>
      <c r="AA4852" s="609" t="s">
        <v>5713</v>
      </c>
      <c r="AE4852" s="369" t="s">
        <v>2761</v>
      </c>
    </row>
    <row r="4853" spans="1:31" ht="24" hidden="1">
      <c r="A4853" s="2714"/>
      <c r="B4853" s="371">
        <v>102</v>
      </c>
      <c r="C4853" s="371"/>
      <c r="D4853" s="2716">
        <f t="shared" si="527"/>
        <v>1</v>
      </c>
      <c r="E4853" s="2721">
        <v>0</v>
      </c>
      <c r="F4853" s="294"/>
      <c r="G4853" s="1474" t="s">
        <v>6099</v>
      </c>
      <c r="H4853" s="2275"/>
      <c r="I4853" s="2296"/>
      <c r="J4853" s="291"/>
      <c r="K4853" s="291"/>
      <c r="L4853" s="291"/>
      <c r="M4853" s="291"/>
      <c r="S4853" s="364"/>
      <c r="Z4853" s="609" t="s">
        <v>4308</v>
      </c>
      <c r="AA4853" s="609" t="s">
        <v>5713</v>
      </c>
      <c r="AE4853" s="369" t="s">
        <v>2761</v>
      </c>
    </row>
    <row r="4854" spans="1:31" ht="24" hidden="1">
      <c r="A4854" s="2714"/>
      <c r="B4854" s="371">
        <v>103</v>
      </c>
      <c r="C4854" s="371"/>
      <c r="D4854" s="2716">
        <f t="shared" si="527"/>
        <v>1</v>
      </c>
      <c r="E4854" s="2721">
        <v>1</v>
      </c>
      <c r="F4854" s="294"/>
      <c r="G4854" s="1474" t="s">
        <v>6100</v>
      </c>
      <c r="H4854" s="2275"/>
      <c r="I4854" s="2296"/>
      <c r="J4854" s="291"/>
      <c r="K4854" s="291"/>
      <c r="L4854" s="291"/>
      <c r="M4854" s="291"/>
      <c r="S4854" s="364"/>
      <c r="Z4854" s="609" t="s">
        <v>4308</v>
      </c>
      <c r="AA4854" s="609" t="s">
        <v>5713</v>
      </c>
      <c r="AE4854" s="369" t="s">
        <v>2761</v>
      </c>
    </row>
    <row r="4855" spans="1:31" ht="24" hidden="1">
      <c r="A4855" s="2714"/>
      <c r="B4855" s="371">
        <v>104</v>
      </c>
      <c r="C4855" s="371"/>
      <c r="D4855" s="2716">
        <f t="shared" si="527"/>
        <v>1</v>
      </c>
      <c r="E4855" s="2721">
        <v>1</v>
      </c>
      <c r="F4855" s="294"/>
      <c r="G4855" s="1474" t="s">
        <v>4313</v>
      </c>
      <c r="H4855" s="2275"/>
      <c r="I4855" s="2296"/>
      <c r="J4855" s="291"/>
      <c r="K4855" s="291"/>
      <c r="L4855" s="291"/>
      <c r="M4855" s="291"/>
      <c r="S4855" s="364"/>
      <c r="Z4855" s="609" t="s">
        <v>4308</v>
      </c>
      <c r="AA4855" s="609" t="s">
        <v>5713</v>
      </c>
      <c r="AE4855" s="369" t="s">
        <v>2761</v>
      </c>
    </row>
    <row r="4856" spans="1:31" ht="18" hidden="1">
      <c r="A4856" s="2714"/>
      <c r="B4856" s="371">
        <v>105</v>
      </c>
      <c r="C4856" s="371"/>
      <c r="D4856" s="2716">
        <f t="shared" si="527"/>
        <v>1</v>
      </c>
      <c r="E4856" s="2721">
        <v>1</v>
      </c>
      <c r="F4856" s="294"/>
      <c r="G4856" s="1474" t="s">
        <v>6097</v>
      </c>
      <c r="H4856" s="2275"/>
      <c r="I4856" s="2296"/>
      <c r="J4856" s="291"/>
      <c r="K4856" s="291"/>
      <c r="L4856" s="291"/>
      <c r="M4856" s="291"/>
      <c r="S4856" s="364"/>
      <c r="Z4856" s="609" t="s">
        <v>4308</v>
      </c>
      <c r="AA4856" s="609" t="s">
        <v>5713</v>
      </c>
      <c r="AE4856" s="369" t="s">
        <v>2761</v>
      </c>
    </row>
    <row r="4857" spans="1:31" ht="18" hidden="1">
      <c r="A4857" s="2714"/>
      <c r="B4857" s="371">
        <v>106</v>
      </c>
      <c r="C4857" s="371"/>
      <c r="D4857" s="2716">
        <f t="shared" si="527"/>
        <v>1</v>
      </c>
      <c r="E4857" s="2721">
        <v>1</v>
      </c>
      <c r="F4857" s="294"/>
      <c r="G4857" s="1474" t="s">
        <v>932</v>
      </c>
      <c r="H4857" s="2275"/>
      <c r="I4857" s="2296"/>
      <c r="J4857" s="291"/>
      <c r="K4857" s="291"/>
      <c r="L4857" s="291"/>
      <c r="M4857" s="291"/>
      <c r="S4857" s="364"/>
      <c r="Z4857" s="609" t="s">
        <v>4308</v>
      </c>
      <c r="AA4857" s="609" t="s">
        <v>5713</v>
      </c>
      <c r="AE4857" s="369" t="s">
        <v>2761</v>
      </c>
    </row>
    <row r="4858" spans="1:31" ht="18" hidden="1">
      <c r="A4858" s="2714"/>
      <c r="B4858" s="371">
        <v>107</v>
      </c>
      <c r="C4858" s="371" t="s">
        <v>2791</v>
      </c>
      <c r="D4858" s="2716">
        <f t="shared" si="527"/>
        <v>0</v>
      </c>
      <c r="E4858" s="2721">
        <v>1</v>
      </c>
      <c r="F4858" s="294"/>
      <c r="G4858" s="2467" t="s">
        <v>5146</v>
      </c>
      <c r="H4858" s="2275"/>
      <c r="I4858" s="2296"/>
      <c r="J4858" s="291"/>
      <c r="K4858" s="291"/>
      <c r="L4858" s="291"/>
      <c r="M4858" s="291"/>
      <c r="S4858" s="364"/>
      <c r="Z4858" s="609" t="s">
        <v>4308</v>
      </c>
      <c r="AA4858" s="609" t="s">
        <v>5713</v>
      </c>
      <c r="AE4858" s="369" t="s">
        <v>2761</v>
      </c>
    </row>
    <row r="4859" spans="1:31" ht="18" hidden="1">
      <c r="A4859" s="2714"/>
      <c r="B4859" s="371">
        <v>108</v>
      </c>
      <c r="C4859" s="371" t="s">
        <v>2791</v>
      </c>
      <c r="D4859" s="2716">
        <f t="shared" si="527"/>
        <v>0</v>
      </c>
      <c r="E4859" s="2721">
        <v>1</v>
      </c>
      <c r="F4859" s="294"/>
      <c r="G4859" s="2467" t="s">
        <v>2792</v>
      </c>
      <c r="H4859" s="2275"/>
      <c r="I4859" s="2296"/>
      <c r="J4859" s="291"/>
      <c r="K4859" s="291"/>
      <c r="L4859" s="291"/>
      <c r="M4859" s="291"/>
      <c r="S4859" s="364"/>
      <c r="Z4859" s="609" t="s">
        <v>4308</v>
      </c>
      <c r="AA4859" s="609" t="s">
        <v>5713</v>
      </c>
      <c r="AE4859" s="369" t="s">
        <v>2761</v>
      </c>
    </row>
    <row r="4860" spans="1:31" ht="18.75" hidden="1" thickBot="1">
      <c r="A4860" s="2714"/>
      <c r="B4860" s="371"/>
      <c r="C4860" s="371"/>
      <c r="D4860" s="2716">
        <f t="shared" si="527"/>
        <v>1</v>
      </c>
      <c r="E4860" s="2721" t="s">
        <v>2751</v>
      </c>
      <c r="F4860" s="294"/>
      <c r="G4860" s="310" t="s">
        <v>2752</v>
      </c>
      <c r="H4860" s="1481">
        <f>SUMPRODUCT($E4851:$E4859,H4851:H4859)</f>
        <v>0</v>
      </c>
      <c r="I4860" s="1482">
        <f>SUMPRODUCT($E4851:$E4859,I4851:I4859)</f>
        <v>0</v>
      </c>
      <c r="J4860" s="291"/>
      <c r="K4860" s="291"/>
      <c r="L4860" s="291"/>
      <c r="M4860" s="291"/>
      <c r="S4860" s="364"/>
      <c r="Z4860" s="609" t="s">
        <v>4308</v>
      </c>
      <c r="AA4860" s="609" t="s">
        <v>5713</v>
      </c>
      <c r="AE4860" s="369" t="s">
        <v>2761</v>
      </c>
    </row>
    <row r="4861" spans="1:31" ht="18" hidden="1">
      <c r="A4861" s="2714"/>
      <c r="B4861" s="371"/>
      <c r="C4861" s="371" t="s">
        <v>2755</v>
      </c>
      <c r="D4861" s="2716"/>
      <c r="F4861" s="293"/>
      <c r="G4861" s="376"/>
      <c r="H4861" s="315"/>
      <c r="I4861" s="396"/>
      <c r="J4861" s="425"/>
      <c r="K4861" s="426"/>
      <c r="L4861" s="427"/>
      <c r="M4861" s="425"/>
      <c r="N4861" s="426"/>
      <c r="O4861" s="427"/>
      <c r="P4861" s="425"/>
      <c r="Q4861" s="442"/>
      <c r="R4861" s="443"/>
      <c r="S4861" s="364"/>
      <c r="Z4861" s="609" t="s">
        <v>4308</v>
      </c>
      <c r="AA4861" s="609" t="s">
        <v>5713</v>
      </c>
      <c r="AE4861" s="369" t="s">
        <v>2761</v>
      </c>
    </row>
    <row r="4862" spans="1:31" ht="17.25">
      <c r="A4862" s="2715">
        <v>6672</v>
      </c>
      <c r="B4862" s="371">
        <v>71</v>
      </c>
      <c r="C4862" s="2716" t="str">
        <f>VLOOKUP($A4862,Sheet_Items,2,0)</f>
        <v>信用减值损失</v>
      </c>
      <c r="D4862" s="371"/>
      <c r="E4862" s="2716" t="s">
        <v>2739</v>
      </c>
      <c r="F4862" s="293"/>
      <c r="G4862" s="305" t="str">
        <f>B4862&amp;" "&amp;C4862</f>
        <v>71 信用减值损失</v>
      </c>
      <c r="H4862" s="306"/>
      <c r="I4862" s="306"/>
      <c r="J4862" s="306" t="s">
        <v>4206</v>
      </c>
      <c r="K4862" s="341">
        <f>VLOOKUP($A4862,Sheet_Trialbal,6,0)</f>
        <v>0</v>
      </c>
      <c r="L4862" s="342"/>
      <c r="M4862" s="306" t="s">
        <v>4207</v>
      </c>
      <c r="N4862" s="341">
        <f>VLOOKUP($A4862,Sheet_Trialbal,10,0)</f>
        <v>0</v>
      </c>
      <c r="O4862" s="342"/>
      <c r="P4862" s="301"/>
      <c r="S4862" s="364"/>
      <c r="Z4862" s="609" t="s">
        <v>4314</v>
      </c>
      <c r="AA4862" s="609" t="s">
        <v>4315</v>
      </c>
    </row>
    <row r="4863" spans="1:31" ht="18">
      <c r="A4863" s="2714" t="s">
        <v>1930</v>
      </c>
      <c r="B4863" s="371">
        <v>1</v>
      </c>
      <c r="C4863" s="371"/>
      <c r="D4863" s="2716" t="str">
        <f>VLOOKUP($A4863,Sheet_NoteList,2,0)</f>
        <v>信用减值损失明细项目</v>
      </c>
      <c r="E4863" s="2716" t="s">
        <v>2742</v>
      </c>
      <c r="F4863" s="293"/>
      <c r="G4863" s="372" t="str">
        <f>"("&amp;B4863&amp;")"&amp;D4863</f>
        <v>(1)信用减值损失明细项目</v>
      </c>
      <c r="H4863" s="1517" t="str">
        <f>$A4863</f>
        <v>6672a</v>
      </c>
      <c r="I4863" s="343" t="s">
        <v>2743</v>
      </c>
      <c r="J4863" s="301" t="s">
        <v>4210</v>
      </c>
      <c r="K4863" s="2210">
        <f>H4874</f>
        <v>0</v>
      </c>
      <c r="L4863" s="349" t="str">
        <f>IF($I4863="适用",IF(ROUND(K$4862-K4863,2)=0,"F/S",ROUND(K$4862-K4863,2)),"#N/A")</f>
        <v>F/S</v>
      </c>
      <c r="M4863" s="301" t="s">
        <v>4211</v>
      </c>
      <c r="N4863" s="2210">
        <f>I4874</f>
        <v>0</v>
      </c>
      <c r="O4863" s="349" t="str">
        <f>IF($I4863="适用",IF(ROUND(N$4862-N4863,2)=0,"F/S",ROUND(N$4862-N4863,2)),"#N/A")</f>
        <v>F/S</v>
      </c>
      <c r="P4863" s="301"/>
      <c r="S4863" s="364"/>
      <c r="Z4863" s="609" t="s">
        <v>4314</v>
      </c>
      <c r="AA4863" s="609" t="s">
        <v>4315</v>
      </c>
    </row>
    <row r="4864" spans="1:31" ht="0.75" customHeight="1" thickBot="1">
      <c r="A4864" s="2714"/>
      <c r="B4864" s="371"/>
      <c r="C4864" s="371"/>
      <c r="D4864" s="2716"/>
      <c r="F4864" s="371"/>
      <c r="G4864" s="405" t="s">
        <v>4316</v>
      </c>
      <c r="H4864" s="371" t="s">
        <v>2747</v>
      </c>
      <c r="I4864" s="371" t="s">
        <v>2748</v>
      </c>
      <c r="J4864" s="433"/>
      <c r="K4864" s="428"/>
      <c r="L4864" s="428"/>
      <c r="M4864" s="433"/>
      <c r="N4864" s="428"/>
      <c r="O4864" s="428"/>
      <c r="P4864" s="433"/>
      <c r="Q4864" s="442"/>
      <c r="R4864" s="443"/>
      <c r="S4864" s="364"/>
      <c r="Z4864" s="609" t="s">
        <v>4314</v>
      </c>
      <c r="AA4864" s="609" t="s">
        <v>4315</v>
      </c>
    </row>
    <row r="4865" spans="1:27" ht="18.75" thickTop="1">
      <c r="A4865" s="2714"/>
      <c r="B4865" s="371"/>
      <c r="C4865" s="371"/>
      <c r="D4865" s="2716"/>
      <c r="E4865" s="2716" t="s">
        <v>2749</v>
      </c>
      <c r="F4865" s="293"/>
      <c r="G4865" s="2305" t="s">
        <v>47</v>
      </c>
      <c r="H4865" s="2291" t="str">
        <f>$V$4</f>
        <v>2019年度</v>
      </c>
      <c r="I4865" s="2293" t="str">
        <f>$V$5</f>
        <v>2018年度</v>
      </c>
      <c r="J4865" s="355" t="s">
        <v>5336</v>
      </c>
      <c r="K4865" s="1584" t="s">
        <v>5496</v>
      </c>
      <c r="L4865" s="1584" t="s">
        <v>5497</v>
      </c>
      <c r="M4865" s="1584" t="s">
        <v>5498</v>
      </c>
      <c r="N4865" s="434"/>
      <c r="O4865" s="434"/>
      <c r="P4865" s="435"/>
      <c r="Q4865" s="442"/>
      <c r="R4865" s="443"/>
      <c r="S4865" s="364"/>
      <c r="Z4865" s="609" t="s">
        <v>4314</v>
      </c>
      <c r="AA4865" s="609" t="s">
        <v>4315</v>
      </c>
    </row>
    <row r="4866" spans="1:27" ht="18">
      <c r="A4866" s="2714"/>
      <c r="B4866" s="371">
        <v>101</v>
      </c>
      <c r="C4866" s="371"/>
      <c r="D4866" s="2716">
        <f t="shared" ref="D4866:D4874" si="528">IF(OR(G4866="*",G4866="",G4866=0),0,COUNTIF($G$4866:$G$4874,G4866))</f>
        <v>1</v>
      </c>
      <c r="E4866" s="2721">
        <v>1</v>
      </c>
      <c r="F4866" s="293"/>
      <c r="G4866" s="308" t="s">
        <v>4317</v>
      </c>
      <c r="H4866" s="309"/>
      <c r="I4866" s="1475">
        <v>0</v>
      </c>
      <c r="J4866" s="438"/>
      <c r="K4866" s="1587" t="s">
        <v>5499</v>
      </c>
      <c r="L4866" s="1588">
        <f ca="1">HYPERLINK("#'"&amp;$G$1&amp;"'!"&amp;ADDRESS(ROW(Notes!K264),COLUMN(Notes!K264),4),K264)</f>
        <v>0</v>
      </c>
      <c r="M4866" s="1544">
        <f ca="1">L4866-H4866</f>
        <v>0</v>
      </c>
      <c r="N4866" s="437"/>
      <c r="O4866" s="437"/>
      <c r="P4866" s="438"/>
      <c r="Q4866" s="442"/>
      <c r="R4866" s="443"/>
      <c r="S4866" s="364"/>
      <c r="Z4866" s="609" t="s">
        <v>4314</v>
      </c>
      <c r="AA4866" s="609" t="s">
        <v>4315</v>
      </c>
    </row>
    <row r="4867" spans="1:27" ht="18">
      <c r="A4867" s="2714"/>
      <c r="B4867" s="371">
        <v>102</v>
      </c>
      <c r="C4867" s="371"/>
      <c r="D4867" s="2716">
        <f t="shared" si="528"/>
        <v>1</v>
      </c>
      <c r="E4867" s="2721">
        <v>1</v>
      </c>
      <c r="F4867" s="293"/>
      <c r="G4867" s="308" t="s">
        <v>4318</v>
      </c>
      <c r="H4867" s="309"/>
      <c r="I4867" s="1475">
        <v>0</v>
      </c>
      <c r="J4867" s="438"/>
      <c r="K4867" s="1587" t="s">
        <v>5500</v>
      </c>
      <c r="L4867" s="1588">
        <f ca="1">HYPERLINK("#'"&amp;$G$1&amp;"'!"&amp;ADDRESS(ROW(Notes!K592),COLUMN(Notes!K592),4),K592)</f>
        <v>0</v>
      </c>
      <c r="M4867" s="1544">
        <f t="shared" ref="M4867:M4872" ca="1" si="529">L4867-H4867</f>
        <v>0</v>
      </c>
      <c r="N4867" s="437"/>
      <c r="O4867" s="437"/>
      <c r="P4867" s="438"/>
      <c r="Q4867" s="442"/>
      <c r="R4867" s="443"/>
      <c r="S4867" s="364"/>
      <c r="Z4867" s="609" t="s">
        <v>4314</v>
      </c>
      <c r="AA4867" s="609" t="s">
        <v>4315</v>
      </c>
    </row>
    <row r="4868" spans="1:27" ht="18">
      <c r="A4868" s="2714"/>
      <c r="B4868" s="371">
        <v>103</v>
      </c>
      <c r="C4868" s="371"/>
      <c r="D4868" s="2716">
        <f t="shared" si="528"/>
        <v>1</v>
      </c>
      <c r="E4868" s="2721">
        <v>1</v>
      </c>
      <c r="F4868" s="293"/>
      <c r="G4868" s="1474" t="s">
        <v>4319</v>
      </c>
      <c r="H4868" s="309"/>
      <c r="I4868" s="1475">
        <v>0</v>
      </c>
      <c r="J4868" s="438"/>
      <c r="K4868" s="1587" t="s">
        <v>5501</v>
      </c>
      <c r="L4868" s="1588">
        <f ca="1">HYPERLINK("#'"&amp;$G$1&amp;"'!"&amp;ADDRESS(ROW(Notes!K1482),COLUMN(Notes!K1482),4),K1482)</f>
        <v>0</v>
      </c>
      <c r="M4868" s="1544">
        <f t="shared" ca="1" si="529"/>
        <v>0</v>
      </c>
      <c r="N4868" s="437"/>
      <c r="O4868" s="437"/>
      <c r="P4868" s="438"/>
      <c r="Q4868" s="442"/>
      <c r="R4868" s="443"/>
      <c r="S4868" s="364"/>
      <c r="Z4868" s="609" t="s">
        <v>4314</v>
      </c>
      <c r="AA4868" s="609" t="s">
        <v>4315</v>
      </c>
    </row>
    <row r="4869" spans="1:27" ht="18">
      <c r="A4869" s="2714"/>
      <c r="B4869" s="371">
        <v>104</v>
      </c>
      <c r="C4869" s="371"/>
      <c r="D4869" s="2716">
        <f t="shared" si="528"/>
        <v>1</v>
      </c>
      <c r="E4869" s="2721">
        <v>1</v>
      </c>
      <c r="F4869" s="293"/>
      <c r="G4869" s="308" t="s">
        <v>4320</v>
      </c>
      <c r="H4869" s="309"/>
      <c r="I4869" s="1475">
        <v>0</v>
      </c>
      <c r="J4869" s="438"/>
      <c r="K4869" s="1587" t="s">
        <v>5502</v>
      </c>
      <c r="L4869" s="1588">
        <f ca="1">HYPERLINK("#'"&amp;$G$1&amp;"'!"&amp;ADDRESS(ROW(Notes!K856),COLUMN(Notes!K856),4),HYPERLINK("#'"&amp;$G$1&amp;"'!"&amp;ADDRESS(ROW(Notes!K856),COLUMN(Notes!K856),4),K856))</f>
        <v>0</v>
      </c>
      <c r="M4869" s="1544">
        <f t="shared" ca="1" si="529"/>
        <v>0</v>
      </c>
      <c r="N4869" s="437"/>
      <c r="O4869" s="437"/>
      <c r="P4869" s="438"/>
      <c r="Q4869" s="442"/>
      <c r="R4869" s="443"/>
      <c r="S4869" s="364"/>
      <c r="Z4869" s="609" t="s">
        <v>4314</v>
      </c>
      <c r="AA4869" s="609" t="s">
        <v>4315</v>
      </c>
    </row>
    <row r="4870" spans="1:27" ht="18">
      <c r="A4870" s="2714"/>
      <c r="B4870" s="371">
        <v>105</v>
      </c>
      <c r="C4870" s="371"/>
      <c r="D4870" s="2716">
        <f t="shared" si="528"/>
        <v>1</v>
      </c>
      <c r="E4870" s="2721">
        <v>1</v>
      </c>
      <c r="F4870" s="293"/>
      <c r="G4870" s="1474" t="s">
        <v>4321</v>
      </c>
      <c r="H4870" s="309"/>
      <c r="I4870" s="1475">
        <v>0</v>
      </c>
      <c r="J4870" s="438"/>
      <c r="K4870" s="2671" t="s">
        <v>6368</v>
      </c>
      <c r="L4870" s="1588">
        <f ca="1">HYPERLINK("#'"&amp;$G$1&amp;"'!"&amp;ADDRESS(ROW(Notes!K1918),COLUMN(Notes!K1918),4),K1918)</f>
        <v>0</v>
      </c>
      <c r="M4870" s="1544">
        <f t="shared" ca="1" si="529"/>
        <v>0</v>
      </c>
      <c r="N4870" s="437"/>
      <c r="O4870" s="437"/>
      <c r="P4870" s="438"/>
      <c r="Q4870" s="442"/>
      <c r="R4870" s="443"/>
      <c r="S4870" s="364"/>
      <c r="Z4870" s="609" t="s">
        <v>4314</v>
      </c>
      <c r="AA4870" s="609" t="s">
        <v>4315</v>
      </c>
    </row>
    <row r="4871" spans="1:27" ht="18">
      <c r="A4871" s="2714"/>
      <c r="B4871" s="371">
        <v>106</v>
      </c>
      <c r="C4871" s="371"/>
      <c r="D4871" s="2716">
        <f t="shared" si="528"/>
        <v>1</v>
      </c>
      <c r="E4871" s="2721">
        <v>1</v>
      </c>
      <c r="F4871" s="293"/>
      <c r="G4871" s="1474" t="s">
        <v>4322</v>
      </c>
      <c r="H4871" s="309"/>
      <c r="I4871" s="1475">
        <v>0</v>
      </c>
      <c r="J4871" s="438"/>
      <c r="K4871" s="1587" t="s">
        <v>5503</v>
      </c>
      <c r="L4871" s="1588">
        <f ca="1">HYPERLINK("#'"&amp;$G$1&amp;"'!"&amp;ADDRESS(ROW(Notes!K2128),COLUMN(Notes!K2128),4),K2128)</f>
        <v>0</v>
      </c>
      <c r="M4871" s="1544">
        <f t="shared" ca="1" si="529"/>
        <v>0</v>
      </c>
      <c r="N4871" s="437"/>
      <c r="O4871" s="437"/>
      <c r="P4871" s="438"/>
      <c r="Q4871" s="442"/>
      <c r="R4871" s="443"/>
      <c r="S4871" s="364"/>
      <c r="Z4871" s="609" t="s">
        <v>4314</v>
      </c>
      <c r="AA4871" s="609" t="s">
        <v>4315</v>
      </c>
    </row>
    <row r="4872" spans="1:27" ht="18">
      <c r="A4872" s="2714"/>
      <c r="B4872" s="371">
        <v>107</v>
      </c>
      <c r="C4872" s="371"/>
      <c r="D4872" s="2716">
        <f t="shared" si="528"/>
        <v>1</v>
      </c>
      <c r="E4872" s="2721">
        <v>1</v>
      </c>
      <c r="F4872" s="293"/>
      <c r="G4872" s="1474" t="s">
        <v>4323</v>
      </c>
      <c r="H4872" s="309"/>
      <c r="I4872" s="1475">
        <v>0</v>
      </c>
      <c r="J4872" s="438"/>
      <c r="K4872" s="1587" t="s">
        <v>5504</v>
      </c>
      <c r="L4872" s="1588">
        <f ca="1">HYPERLINK("#'"&amp;$G$1&amp;"'!"&amp;ADDRESS(ROW(Notes!K2340),COLUMN(Notes!K2340),4),K2340)</f>
        <v>0</v>
      </c>
      <c r="M4872" s="1544">
        <f t="shared" ca="1" si="529"/>
        <v>0</v>
      </c>
      <c r="N4872" s="437"/>
      <c r="O4872" s="437"/>
      <c r="P4872" s="438"/>
      <c r="Q4872" s="442"/>
      <c r="R4872" s="443"/>
      <c r="S4872" s="364"/>
      <c r="Z4872" s="609" t="s">
        <v>4314</v>
      </c>
      <c r="AA4872" s="609" t="s">
        <v>4315</v>
      </c>
    </row>
    <row r="4873" spans="1:27" ht="18">
      <c r="A4873" s="2714"/>
      <c r="B4873" s="371">
        <v>108</v>
      </c>
      <c r="C4873" s="371" t="s">
        <v>2791</v>
      </c>
      <c r="D4873" s="2716">
        <f t="shared" si="528"/>
        <v>0</v>
      </c>
      <c r="E4873" s="2721">
        <v>1</v>
      </c>
      <c r="F4873" s="293"/>
      <c r="G4873" s="319" t="s">
        <v>2792</v>
      </c>
      <c r="H4873" s="309"/>
      <c r="I4873" s="1475">
        <v>0</v>
      </c>
      <c r="J4873" s="438"/>
      <c r="M4873" s="1544"/>
      <c r="N4873" s="437"/>
      <c r="O4873" s="437"/>
      <c r="P4873" s="438"/>
      <c r="Q4873" s="442"/>
      <c r="R4873" s="443"/>
      <c r="S4873" s="364"/>
      <c r="Z4873" s="609" t="s">
        <v>4314</v>
      </c>
      <c r="AA4873" s="609" t="s">
        <v>4315</v>
      </c>
    </row>
    <row r="4874" spans="1:27" ht="18.75" thickBot="1">
      <c r="A4874" s="2714"/>
      <c r="B4874" s="371"/>
      <c r="C4874" s="371"/>
      <c r="D4874" s="2716">
        <f t="shared" si="528"/>
        <v>1</v>
      </c>
      <c r="E4874" s="2721" t="s">
        <v>2751</v>
      </c>
      <c r="F4874" s="293"/>
      <c r="G4874" s="2234" t="s">
        <v>2752</v>
      </c>
      <c r="H4874" s="2325">
        <f>SUMPRODUCT($E4865:$E4873,H4865:H4873)</f>
        <v>0</v>
      </c>
      <c r="I4874" s="2342">
        <f>SUMPRODUCT($E4865:$E4873,I4865:I4873)</f>
        <v>0</v>
      </c>
      <c r="J4874" s="440"/>
      <c r="M4874" s="1557">
        <f t="shared" ref="M4874" ca="1" si="530">SUM(M4866:M4873)</f>
        <v>0</v>
      </c>
      <c r="N4874" s="437"/>
      <c r="O4874" s="437"/>
      <c r="P4874" s="440"/>
      <c r="Q4874" s="442"/>
      <c r="R4874" s="443"/>
      <c r="S4874" s="364"/>
      <c r="Z4874" s="609" t="s">
        <v>4314</v>
      </c>
      <c r="AA4874" s="609" t="s">
        <v>4315</v>
      </c>
    </row>
    <row r="4875" spans="1:27" ht="18">
      <c r="A4875" s="2714"/>
      <c r="B4875" s="371"/>
      <c r="C4875" s="371" t="s">
        <v>2755</v>
      </c>
      <c r="D4875" s="2716"/>
      <c r="F4875" s="293"/>
      <c r="G4875" s="376"/>
      <c r="H4875" s="315"/>
      <c r="I4875" s="396"/>
      <c r="J4875" s="425"/>
      <c r="K4875" s="1585" t="s">
        <v>5495</v>
      </c>
      <c r="L4875" s="427"/>
      <c r="O4875" s="427"/>
      <c r="P4875" s="425"/>
      <c r="Q4875" s="442"/>
      <c r="R4875" s="443"/>
      <c r="S4875" s="364"/>
      <c r="Z4875" s="609" t="s">
        <v>4314</v>
      </c>
      <c r="AA4875" s="609" t="s">
        <v>4315</v>
      </c>
    </row>
    <row r="4876" spans="1:27" ht="18">
      <c r="A4876" s="2714">
        <v>6671</v>
      </c>
      <c r="B4876" s="371">
        <v>72</v>
      </c>
      <c r="C4876" s="2716" t="str">
        <f>VLOOKUP($A4876,Sheet_Items,2,0)</f>
        <v>资产减值损失</v>
      </c>
      <c r="D4876" s="371"/>
      <c r="E4876" s="2716" t="s">
        <v>2739</v>
      </c>
      <c r="F4876" s="294"/>
      <c r="G4876" s="305" t="str">
        <f>B4876&amp;" "&amp;C4876</f>
        <v>72 资产减值损失</v>
      </c>
      <c r="H4876" s="306"/>
      <c r="I4876" s="306"/>
      <c r="J4876" s="306" t="s">
        <v>4206</v>
      </c>
      <c r="K4876" s="341">
        <f>VLOOKUP($A4876,Sheet_Trialbal,6,0)</f>
        <v>0</v>
      </c>
      <c r="L4876" s="342"/>
      <c r="M4876" s="306" t="s">
        <v>4207</v>
      </c>
      <c r="N4876" s="341">
        <f>VLOOKUP($A4876,Sheet_Trialbal,10,0)</f>
        <v>0</v>
      </c>
      <c r="O4876" s="306"/>
      <c r="P4876" s="301"/>
      <c r="S4876" s="364"/>
      <c r="Z4876" s="609" t="s">
        <v>4324</v>
      </c>
      <c r="AA4876" s="609" t="s">
        <v>5714</v>
      </c>
    </row>
    <row r="4877" spans="1:27" ht="18">
      <c r="A4877" s="2714" t="s">
        <v>1927</v>
      </c>
      <c r="B4877" s="371">
        <v>1</v>
      </c>
      <c r="C4877" s="371"/>
      <c r="D4877" s="2716" t="str">
        <f>VLOOKUP($A4877,Sheet_NoteList,2,0)</f>
        <v>资产减值损失明细项目</v>
      </c>
      <c r="E4877" s="2716" t="s">
        <v>2742</v>
      </c>
      <c r="F4877" s="294"/>
      <c r="G4877" s="372" t="str">
        <f>"("&amp;B4877&amp;")"&amp;D4877</f>
        <v>(1)资产减值损失明细项目</v>
      </c>
      <c r="H4877" s="1517" t="str">
        <f>$A4877</f>
        <v>6671a</v>
      </c>
      <c r="I4877" s="343" t="s">
        <v>2743</v>
      </c>
      <c r="J4877" s="301" t="s">
        <v>4210</v>
      </c>
      <c r="K4877" s="2210">
        <f>H4896</f>
        <v>0</v>
      </c>
      <c r="L4877" s="345" t="str">
        <f>IF($I4877="适用",IF(ROUND(K4876-K4877,2)=0,"F/S",ROUND(K4876-K4877,2)),"#N/A")</f>
        <v>F/S</v>
      </c>
      <c r="M4877" s="301" t="s">
        <v>4211</v>
      </c>
      <c r="N4877" s="2210">
        <f>I4896</f>
        <v>0</v>
      </c>
      <c r="O4877" s="345" t="str">
        <f>IF($I4877="适用",IF(ROUND(N4876-N4877,2)=0,"F/S",ROUND(N4876-N4877,2)),"#N/A")</f>
        <v>F/S</v>
      </c>
      <c r="P4877" s="301"/>
      <c r="Q4877" s="290" t="str">
        <f>IF($I4877="不适用","",IF(ROUND(SUM($H$4880:$I$4896),2)=0,"请输入",""))</f>
        <v>请输入</v>
      </c>
      <c r="S4877" s="364"/>
      <c r="Z4877" s="609" t="s">
        <v>4324</v>
      </c>
      <c r="AA4877" s="609" t="s">
        <v>5714</v>
      </c>
    </row>
    <row r="4878" spans="1:27" ht="0.75" customHeight="1" thickBot="1">
      <c r="A4878" s="2714"/>
      <c r="B4878" s="371"/>
      <c r="C4878" s="371"/>
      <c r="D4878" s="371"/>
      <c r="F4878" s="294"/>
      <c r="G4878" s="294" t="s">
        <v>4325</v>
      </c>
      <c r="H4878" s="294" t="s">
        <v>4223</v>
      </c>
      <c r="I4878" s="294" t="s">
        <v>4224</v>
      </c>
      <c r="J4878" s="291"/>
      <c r="K4878" s="291"/>
      <c r="L4878" s="291"/>
      <c r="M4878" s="291"/>
      <c r="S4878" s="364"/>
      <c r="Z4878" s="609" t="s">
        <v>4324</v>
      </c>
      <c r="AA4878" s="609" t="s">
        <v>5714</v>
      </c>
    </row>
    <row r="4879" spans="1:27" ht="18.75" thickTop="1">
      <c r="A4879" s="2714"/>
      <c r="B4879" s="371"/>
      <c r="C4879" s="371"/>
      <c r="D4879" s="371"/>
      <c r="E4879" s="2716" t="s">
        <v>2749</v>
      </c>
      <c r="F4879" s="294"/>
      <c r="G4879" s="2608" t="s">
        <v>47</v>
      </c>
      <c r="H4879" s="2609" t="str">
        <f>$V$4</f>
        <v>2019年度</v>
      </c>
      <c r="I4879" s="2610" t="str">
        <f>$V$5</f>
        <v>2018年度</v>
      </c>
      <c r="J4879" s="355" t="s">
        <v>5337</v>
      </c>
      <c r="K4879" s="1584" t="s">
        <v>5496</v>
      </c>
      <c r="L4879" s="1584" t="s">
        <v>5497</v>
      </c>
      <c r="M4879" s="1530" t="s">
        <v>5506</v>
      </c>
      <c r="S4879" s="364"/>
      <c r="Z4879" s="609" t="s">
        <v>4324</v>
      </c>
      <c r="AA4879" s="609" t="s">
        <v>5714</v>
      </c>
    </row>
    <row r="4880" spans="1:27" ht="18">
      <c r="A4880" s="2714"/>
      <c r="B4880" s="371">
        <v>101</v>
      </c>
      <c r="C4880" s="371"/>
      <c r="D4880" s="2716">
        <f t="shared" ref="D4880:D4896" si="531">IF(OR(G4880="*",G4880="",G4880=0),0,COUNTIF($G$4880:$G$4896,G4880))</f>
        <v>1</v>
      </c>
      <c r="E4880" s="2721">
        <v>1</v>
      </c>
      <c r="F4880" s="294"/>
      <c r="G4880" s="380" t="s">
        <v>4326</v>
      </c>
      <c r="H4880" s="2329">
        <v>0</v>
      </c>
      <c r="I4880" s="401"/>
      <c r="J4880" s="291"/>
      <c r="K4880" s="1586"/>
      <c r="L4880" s="1590"/>
      <c r="M4880" s="456"/>
      <c r="S4880" s="364"/>
      <c r="Z4880" s="609" t="s">
        <v>4324</v>
      </c>
      <c r="AA4880" s="609" t="s">
        <v>5714</v>
      </c>
    </row>
    <row r="4881" spans="1:27" ht="18">
      <c r="A4881" s="2714"/>
      <c r="B4881" s="371">
        <v>102</v>
      </c>
      <c r="C4881" s="371"/>
      <c r="D4881" s="2716">
        <f t="shared" si="531"/>
        <v>1</v>
      </c>
      <c r="E4881" s="2721">
        <v>1</v>
      </c>
      <c r="F4881" s="294"/>
      <c r="G4881" s="380" t="s">
        <v>4327</v>
      </c>
      <c r="H4881" s="383"/>
      <c r="I4881" s="401"/>
      <c r="J4881" s="291"/>
      <c r="K4881" s="1587" t="s">
        <v>5507</v>
      </c>
      <c r="L4881" s="1588">
        <f ca="1">HYPERLINK("#'"&amp;$G$1&amp;"'!"&amp;ADDRESS(ROW(Notes!I1653),COLUMN(Notes!I1653),4),I1653)</f>
        <v>0</v>
      </c>
      <c r="M4881" s="456">
        <f ca="1">L4881-H4881</f>
        <v>0</v>
      </c>
      <c r="S4881" s="364"/>
      <c r="Z4881" s="609" t="s">
        <v>4324</v>
      </c>
      <c r="AA4881" s="609" t="s">
        <v>5714</v>
      </c>
    </row>
    <row r="4882" spans="1:27" ht="24">
      <c r="A4882" s="2714"/>
      <c r="B4882" s="371">
        <v>103</v>
      </c>
      <c r="C4882" s="371"/>
      <c r="D4882" s="2716">
        <f t="shared" si="531"/>
        <v>1</v>
      </c>
      <c r="E4882" s="2721">
        <v>1</v>
      </c>
      <c r="F4882" s="294"/>
      <c r="G4882" s="380" t="s">
        <v>4328</v>
      </c>
      <c r="H4882" s="2329">
        <v>0</v>
      </c>
      <c r="I4882" s="401"/>
      <c r="J4882" s="291"/>
      <c r="K4882" s="1586"/>
      <c r="L4882" s="1590"/>
      <c r="M4882" s="456"/>
      <c r="S4882" s="364"/>
      <c r="Z4882" s="609" t="s">
        <v>4324</v>
      </c>
      <c r="AA4882" s="609" t="s">
        <v>5714</v>
      </c>
    </row>
    <row r="4883" spans="1:27" ht="18">
      <c r="A4883" s="2714"/>
      <c r="B4883" s="371">
        <v>104</v>
      </c>
      <c r="C4883" s="371"/>
      <c r="D4883" s="2716">
        <f t="shared" si="531"/>
        <v>1</v>
      </c>
      <c r="E4883" s="2721">
        <v>1</v>
      </c>
      <c r="F4883" s="294"/>
      <c r="G4883" s="380" t="s">
        <v>4329</v>
      </c>
      <c r="H4883" s="2329">
        <v>0</v>
      </c>
      <c r="I4883" s="401"/>
      <c r="J4883" s="291"/>
      <c r="K4883" s="1586"/>
      <c r="L4883" s="1590"/>
      <c r="M4883" s="456"/>
      <c r="S4883" s="364"/>
      <c r="Z4883" s="609" t="s">
        <v>4324</v>
      </c>
      <c r="AA4883" s="609" t="s">
        <v>5714</v>
      </c>
    </row>
    <row r="4884" spans="1:27" ht="18">
      <c r="A4884" s="2714"/>
      <c r="B4884" s="371">
        <v>105</v>
      </c>
      <c r="C4884" s="371"/>
      <c r="D4884" s="2716">
        <f t="shared" si="531"/>
        <v>1</v>
      </c>
      <c r="E4884" s="2721">
        <v>1</v>
      </c>
      <c r="F4884" s="294"/>
      <c r="G4884" s="380" t="s">
        <v>4330</v>
      </c>
      <c r="H4884" s="383"/>
      <c r="I4884" s="401"/>
      <c r="J4884" s="291"/>
      <c r="K4884" s="1587" t="s">
        <v>5508</v>
      </c>
      <c r="L4884" s="1588">
        <f ca="1">HYPERLINK("#'"&amp;$G$1&amp;"'!"&amp;ADDRESS(ROW(Notes!O2494),COLUMN(Notes!O2494),4),O2494)</f>
        <v>0</v>
      </c>
      <c r="M4884" s="456">
        <f t="shared" ref="M4884:M4893" ca="1" si="532">L4884-H4884</f>
        <v>0</v>
      </c>
      <c r="S4884" s="364"/>
      <c r="Z4884" s="609" t="s">
        <v>4324</v>
      </c>
      <c r="AA4884" s="609" t="s">
        <v>5714</v>
      </c>
    </row>
    <row r="4885" spans="1:27" ht="18">
      <c r="A4885" s="2714"/>
      <c r="B4885" s="371">
        <v>106</v>
      </c>
      <c r="C4885" s="371"/>
      <c r="D4885" s="2716">
        <f t="shared" si="531"/>
        <v>1</v>
      </c>
      <c r="E4885" s="2721">
        <v>1</v>
      </c>
      <c r="F4885" s="294"/>
      <c r="G4885" s="380" t="s">
        <v>4331</v>
      </c>
      <c r="H4885" s="383"/>
      <c r="I4885" s="401"/>
      <c r="J4885" s="291"/>
      <c r="K4885" s="1587" t="s">
        <v>5509</v>
      </c>
      <c r="L4885" s="1588">
        <f ca="1">HYPERLINK("#'"&amp;$G$1&amp;"'!"&amp;ADDRESS(ROW(Notes!K2587),COLUMN(Notes!K2587),4),K2587)</f>
        <v>0</v>
      </c>
      <c r="M4885" s="456">
        <f t="shared" ca="1" si="532"/>
        <v>0</v>
      </c>
      <c r="S4885" s="364"/>
      <c r="Z4885" s="609" t="s">
        <v>4324</v>
      </c>
      <c r="AA4885" s="609" t="s">
        <v>5714</v>
      </c>
    </row>
    <row r="4886" spans="1:27" ht="18">
      <c r="A4886" s="2714"/>
      <c r="B4886" s="371">
        <v>107</v>
      </c>
      <c r="C4886" s="371"/>
      <c r="D4886" s="2716">
        <f t="shared" si="531"/>
        <v>1</v>
      </c>
      <c r="E4886" s="2721">
        <v>1</v>
      </c>
      <c r="F4886" s="294"/>
      <c r="G4886" s="380" t="s">
        <v>4332</v>
      </c>
      <c r="H4886" s="383"/>
      <c r="I4886" s="401"/>
      <c r="J4886" s="291"/>
      <c r="K4886" s="1587" t="s">
        <v>5510</v>
      </c>
      <c r="L4886" s="1588">
        <f ca="1">HYPERLINK("#'"&amp;$G$1&amp;"'!"&amp;ADDRESS(ROW(Notes!L2685),COLUMN(Notes!L2685),4),L2685)</f>
        <v>0</v>
      </c>
      <c r="M4886" s="456">
        <f t="shared" ca="1" si="532"/>
        <v>0</v>
      </c>
      <c r="S4886" s="364"/>
      <c r="Z4886" s="609" t="s">
        <v>4324</v>
      </c>
      <c r="AA4886" s="609" t="s">
        <v>5714</v>
      </c>
    </row>
    <row r="4887" spans="1:27" ht="18">
      <c r="A4887" s="2714"/>
      <c r="B4887" s="371">
        <v>108</v>
      </c>
      <c r="C4887" s="371"/>
      <c r="D4887" s="2716">
        <f t="shared" si="531"/>
        <v>1</v>
      </c>
      <c r="E4887" s="2721">
        <v>1</v>
      </c>
      <c r="F4887" s="294"/>
      <c r="G4887" s="380" t="s">
        <v>4333</v>
      </c>
      <c r="H4887" s="383"/>
      <c r="I4887" s="401"/>
      <c r="J4887" s="291"/>
      <c r="K4887" s="2671" t="s">
        <v>6637</v>
      </c>
      <c r="L4887" s="1588">
        <f ca="1">HYPERLINK("#'"&amp;$G$1&amp;"'!"&amp;ADDRESS(ROW(Notes!I2917),COLUMN(Notes!I2917),4),I2917-L2917)</f>
        <v>0</v>
      </c>
      <c r="M4887" s="456">
        <f t="shared" ca="1" si="532"/>
        <v>0</v>
      </c>
      <c r="N4887" s="2264" t="s">
        <v>6369</v>
      </c>
      <c r="S4887" s="364"/>
      <c r="Z4887" s="609" t="s">
        <v>4324</v>
      </c>
      <c r="AA4887" s="609" t="s">
        <v>5714</v>
      </c>
    </row>
    <row r="4888" spans="1:27" ht="18">
      <c r="A4888" s="2714"/>
      <c r="B4888" s="371">
        <v>109</v>
      </c>
      <c r="C4888" s="371"/>
      <c r="D4888" s="2716">
        <f t="shared" si="531"/>
        <v>1</v>
      </c>
      <c r="E4888" s="2721">
        <v>1</v>
      </c>
      <c r="F4888" s="294"/>
      <c r="G4888" s="380" t="s">
        <v>4334</v>
      </c>
      <c r="H4888" s="383"/>
      <c r="I4888" s="401"/>
      <c r="J4888" s="291"/>
      <c r="K4888" s="1587" t="s">
        <v>5511</v>
      </c>
      <c r="L4888" s="1588">
        <f ca="1">HYPERLINK("#'"&amp;$G$1&amp;"'!"&amp;ADDRESS(ROW(Notes!H2888),COLUMN(Notes!H2888),4),H2888-I2888)</f>
        <v>0</v>
      </c>
      <c r="M4888" s="456">
        <f t="shared" ca="1" si="532"/>
        <v>0</v>
      </c>
      <c r="N4888" s="2264" t="s">
        <v>6369</v>
      </c>
      <c r="S4888" s="364"/>
      <c r="Z4888" s="609" t="s">
        <v>4324</v>
      </c>
      <c r="AA4888" s="609" t="s">
        <v>5714</v>
      </c>
    </row>
    <row r="4889" spans="1:27" ht="18">
      <c r="A4889" s="2714"/>
      <c r="B4889" s="371">
        <v>110</v>
      </c>
      <c r="C4889" s="371"/>
      <c r="D4889" s="2716">
        <f t="shared" si="531"/>
        <v>1</v>
      </c>
      <c r="E4889" s="2721">
        <v>1</v>
      </c>
      <c r="F4889" s="294"/>
      <c r="G4889" s="380" t="s">
        <v>4335</v>
      </c>
      <c r="H4889" s="383"/>
      <c r="I4889" s="401"/>
      <c r="J4889" s="291"/>
      <c r="K4889" s="1587" t="s">
        <v>5512</v>
      </c>
      <c r="L4889" s="1588">
        <f ca="1">HYPERLINK("#'"&amp;$G$1&amp;"'!"&amp;ADDRESS(ROW(Notes!K2966),COLUMN(Notes!K2966),4),K2966)</f>
        <v>0</v>
      </c>
      <c r="M4889" s="456">
        <f t="shared" ca="1" si="532"/>
        <v>0</v>
      </c>
      <c r="S4889" s="364"/>
      <c r="Z4889" s="609" t="s">
        <v>4324</v>
      </c>
      <c r="AA4889" s="609" t="s">
        <v>5714</v>
      </c>
    </row>
    <row r="4890" spans="1:27" ht="18">
      <c r="A4890" s="2714"/>
      <c r="B4890" s="371">
        <v>111</v>
      </c>
      <c r="C4890" s="371"/>
      <c r="D4890" s="2716">
        <f t="shared" si="531"/>
        <v>1</v>
      </c>
      <c r="E4890" s="2721">
        <v>1</v>
      </c>
      <c r="F4890" s="294"/>
      <c r="G4890" s="380" t="s">
        <v>4336</v>
      </c>
      <c r="H4890" s="383"/>
      <c r="I4890" s="401"/>
      <c r="J4890" s="291"/>
      <c r="K4890" s="1587" t="s">
        <v>5513</v>
      </c>
      <c r="L4890" s="1588">
        <f ca="1">HYPERLINK("#'"&amp;$G$1&amp;"'!"&amp;ADDRESS(ROW(Notes!L3031),COLUMN(Notes!L3031),4),L3031)</f>
        <v>0</v>
      </c>
      <c r="M4890" s="456">
        <f t="shared" ca="1" si="532"/>
        <v>0</v>
      </c>
      <c r="S4890" s="364"/>
      <c r="Z4890" s="609" t="s">
        <v>4324</v>
      </c>
      <c r="AA4890" s="609" t="s">
        <v>5714</v>
      </c>
    </row>
    <row r="4891" spans="1:27" ht="18">
      <c r="A4891" s="2714"/>
      <c r="B4891" s="371">
        <v>112</v>
      </c>
      <c r="C4891" s="371"/>
      <c r="D4891" s="2716">
        <f t="shared" si="531"/>
        <v>1</v>
      </c>
      <c r="E4891" s="2721">
        <v>1</v>
      </c>
      <c r="F4891" s="294"/>
      <c r="G4891" s="380" t="s">
        <v>4337</v>
      </c>
      <c r="H4891" s="383"/>
      <c r="I4891" s="401"/>
      <c r="J4891" s="291"/>
      <c r="K4891" s="1587" t="s">
        <v>5514</v>
      </c>
      <c r="L4891" s="1588">
        <f ca="1">HYPERLINK("#'"&amp;$G$1&amp;"'!"&amp;ADDRESS(ROW(Notes!L3089),COLUMN(Notes!L3089),4),L3089)</f>
        <v>0</v>
      </c>
      <c r="M4891" s="456">
        <f t="shared" ca="1" si="532"/>
        <v>0</v>
      </c>
      <c r="S4891" s="364"/>
      <c r="Z4891" s="609" t="s">
        <v>4324</v>
      </c>
      <c r="AA4891" s="609" t="s">
        <v>5714</v>
      </c>
    </row>
    <row r="4892" spans="1:27" ht="18">
      <c r="A4892" s="2714"/>
      <c r="B4892" s="371">
        <v>113</v>
      </c>
      <c r="C4892" s="371"/>
      <c r="D4892" s="2716">
        <f t="shared" si="531"/>
        <v>1</v>
      </c>
      <c r="E4892" s="2721">
        <v>1</v>
      </c>
      <c r="F4892" s="294"/>
      <c r="G4892" s="380" t="s">
        <v>4338</v>
      </c>
      <c r="H4892" s="383"/>
      <c r="I4892" s="401"/>
      <c r="J4892" s="291"/>
      <c r="K4892" s="1587" t="s">
        <v>5515</v>
      </c>
      <c r="L4892" s="1588">
        <f ca="1">HYPERLINK("#'"&amp;$G$1&amp;"'!"&amp;ADDRESS(ROW(Notes!I3210),COLUMN(Notes!I3210),4),I3210)</f>
        <v>0</v>
      </c>
      <c r="M4892" s="456">
        <f t="shared" ca="1" si="532"/>
        <v>0</v>
      </c>
      <c r="S4892" s="364"/>
      <c r="Z4892" s="609" t="s">
        <v>4324</v>
      </c>
      <c r="AA4892" s="609" t="s">
        <v>5714</v>
      </c>
    </row>
    <row r="4893" spans="1:27" ht="18">
      <c r="A4893" s="2714"/>
      <c r="B4893" s="371">
        <v>114</v>
      </c>
      <c r="C4893" s="371"/>
      <c r="D4893" s="2716">
        <f t="shared" si="531"/>
        <v>1</v>
      </c>
      <c r="E4893" s="2721">
        <v>1</v>
      </c>
      <c r="F4893" s="294"/>
      <c r="G4893" s="380" t="s">
        <v>4339</v>
      </c>
      <c r="H4893" s="383"/>
      <c r="I4893" s="401"/>
      <c r="J4893" s="291"/>
      <c r="K4893" s="1587" t="s">
        <v>5516</v>
      </c>
      <c r="L4893" s="1588">
        <f ca="1">HYPERLINK("#'"&amp;$G$1&amp;"'!"&amp;ADDRESS(ROW(Notes!I1787),COLUMN(Notes!I1787),4),I1787)</f>
        <v>0</v>
      </c>
      <c r="M4893" s="456">
        <f t="shared" ca="1" si="532"/>
        <v>0</v>
      </c>
      <c r="S4893" s="364"/>
      <c r="Z4893" s="609" t="s">
        <v>4324</v>
      </c>
      <c r="AA4893" s="609" t="s">
        <v>5714</v>
      </c>
    </row>
    <row r="4894" spans="1:27" ht="18">
      <c r="A4894" s="2714"/>
      <c r="B4894" s="371">
        <v>115</v>
      </c>
      <c r="C4894" s="371" t="s">
        <v>2791</v>
      </c>
      <c r="D4894" s="2716">
        <f t="shared" si="531"/>
        <v>0</v>
      </c>
      <c r="E4894" s="2721">
        <v>1</v>
      </c>
      <c r="F4894" s="294"/>
      <c r="G4894" s="409" t="s">
        <v>2792</v>
      </c>
      <c r="H4894" s="383"/>
      <c r="I4894" s="401"/>
      <c r="J4894" s="291"/>
      <c r="K4894" s="1586"/>
      <c r="L4894" s="1590"/>
      <c r="M4894" s="456"/>
      <c r="S4894" s="364"/>
      <c r="Z4894" s="609" t="s">
        <v>4324</v>
      </c>
      <c r="AA4894" s="609" t="s">
        <v>5714</v>
      </c>
    </row>
    <row r="4895" spans="1:27" ht="18">
      <c r="A4895" s="2714"/>
      <c r="B4895" s="371">
        <v>116</v>
      </c>
      <c r="C4895" s="371" t="s">
        <v>2791</v>
      </c>
      <c r="D4895" s="2716">
        <f t="shared" si="531"/>
        <v>0</v>
      </c>
      <c r="E4895" s="2721">
        <v>1</v>
      </c>
      <c r="F4895" s="294"/>
      <c r="G4895" s="409" t="s">
        <v>2792</v>
      </c>
      <c r="H4895" s="383"/>
      <c r="I4895" s="401"/>
      <c r="J4895" s="291"/>
      <c r="K4895" s="1586"/>
      <c r="L4895" s="1590"/>
      <c r="M4895" s="456"/>
      <c r="S4895" s="364"/>
      <c r="Z4895" s="609" t="s">
        <v>4324</v>
      </c>
      <c r="AA4895" s="609" t="s">
        <v>5714</v>
      </c>
    </row>
    <row r="4896" spans="1:27" ht="18.75" thickBot="1">
      <c r="A4896" s="2714"/>
      <c r="B4896" s="371"/>
      <c r="C4896" s="371"/>
      <c r="D4896" s="2716">
        <f t="shared" si="531"/>
        <v>1</v>
      </c>
      <c r="E4896" s="2721" t="s">
        <v>2751</v>
      </c>
      <c r="F4896" s="294"/>
      <c r="G4896" s="2330" t="s">
        <v>2752</v>
      </c>
      <c r="H4896" s="2331">
        <f>SUMPRODUCT($E4879:$E4895,H4879:H4895)</f>
        <v>0</v>
      </c>
      <c r="I4896" s="2332">
        <f>SUMPRODUCT($E4879:$E4895,I4879:I4895)</f>
        <v>0</v>
      </c>
      <c r="J4896" s="291"/>
      <c r="M4896" s="1531">
        <f t="shared" ref="M4896" ca="1" si="533">SUM(M4880:M4895)</f>
        <v>0</v>
      </c>
      <c r="S4896" s="364"/>
      <c r="Z4896" s="609" t="s">
        <v>4324</v>
      </c>
      <c r="AA4896" s="609" t="s">
        <v>5714</v>
      </c>
    </row>
    <row r="4897" spans="1:27" ht="18">
      <c r="A4897" s="2714"/>
      <c r="B4897" s="371"/>
      <c r="C4897" s="371" t="s">
        <v>2755</v>
      </c>
      <c r="D4897" s="371"/>
      <c r="F4897" s="294"/>
      <c r="G4897" s="301"/>
      <c r="H4897" s="349"/>
      <c r="I4897" s="349"/>
      <c r="J4897" s="291"/>
      <c r="K4897" s="1539" t="s">
        <v>5505</v>
      </c>
      <c r="N4897" s="354"/>
      <c r="S4897" s="364"/>
      <c r="Z4897" s="609" t="s">
        <v>4324</v>
      </c>
      <c r="AA4897" s="609" t="s">
        <v>5714</v>
      </c>
    </row>
    <row r="4898" spans="1:27" ht="17.25">
      <c r="A4898" s="2715">
        <v>6171</v>
      </c>
      <c r="B4898" s="371">
        <v>73</v>
      </c>
      <c r="C4898" s="2716" t="str">
        <f>VLOOKUP($A4898,Sheet_Items,2,0)</f>
        <v>资产处置收益</v>
      </c>
      <c r="D4898" s="371"/>
      <c r="E4898" s="2716" t="s">
        <v>2739</v>
      </c>
      <c r="F4898" s="371"/>
      <c r="G4898" s="305" t="str">
        <f>B4898&amp;" "&amp;C4898</f>
        <v>73 资产处置收益</v>
      </c>
      <c r="H4898" s="306"/>
      <c r="I4898" s="306"/>
      <c r="J4898" s="306" t="s">
        <v>4206</v>
      </c>
      <c r="K4898" s="341">
        <f>VLOOKUP($A4898,Sheet_Trialbal,6,0)</f>
        <v>0</v>
      </c>
      <c r="L4898" s="342"/>
      <c r="M4898" s="306" t="s">
        <v>4207</v>
      </c>
      <c r="N4898" s="341">
        <f>VLOOKUP($A4898,Sheet_Trialbal,10,0)</f>
        <v>0</v>
      </c>
      <c r="O4898" s="342"/>
      <c r="P4898" s="301"/>
      <c r="S4898" s="364"/>
      <c r="Z4898" s="609" t="s">
        <v>4340</v>
      </c>
      <c r="AA4898" s="609" t="s">
        <v>5715</v>
      </c>
    </row>
    <row r="4899" spans="1:27" ht="18">
      <c r="A4899" s="2714" t="s">
        <v>1888</v>
      </c>
      <c r="B4899" s="371">
        <v>1</v>
      </c>
      <c r="C4899" s="371"/>
      <c r="D4899" s="2716" t="str">
        <f>VLOOKUP($A4899,Sheet_NoteList,2,0)</f>
        <v>资产处置收益明细项目</v>
      </c>
      <c r="E4899" s="2716" t="s">
        <v>2742</v>
      </c>
      <c r="F4899" s="371"/>
      <c r="G4899" s="372" t="str">
        <f>"("&amp;B4899&amp;")"&amp;D4899</f>
        <v>(1)资产处置收益明细项目</v>
      </c>
      <c r="H4899" s="1517" t="str">
        <f>$A4899</f>
        <v>6171a</v>
      </c>
      <c r="I4899" s="343" t="s">
        <v>2743</v>
      </c>
      <c r="J4899" s="301" t="s">
        <v>4210</v>
      </c>
      <c r="K4899" s="2210">
        <f>H4911</f>
        <v>0</v>
      </c>
      <c r="L4899" s="349" t="str">
        <f>IF($I4899="适用",IF(ROUND(K$4898-K4899,2)=0,"F/S",ROUND(K$4898-K4899,2)),"#N/A")</f>
        <v>F/S</v>
      </c>
      <c r="M4899" s="301" t="s">
        <v>4211</v>
      </c>
      <c r="N4899" s="2210">
        <f>I4911</f>
        <v>0</v>
      </c>
      <c r="O4899" s="349" t="str">
        <f>IF($I4899="适用",IF(ROUND(N$4898-N4899,2)=0,"F/S",ROUND(N$4898-N4899,2)),"#N/A")</f>
        <v>F/S</v>
      </c>
      <c r="P4899" s="301"/>
      <c r="S4899" s="364"/>
      <c r="Z4899" s="609" t="s">
        <v>4340</v>
      </c>
      <c r="AA4899" s="609" t="s">
        <v>5715</v>
      </c>
    </row>
    <row r="4900" spans="1:27" ht="0.75" customHeight="1" thickBot="1">
      <c r="A4900" s="2714"/>
      <c r="B4900" s="371"/>
      <c r="C4900" s="371"/>
      <c r="D4900" s="2716"/>
      <c r="F4900" s="371"/>
      <c r="G4900" s="405" t="s">
        <v>4341</v>
      </c>
      <c r="H4900" s="371" t="s">
        <v>4223</v>
      </c>
      <c r="I4900" s="371" t="s">
        <v>4224</v>
      </c>
      <c r="J4900" s="301"/>
      <c r="K4900" s="391"/>
      <c r="L4900" s="349"/>
      <c r="M4900" s="301"/>
      <c r="N4900" s="391"/>
      <c r="O4900" s="349"/>
      <c r="P4900" s="301"/>
      <c r="S4900" s="364"/>
      <c r="Z4900" s="609" t="s">
        <v>4340</v>
      </c>
      <c r="AA4900" s="609" t="s">
        <v>5715</v>
      </c>
    </row>
    <row r="4901" spans="1:27" ht="18">
      <c r="A4901" s="2714"/>
      <c r="B4901" s="371"/>
      <c r="C4901" s="371"/>
      <c r="D4901" s="2716"/>
      <c r="E4901" s="2716" t="s">
        <v>2749</v>
      </c>
      <c r="F4901" s="371"/>
      <c r="G4901" s="373" t="s">
        <v>47</v>
      </c>
      <c r="H4901" s="406" t="str">
        <f>$V$4</f>
        <v>2019年度</v>
      </c>
      <c r="I4901" s="417" t="str">
        <f>$V$5</f>
        <v>2018年度</v>
      </c>
      <c r="J4901" s="355" t="s">
        <v>5338</v>
      </c>
      <c r="K4901" s="391"/>
      <c r="L4901" s="349"/>
      <c r="M4901" s="301"/>
      <c r="N4901" s="391"/>
      <c r="O4901" s="349"/>
      <c r="P4901" s="301"/>
      <c r="S4901" s="364"/>
      <c r="Z4901" s="609" t="s">
        <v>4340</v>
      </c>
      <c r="AA4901" s="609" t="s">
        <v>5715</v>
      </c>
    </row>
    <row r="4902" spans="1:27" ht="60">
      <c r="A4902" s="2714"/>
      <c r="B4902" s="371">
        <v>101</v>
      </c>
      <c r="C4902" s="371"/>
      <c r="D4902" s="2716">
        <f t="shared" ref="D4902:D4911" si="534">IF(OR(G4902="*",G4902="",G4902=0),0,COUNTIF($G$4902:$G$4911,G4902))</f>
        <v>1</v>
      </c>
      <c r="E4902" s="2721">
        <v>1</v>
      </c>
      <c r="F4902" s="371"/>
      <c r="G4902" s="308" t="s">
        <v>4342</v>
      </c>
      <c r="H4902" s="309"/>
      <c r="I4902" s="394"/>
      <c r="J4902" s="301"/>
      <c r="K4902" s="391"/>
      <c r="L4902" s="349"/>
      <c r="M4902" s="301"/>
      <c r="N4902" s="391"/>
      <c r="O4902" s="349"/>
      <c r="P4902" s="301"/>
      <c r="S4902" s="364"/>
      <c r="Z4902" s="609" t="s">
        <v>4340</v>
      </c>
      <c r="AA4902" s="609" t="s">
        <v>5715</v>
      </c>
    </row>
    <row r="4903" spans="1:27" ht="48">
      <c r="A4903" s="2714"/>
      <c r="B4903" s="371">
        <v>102</v>
      </c>
      <c r="C4903" s="371"/>
      <c r="D4903" s="2716">
        <f t="shared" si="534"/>
        <v>1</v>
      </c>
      <c r="E4903" s="2721">
        <v>1</v>
      </c>
      <c r="F4903" s="371"/>
      <c r="G4903" s="308" t="s">
        <v>4343</v>
      </c>
      <c r="H4903" s="309"/>
      <c r="I4903" s="394"/>
      <c r="J4903" s="301"/>
      <c r="K4903" s="391"/>
      <c r="L4903" s="349"/>
      <c r="M4903" s="301"/>
      <c r="N4903" s="391"/>
      <c r="O4903" s="349"/>
      <c r="P4903" s="301"/>
      <c r="S4903" s="364"/>
      <c r="Z4903" s="609" t="s">
        <v>4340</v>
      </c>
      <c r="AA4903" s="609" t="s">
        <v>5715</v>
      </c>
    </row>
    <row r="4904" spans="1:27" ht="18">
      <c r="A4904" s="2714"/>
      <c r="B4904" s="371">
        <v>103</v>
      </c>
      <c r="C4904" s="371"/>
      <c r="D4904" s="2716">
        <f t="shared" si="534"/>
        <v>1</v>
      </c>
      <c r="E4904" s="2721">
        <v>0</v>
      </c>
      <c r="F4904" s="371"/>
      <c r="G4904" s="603" t="s">
        <v>353</v>
      </c>
      <c r="H4904" s="309"/>
      <c r="I4904" s="394"/>
      <c r="J4904" s="301"/>
      <c r="K4904" s="391"/>
      <c r="L4904" s="349"/>
      <c r="M4904" s="301"/>
      <c r="N4904" s="391"/>
      <c r="O4904" s="349"/>
      <c r="P4904" s="301"/>
      <c r="S4904" s="364"/>
      <c r="Z4904" s="609" t="s">
        <v>4340</v>
      </c>
      <c r="AA4904" s="609" t="s">
        <v>5715</v>
      </c>
    </row>
    <row r="4905" spans="1:27" ht="18">
      <c r="A4905" s="2714"/>
      <c r="B4905" s="371">
        <v>104</v>
      </c>
      <c r="C4905" s="371"/>
      <c r="D4905" s="2716">
        <f t="shared" si="534"/>
        <v>1</v>
      </c>
      <c r="E4905" s="2721">
        <v>0</v>
      </c>
      <c r="F4905" s="371"/>
      <c r="G4905" s="603" t="s">
        <v>396</v>
      </c>
      <c r="H4905" s="309"/>
      <c r="I4905" s="394"/>
      <c r="J4905" s="301"/>
      <c r="K4905" s="391"/>
      <c r="L4905" s="349"/>
      <c r="M4905" s="301"/>
      <c r="N4905" s="391"/>
      <c r="O4905" s="349"/>
      <c r="P4905" s="301"/>
      <c r="S4905" s="364"/>
      <c r="Z4905" s="609" t="s">
        <v>4340</v>
      </c>
      <c r="AA4905" s="609" t="s">
        <v>5715</v>
      </c>
    </row>
    <row r="4906" spans="1:27" ht="18">
      <c r="A4906" s="2714"/>
      <c r="B4906" s="371">
        <v>105</v>
      </c>
      <c r="C4906" s="371"/>
      <c r="D4906" s="2716">
        <f t="shared" si="534"/>
        <v>1</v>
      </c>
      <c r="E4906" s="2721">
        <v>0</v>
      </c>
      <c r="F4906" s="371"/>
      <c r="G4906" s="603" t="s">
        <v>344</v>
      </c>
      <c r="H4906" s="309"/>
      <c r="I4906" s="394"/>
      <c r="J4906" s="301"/>
      <c r="K4906" s="391"/>
      <c r="L4906" s="349"/>
      <c r="M4906" s="301"/>
      <c r="N4906" s="391"/>
      <c r="O4906" s="349"/>
      <c r="P4906" s="301"/>
      <c r="S4906" s="364"/>
      <c r="Z4906" s="609" t="s">
        <v>4340</v>
      </c>
      <c r="AA4906" s="609" t="s">
        <v>5715</v>
      </c>
    </row>
    <row r="4907" spans="1:27" ht="18">
      <c r="A4907" s="2714"/>
      <c r="B4907" s="371">
        <v>106</v>
      </c>
      <c r="C4907" s="371"/>
      <c r="D4907" s="2716">
        <f t="shared" si="534"/>
        <v>1</v>
      </c>
      <c r="E4907" s="2721">
        <v>0</v>
      </c>
      <c r="F4907" s="371"/>
      <c r="G4907" s="603" t="s">
        <v>381</v>
      </c>
      <c r="H4907" s="309"/>
      <c r="I4907" s="394"/>
      <c r="J4907" s="301"/>
      <c r="K4907" s="391"/>
      <c r="L4907" s="349"/>
      <c r="M4907" s="301"/>
      <c r="N4907" s="391"/>
      <c r="O4907" s="349"/>
      <c r="P4907" s="301"/>
      <c r="S4907" s="364"/>
      <c r="Z4907" s="609" t="s">
        <v>4340</v>
      </c>
      <c r="AA4907" s="609" t="s">
        <v>5715</v>
      </c>
    </row>
    <row r="4908" spans="1:27" ht="48">
      <c r="A4908" s="2714"/>
      <c r="B4908" s="371">
        <v>107</v>
      </c>
      <c r="C4908" s="371"/>
      <c r="D4908" s="2716">
        <f t="shared" si="534"/>
        <v>1</v>
      </c>
      <c r="E4908" s="2721">
        <v>1</v>
      </c>
      <c r="F4908" s="371"/>
      <c r="G4908" s="308" t="s">
        <v>4344</v>
      </c>
      <c r="H4908" s="309"/>
      <c r="I4908" s="394"/>
      <c r="J4908" s="301"/>
      <c r="K4908" s="391"/>
      <c r="L4908" s="349"/>
      <c r="M4908" s="301"/>
      <c r="N4908" s="391"/>
      <c r="O4908" s="349"/>
      <c r="P4908" s="301"/>
      <c r="S4908" s="364"/>
      <c r="Z4908" s="609" t="s">
        <v>4340</v>
      </c>
      <c r="AA4908" s="609" t="s">
        <v>5715</v>
      </c>
    </row>
    <row r="4909" spans="1:27" ht="48">
      <c r="A4909" s="2714"/>
      <c r="B4909" s="371">
        <v>108</v>
      </c>
      <c r="C4909" s="371"/>
      <c r="D4909" s="2716">
        <f t="shared" si="534"/>
        <v>1</v>
      </c>
      <c r="E4909" s="2721">
        <v>1</v>
      </c>
      <c r="F4909" s="371"/>
      <c r="G4909" s="319" t="s">
        <v>4345</v>
      </c>
      <c r="H4909" s="309"/>
      <c r="I4909" s="394"/>
      <c r="J4909" s="301"/>
      <c r="K4909" s="391"/>
      <c r="L4909" s="349"/>
      <c r="M4909" s="301"/>
      <c r="N4909" s="391"/>
      <c r="O4909" s="349"/>
      <c r="P4909" s="301"/>
      <c r="S4909" s="364"/>
      <c r="Z4909" s="609" t="s">
        <v>4340</v>
      </c>
      <c r="AA4909" s="609" t="s">
        <v>5715</v>
      </c>
    </row>
    <row r="4910" spans="1:27" ht="18">
      <c r="A4910" s="2714"/>
      <c r="B4910" s="371">
        <v>109</v>
      </c>
      <c r="C4910" s="371" t="s">
        <v>2791</v>
      </c>
      <c r="D4910" s="2716">
        <f t="shared" si="534"/>
        <v>0</v>
      </c>
      <c r="E4910" s="2721">
        <v>1</v>
      </c>
      <c r="F4910" s="371"/>
      <c r="G4910" s="319" t="s">
        <v>2792</v>
      </c>
      <c r="H4910" s="309"/>
      <c r="I4910" s="394"/>
      <c r="J4910" s="301"/>
      <c r="K4910" s="391"/>
      <c r="L4910" s="349"/>
      <c r="M4910" s="301"/>
      <c r="N4910" s="391"/>
      <c r="O4910" s="349"/>
      <c r="P4910" s="301"/>
      <c r="S4910" s="364"/>
      <c r="Z4910" s="609" t="s">
        <v>4340</v>
      </c>
      <c r="AA4910" s="609" t="s">
        <v>5715</v>
      </c>
    </row>
    <row r="4911" spans="1:27" ht="18.75" thickBot="1">
      <c r="A4911" s="2714"/>
      <c r="B4911" s="371"/>
      <c r="C4911" s="371"/>
      <c r="D4911" s="2716">
        <f t="shared" si="534"/>
        <v>1</v>
      </c>
      <c r="E4911" s="2721" t="s">
        <v>2751</v>
      </c>
      <c r="F4911" s="371"/>
      <c r="G4911" s="407" t="s">
        <v>2752</v>
      </c>
      <c r="H4911" s="375">
        <f>SUMPRODUCT($E4901:$E4910,H4901:H4910)</f>
        <v>0</v>
      </c>
      <c r="I4911" s="395">
        <f>SUMPRODUCT($E4901:$E4910,I4901:I4910)</f>
        <v>0</v>
      </c>
      <c r="J4911" s="301"/>
      <c r="K4911" s="391"/>
      <c r="L4911" s="349"/>
      <c r="M4911" s="301"/>
      <c r="N4911" s="391"/>
      <c r="O4911" s="349"/>
      <c r="P4911" s="301"/>
      <c r="S4911" s="364"/>
      <c r="Z4911" s="609" t="s">
        <v>4340</v>
      </c>
      <c r="AA4911" s="609" t="s">
        <v>5715</v>
      </c>
    </row>
    <row r="4912" spans="1:27" ht="18">
      <c r="A4912" s="2714"/>
      <c r="B4912" s="371"/>
      <c r="C4912" s="371" t="s">
        <v>2755</v>
      </c>
      <c r="D4912" s="2716"/>
      <c r="F4912" s="371"/>
      <c r="G4912" s="376"/>
      <c r="H4912" s="315"/>
      <c r="I4912" s="396"/>
      <c r="J4912" s="301"/>
      <c r="K4912" s="391"/>
      <c r="L4912" s="349"/>
      <c r="M4912" s="301"/>
      <c r="N4912" s="391"/>
      <c r="O4912" s="349"/>
      <c r="P4912" s="301"/>
      <c r="S4912" s="364"/>
      <c r="Z4912" s="609" t="s">
        <v>4340</v>
      </c>
      <c r="AA4912" s="609" t="s">
        <v>5715</v>
      </c>
    </row>
    <row r="4913" spans="1:29" ht="18">
      <c r="A4913" s="2714">
        <v>6710</v>
      </c>
      <c r="B4913" s="371">
        <v>74</v>
      </c>
      <c r="C4913" s="2716" t="str">
        <f>VLOOKUP($A4913,Sheet_Items,2,0)</f>
        <v>营业外收入</v>
      </c>
      <c r="D4913" s="371"/>
      <c r="E4913" s="2716" t="s">
        <v>2739</v>
      </c>
      <c r="F4913" s="294"/>
      <c r="G4913" s="305" t="str">
        <f>B4913&amp;" "&amp;C4913</f>
        <v>74 营业外收入</v>
      </c>
      <c r="H4913" s="306"/>
      <c r="I4913" s="306"/>
      <c r="J4913" s="306" t="s">
        <v>4206</v>
      </c>
      <c r="K4913" s="341">
        <f>VLOOKUP($A4913,Sheet_Trialbal,6,0)</f>
        <v>0</v>
      </c>
      <c r="L4913" s="342"/>
      <c r="M4913" s="306" t="s">
        <v>4207</v>
      </c>
      <c r="N4913" s="341">
        <f>VLOOKUP($A4913,Sheet_Trialbal,10,0)</f>
        <v>0</v>
      </c>
      <c r="O4913" s="306"/>
      <c r="P4913" s="301"/>
      <c r="S4913" s="364"/>
      <c r="Z4913" s="609" t="s">
        <v>4148</v>
      </c>
      <c r="AA4913" s="609" t="s">
        <v>5716</v>
      </c>
    </row>
    <row r="4914" spans="1:29" ht="18">
      <c r="A4914" s="2714" t="s">
        <v>1933</v>
      </c>
      <c r="B4914" s="371">
        <v>1</v>
      </c>
      <c r="C4914" s="371"/>
      <c r="D4914" s="2716" t="str">
        <f>VLOOKUP($A4914,Sheet_NoteList,2,0)</f>
        <v>营业外收入明细项目</v>
      </c>
      <c r="E4914" s="2716" t="s">
        <v>2742</v>
      </c>
      <c r="F4914" s="294"/>
      <c r="G4914" s="307" t="str">
        <f>"("&amp;B4914&amp;")"&amp;D4914</f>
        <v>(1)营业外收入明细项目</v>
      </c>
      <c r="H4914" s="1517" t="str">
        <f>$A4914</f>
        <v>6710a</v>
      </c>
      <c r="I4914" s="343" t="s">
        <v>2743</v>
      </c>
      <c r="J4914" s="301" t="s">
        <v>4210</v>
      </c>
      <c r="K4914" s="2210">
        <f>H4925</f>
        <v>0</v>
      </c>
      <c r="L4914" s="345" t="str">
        <f>IF($I4914="适用",IF(ROUND(K$4913-K4914,2)=0,"F/S",ROUND(K$4913-K4914,2)),"#N/A")</f>
        <v>F/S</v>
      </c>
      <c r="M4914" s="301" t="s">
        <v>4211</v>
      </c>
      <c r="N4914" s="2210">
        <f>I4925</f>
        <v>0</v>
      </c>
      <c r="O4914" s="345" t="str">
        <f>IF($I4914="适用",IF(ROUND(N$4913-N4914,2)=0,"F/S",ROUND(N$4913-N4914,2)),"#N/A")</f>
        <v>F/S</v>
      </c>
      <c r="P4914" s="301"/>
      <c r="Q4914" s="290" t="str">
        <f>IF($I4914="不适用","",IF(ROUND(SUM($H$4917:$J$4925),2)=0,"请输入",""))</f>
        <v>请输入</v>
      </c>
      <c r="S4914" s="364"/>
      <c r="Z4914" s="609" t="s">
        <v>4148</v>
      </c>
      <c r="AA4914" s="609" t="s">
        <v>5716</v>
      </c>
    </row>
    <row r="4915" spans="1:29" ht="0.75" customHeight="1" thickBot="1">
      <c r="A4915" s="2714"/>
      <c r="B4915" s="371"/>
      <c r="C4915" s="371"/>
      <c r="D4915" s="371"/>
      <c r="F4915" s="294"/>
      <c r="G4915" s="294" t="s">
        <v>4346</v>
      </c>
      <c r="H4915" s="294" t="s">
        <v>4223</v>
      </c>
      <c r="I4915" s="294" t="s">
        <v>4224</v>
      </c>
      <c r="J4915" s="294" t="s">
        <v>4347</v>
      </c>
      <c r="K4915" s="291"/>
      <c r="L4915" s="291"/>
      <c r="M4915" s="291"/>
      <c r="N4915" s="291"/>
      <c r="S4915" s="364"/>
      <c r="Z4915" s="609" t="s">
        <v>4148</v>
      </c>
      <c r="AA4915" s="609" t="s">
        <v>5716</v>
      </c>
    </row>
    <row r="4916" spans="1:29" ht="24">
      <c r="A4916" s="2714"/>
      <c r="B4916" s="371"/>
      <c r="C4916" s="371"/>
      <c r="D4916" s="371"/>
      <c r="E4916" s="2716" t="s">
        <v>2749</v>
      </c>
      <c r="F4916" s="294"/>
      <c r="G4916" s="378" t="s">
        <v>47</v>
      </c>
      <c r="H4916" s="398" t="str">
        <f>$V$4</f>
        <v>2019年度</v>
      </c>
      <c r="I4916" s="398" t="str">
        <f>$V$5</f>
        <v>2018年度</v>
      </c>
      <c r="J4916" s="511" t="s">
        <v>4348</v>
      </c>
      <c r="K4916" s="355" t="s">
        <v>5339</v>
      </c>
      <c r="L4916" s="291"/>
      <c r="M4916" s="291"/>
      <c r="N4916" s="291"/>
      <c r="S4916" s="364"/>
      <c r="Z4916" s="609" t="s">
        <v>4148</v>
      </c>
      <c r="AA4916" s="609" t="s">
        <v>5716</v>
      </c>
    </row>
    <row r="4917" spans="1:29" ht="18">
      <c r="A4917" s="2714"/>
      <c r="B4917" s="371">
        <v>101</v>
      </c>
      <c r="C4917" s="371"/>
      <c r="D4917" s="2716">
        <f t="shared" ref="D4917:D4925" si="535">IF(OR(G4917="*",G4917="",G4917=0),0,COUNTIF($G$4917:$G$4925,G4917))</f>
        <v>1</v>
      </c>
      <c r="E4917" s="2721">
        <v>1</v>
      </c>
      <c r="F4917" s="294"/>
      <c r="G4917" s="380" t="s">
        <v>4349</v>
      </c>
      <c r="H4917" s="383"/>
      <c r="I4917" s="383"/>
      <c r="J4917" s="401"/>
      <c r="K4917" s="424"/>
      <c r="L4917" s="291"/>
      <c r="M4917" s="291"/>
      <c r="N4917" s="291"/>
      <c r="S4917" s="364"/>
      <c r="Z4917" s="609" t="s">
        <v>4148</v>
      </c>
      <c r="AA4917" s="609" t="s">
        <v>5716</v>
      </c>
    </row>
    <row r="4918" spans="1:29" ht="18">
      <c r="A4918" s="2714"/>
      <c r="B4918" s="371">
        <v>102</v>
      </c>
      <c r="C4918" s="371"/>
      <c r="D4918" s="2716">
        <f t="shared" si="535"/>
        <v>1</v>
      </c>
      <c r="E4918" s="2721">
        <v>1</v>
      </c>
      <c r="F4918" s="294"/>
      <c r="G4918" s="380" t="s">
        <v>4350</v>
      </c>
      <c r="H4918" s="383"/>
      <c r="I4918" s="383"/>
      <c r="J4918" s="401"/>
      <c r="K4918" s="291"/>
      <c r="L4918" s="291"/>
      <c r="M4918" s="291"/>
      <c r="N4918" s="291"/>
      <c r="S4918" s="364"/>
      <c r="Z4918" s="609" t="s">
        <v>4148</v>
      </c>
      <c r="AA4918" s="609" t="s">
        <v>5716</v>
      </c>
    </row>
    <row r="4919" spans="1:29" ht="24">
      <c r="A4919" s="2714"/>
      <c r="B4919" s="371">
        <v>103</v>
      </c>
      <c r="C4919" s="371"/>
      <c r="D4919" s="2716">
        <f t="shared" si="535"/>
        <v>1</v>
      </c>
      <c r="E4919" s="2721">
        <v>1</v>
      </c>
      <c r="F4919" s="294"/>
      <c r="G4919" s="380" t="s">
        <v>1936</v>
      </c>
      <c r="H4919" s="383"/>
      <c r="I4919" s="383"/>
      <c r="J4919" s="401"/>
      <c r="K4919" s="1533" t="str">
        <f ca="1">HYPERLINK("#'"&amp;$G$1&amp;"'!"&amp;ADDRESS(ROW(Notes!H4938),COLUMN(Notes!H4938),4),"* 请勿删除此行！点击往勾稽单元格，F5+Enter返回")</f>
        <v>* 请勿删除此行！点击往勾稽单元格，F5+Enter返回</v>
      </c>
      <c r="L4919" s="291"/>
      <c r="M4919" s="291"/>
      <c r="N4919" s="291"/>
      <c r="S4919" s="364"/>
      <c r="Z4919" s="609" t="s">
        <v>4148</v>
      </c>
      <c r="AA4919" s="609" t="s">
        <v>5716</v>
      </c>
      <c r="AC4919" s="369" t="s">
        <v>6573</v>
      </c>
    </row>
    <row r="4920" spans="1:29" ht="18">
      <c r="A4920" s="2714"/>
      <c r="B4920" s="371">
        <v>104</v>
      </c>
      <c r="C4920" s="371"/>
      <c r="D4920" s="2716">
        <f t="shared" si="535"/>
        <v>1</v>
      </c>
      <c r="E4920" s="2721">
        <v>1</v>
      </c>
      <c r="F4920" s="294"/>
      <c r="G4920" s="380" t="s">
        <v>4351</v>
      </c>
      <c r="H4920" s="383"/>
      <c r="I4920" s="383"/>
      <c r="J4920" s="401"/>
      <c r="K4920" s="357"/>
      <c r="L4920" s="291"/>
      <c r="M4920" s="291"/>
      <c r="N4920" s="291"/>
      <c r="S4920" s="364"/>
      <c r="Z4920" s="609" t="s">
        <v>4148</v>
      </c>
      <c r="AA4920" s="609" t="s">
        <v>5716</v>
      </c>
    </row>
    <row r="4921" spans="1:29" ht="18">
      <c r="A4921" s="2714"/>
      <c r="B4921" s="371">
        <v>105</v>
      </c>
      <c r="C4921" s="371" t="s">
        <v>2791</v>
      </c>
      <c r="D4921" s="2716">
        <f t="shared" si="535"/>
        <v>0</v>
      </c>
      <c r="E4921" s="2721">
        <v>1</v>
      </c>
      <c r="F4921" s="294"/>
      <c r="G4921" s="409" t="s">
        <v>2792</v>
      </c>
      <c r="H4921" s="383"/>
      <c r="I4921" s="383"/>
      <c r="J4921" s="401"/>
      <c r="K4921" s="291"/>
      <c r="L4921" s="291"/>
      <c r="M4921" s="291"/>
      <c r="N4921" s="291"/>
      <c r="S4921" s="364"/>
      <c r="Z4921" s="609" t="s">
        <v>4148</v>
      </c>
      <c r="AA4921" s="609" t="s">
        <v>5716</v>
      </c>
    </row>
    <row r="4922" spans="1:29" ht="18">
      <c r="A4922" s="2714"/>
      <c r="B4922" s="371">
        <v>106</v>
      </c>
      <c r="C4922" s="371" t="s">
        <v>2791</v>
      </c>
      <c r="D4922" s="2716">
        <f t="shared" si="535"/>
        <v>0</v>
      </c>
      <c r="E4922" s="2721">
        <v>1</v>
      </c>
      <c r="F4922" s="294"/>
      <c r="G4922" s="409" t="s">
        <v>2792</v>
      </c>
      <c r="H4922" s="383"/>
      <c r="I4922" s="383"/>
      <c r="J4922" s="401"/>
      <c r="K4922" s="291"/>
      <c r="L4922" s="291"/>
      <c r="M4922" s="291"/>
      <c r="N4922" s="291"/>
      <c r="S4922" s="364"/>
      <c r="Z4922" s="609" t="s">
        <v>4148</v>
      </c>
      <c r="AA4922" s="609" t="s">
        <v>5716</v>
      </c>
    </row>
    <row r="4923" spans="1:29" ht="18">
      <c r="A4923" s="2714"/>
      <c r="B4923" s="371">
        <v>107</v>
      </c>
      <c r="C4923" s="371" t="s">
        <v>2791</v>
      </c>
      <c r="D4923" s="2716">
        <f t="shared" si="535"/>
        <v>0</v>
      </c>
      <c r="E4923" s="2721">
        <v>1</v>
      </c>
      <c r="F4923" s="294"/>
      <c r="G4923" s="409" t="s">
        <v>2792</v>
      </c>
      <c r="H4923" s="383"/>
      <c r="I4923" s="383"/>
      <c r="J4923" s="401"/>
      <c r="K4923" s="291"/>
      <c r="L4923" s="291"/>
      <c r="M4923" s="291"/>
      <c r="N4923" s="291"/>
      <c r="S4923" s="364"/>
      <c r="Z4923" s="609" t="s">
        <v>4148</v>
      </c>
      <c r="AA4923" s="609" t="s">
        <v>5716</v>
      </c>
    </row>
    <row r="4924" spans="1:29" ht="18">
      <c r="A4924" s="2714"/>
      <c r="B4924" s="371">
        <v>109</v>
      </c>
      <c r="C4924" s="371" t="s">
        <v>2791</v>
      </c>
      <c r="D4924" s="2716">
        <f t="shared" si="535"/>
        <v>0</v>
      </c>
      <c r="E4924" s="2721">
        <v>1</v>
      </c>
      <c r="F4924" s="294"/>
      <c r="G4924" s="409" t="s">
        <v>2792</v>
      </c>
      <c r="H4924" s="383"/>
      <c r="I4924" s="383"/>
      <c r="J4924" s="401"/>
      <c r="K4924" s="291"/>
      <c r="L4924" s="291"/>
      <c r="M4924" s="291"/>
      <c r="N4924" s="291"/>
      <c r="S4924" s="364"/>
      <c r="Z4924" s="609" t="s">
        <v>4148</v>
      </c>
      <c r="AA4924" s="609" t="s">
        <v>5716</v>
      </c>
    </row>
    <row r="4925" spans="1:29" ht="18.75" thickBot="1">
      <c r="A4925" s="2714"/>
      <c r="B4925" s="371"/>
      <c r="C4925" s="371"/>
      <c r="D4925" s="2716">
        <f t="shared" si="535"/>
        <v>1</v>
      </c>
      <c r="E4925" s="2721" t="s">
        <v>2751</v>
      </c>
      <c r="F4925" s="294"/>
      <c r="G4925" s="403" t="s">
        <v>2752</v>
      </c>
      <c r="H4925" s="404">
        <f>SUMPRODUCT($E4916:$E4924,H4916:H4924)</f>
        <v>0</v>
      </c>
      <c r="I4925" s="404">
        <f>SUMPRODUCT($E4916:$E4924,I4916:I4924)</f>
        <v>0</v>
      </c>
      <c r="J4925" s="413">
        <f>SUMPRODUCT($E4916:$E4924,J4916:J4924)</f>
        <v>0</v>
      </c>
      <c r="K4925" s="291"/>
      <c r="L4925" s="291"/>
      <c r="M4925" s="291"/>
      <c r="N4925" s="291"/>
      <c r="S4925" s="364"/>
      <c r="Z4925" s="609" t="s">
        <v>4148</v>
      </c>
      <c r="AA4925" s="609" t="s">
        <v>5716</v>
      </c>
    </row>
    <row r="4926" spans="1:29" ht="18">
      <c r="A4926" s="2714"/>
      <c r="B4926" s="371"/>
      <c r="C4926" s="371" t="s">
        <v>2755</v>
      </c>
      <c r="D4926" s="371"/>
      <c r="F4926" s="294"/>
      <c r="G4926" s="301"/>
      <c r="H4926" s="315"/>
      <c r="I4926" s="315"/>
      <c r="J4926" s="315"/>
      <c r="K4926" s="291"/>
      <c r="L4926" s="291"/>
      <c r="M4926" s="291"/>
      <c r="N4926" s="291"/>
      <c r="S4926" s="364"/>
      <c r="Z4926" s="609" t="s">
        <v>4148</v>
      </c>
      <c r="AA4926" s="609" t="s">
        <v>5716</v>
      </c>
    </row>
    <row r="4927" spans="1:29" ht="24">
      <c r="A4927" s="2714" t="s">
        <v>1935</v>
      </c>
      <c r="B4927" s="371">
        <v>2</v>
      </c>
      <c r="C4927" s="371"/>
      <c r="D4927" s="2716" t="str">
        <f>VLOOKUP($A4927,Sheet_NoteList,2,0)</f>
        <v>与企业日常活动无关的政府补助</v>
      </c>
      <c r="E4927" s="2716" t="s">
        <v>2742</v>
      </c>
      <c r="F4927" s="294"/>
      <c r="G4927" s="372" t="str">
        <f>"("&amp;B4927&amp;")"&amp;D4927</f>
        <v>(2)与企业日常活动无关的政府补助</v>
      </c>
      <c r="H4927" s="1517" t="str">
        <f>$A4927</f>
        <v>6710b</v>
      </c>
      <c r="I4927" s="343" t="s">
        <v>2743</v>
      </c>
      <c r="J4927" s="301" t="s">
        <v>4210</v>
      </c>
      <c r="K4927" s="2210">
        <f>H4935</f>
        <v>0</v>
      </c>
      <c r="L4927" s="345"/>
      <c r="M4927" s="301" t="s">
        <v>4211</v>
      </c>
      <c r="N4927" s="2210">
        <f>I4935</f>
        <v>0</v>
      </c>
      <c r="O4927" s="345"/>
      <c r="P4927" s="301"/>
      <c r="Q4927" s="290" t="str">
        <f>IF($I4927="不适用","",IF(ROUND(SUM($H$4930:$K$4935),2)=0,"请输入",""))</f>
        <v>请输入</v>
      </c>
      <c r="S4927" s="364"/>
      <c r="Z4927" s="609" t="s">
        <v>4148</v>
      </c>
      <c r="AA4927" s="609" t="s">
        <v>5716</v>
      </c>
    </row>
    <row r="4928" spans="1:29" ht="0.75" customHeight="1" thickBot="1">
      <c r="A4928" s="2714"/>
      <c r="B4928" s="371"/>
      <c r="C4928" s="371"/>
      <c r="D4928" s="371"/>
      <c r="E4928" s="586"/>
      <c r="F4928" s="518"/>
      <c r="G4928" s="518" t="s">
        <v>4352</v>
      </c>
      <c r="H4928" s="304" t="s">
        <v>4223</v>
      </c>
      <c r="I4928" s="304" t="s">
        <v>4224</v>
      </c>
      <c r="J4928" s="304" t="s">
        <v>3671</v>
      </c>
      <c r="K4928" s="619"/>
      <c r="L4928" s="442"/>
      <c r="M4928" s="442"/>
      <c r="N4928" s="442"/>
      <c r="O4928" s="442"/>
      <c r="P4928" s="442"/>
      <c r="Q4928" s="442"/>
      <c r="R4928" s="443"/>
      <c r="S4928" s="364"/>
      <c r="Z4928" s="609" t="s">
        <v>4148</v>
      </c>
      <c r="AA4928" s="609" t="s">
        <v>5716</v>
      </c>
    </row>
    <row r="4929" spans="1:27" ht="24">
      <c r="A4929" s="2714"/>
      <c r="B4929" s="371"/>
      <c r="C4929" s="371"/>
      <c r="D4929" s="371"/>
      <c r="E4929" s="586" t="s">
        <v>2749</v>
      </c>
      <c r="F4929" s="363"/>
      <c r="G4929" s="2457" t="s">
        <v>1628</v>
      </c>
      <c r="H4929" s="2464" t="str">
        <f>$V$4</f>
        <v>2019年度</v>
      </c>
      <c r="I4929" s="2464" t="str">
        <f>$V$5</f>
        <v>2018年度</v>
      </c>
      <c r="J4929" s="2469" t="s">
        <v>5237</v>
      </c>
      <c r="K4929" s="355" t="s">
        <v>5339</v>
      </c>
      <c r="L4929" s="442"/>
      <c r="M4929" s="442"/>
      <c r="N4929" s="442"/>
      <c r="O4929" s="442"/>
      <c r="P4929" s="442"/>
      <c r="Q4929" s="442"/>
      <c r="R4929" s="443"/>
      <c r="S4929" s="364"/>
      <c r="Z4929" s="609" t="s">
        <v>4148</v>
      </c>
      <c r="AA4929" s="609" t="s">
        <v>5716</v>
      </c>
    </row>
    <row r="4930" spans="1:27" ht="18">
      <c r="A4930" s="2714"/>
      <c r="B4930" s="371">
        <v>101</v>
      </c>
      <c r="C4930" s="371" t="s">
        <v>2791</v>
      </c>
      <c r="D4930" s="2716">
        <f t="shared" ref="D4930:D4935" si="536">IF(OR(G4930="*",G4930="",G4930=0),0,COUNTIF($G$4930:$G$4935,G4930))</f>
        <v>0</v>
      </c>
      <c r="E4930" s="2721">
        <v>1</v>
      </c>
      <c r="F4930" s="294"/>
      <c r="G4930" s="2467" t="s">
        <v>2792</v>
      </c>
      <c r="H4930" s="2275"/>
      <c r="I4930" s="2275"/>
      <c r="J4930" s="2276"/>
      <c r="K4930" s="2672" t="s">
        <v>6361</v>
      </c>
      <c r="L4930" s="2673" t="s">
        <v>6362</v>
      </c>
      <c r="M4930" s="442"/>
      <c r="N4930" s="442"/>
      <c r="O4930" s="442"/>
      <c r="P4930" s="442"/>
      <c r="Q4930" s="442"/>
      <c r="R4930" s="443"/>
      <c r="S4930" s="364"/>
      <c r="Z4930" s="609" t="s">
        <v>4148</v>
      </c>
      <c r="AA4930" s="609" t="s">
        <v>5716</v>
      </c>
    </row>
    <row r="4931" spans="1:27" ht="18">
      <c r="A4931" s="2714"/>
      <c r="B4931" s="371">
        <v>102</v>
      </c>
      <c r="C4931" s="371" t="s">
        <v>2791</v>
      </c>
      <c r="D4931" s="2716">
        <f t="shared" si="536"/>
        <v>0</v>
      </c>
      <c r="E4931" s="2721">
        <v>1</v>
      </c>
      <c r="F4931" s="294"/>
      <c r="G4931" s="2467" t="s">
        <v>2792</v>
      </c>
      <c r="H4931" s="2275"/>
      <c r="I4931" s="2275"/>
      <c r="J4931" s="2276"/>
      <c r="K4931" s="1604"/>
      <c r="L4931" s="2673" t="s">
        <v>6363</v>
      </c>
      <c r="M4931" s="442"/>
      <c r="N4931" s="442"/>
      <c r="O4931" s="442"/>
      <c r="P4931" s="442"/>
      <c r="Q4931" s="442"/>
      <c r="R4931" s="443"/>
      <c r="S4931" s="364"/>
      <c r="Z4931" s="609" t="s">
        <v>4148</v>
      </c>
      <c r="AA4931" s="609" t="s">
        <v>5716</v>
      </c>
    </row>
    <row r="4932" spans="1:27" ht="18">
      <c r="A4932" s="2714"/>
      <c r="B4932" s="371">
        <v>103</v>
      </c>
      <c r="C4932" s="371" t="s">
        <v>2791</v>
      </c>
      <c r="D4932" s="2716">
        <f t="shared" si="536"/>
        <v>0</v>
      </c>
      <c r="E4932" s="2721">
        <v>1</v>
      </c>
      <c r="F4932" s="294"/>
      <c r="G4932" s="2467" t="s">
        <v>2792</v>
      </c>
      <c r="H4932" s="2275"/>
      <c r="I4932" s="2275"/>
      <c r="J4932" s="2276"/>
      <c r="K4932" s="437"/>
      <c r="L4932" s="442"/>
      <c r="M4932" s="442"/>
      <c r="N4932" s="442"/>
      <c r="O4932" s="442"/>
      <c r="P4932" s="442"/>
      <c r="Q4932" s="442"/>
      <c r="R4932" s="443"/>
      <c r="S4932" s="364"/>
      <c r="Z4932" s="609" t="s">
        <v>4148</v>
      </c>
      <c r="AA4932" s="609" t="s">
        <v>5716</v>
      </c>
    </row>
    <row r="4933" spans="1:27" ht="18">
      <c r="A4933" s="2714"/>
      <c r="B4933" s="371">
        <v>104</v>
      </c>
      <c r="C4933" s="371" t="s">
        <v>2791</v>
      </c>
      <c r="D4933" s="2716">
        <f t="shared" si="536"/>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5716</v>
      </c>
    </row>
    <row r="4934" spans="1:27" ht="18">
      <c r="A4934" s="2714"/>
      <c r="B4934" s="371">
        <v>105</v>
      </c>
      <c r="C4934" s="371" t="s">
        <v>2791</v>
      </c>
      <c r="D4934" s="2716">
        <f t="shared" si="536"/>
        <v>0</v>
      </c>
      <c r="E4934" s="2721">
        <v>1</v>
      </c>
      <c r="F4934" s="294"/>
      <c r="G4934" s="2467" t="s">
        <v>2792</v>
      </c>
      <c r="H4934" s="2275"/>
      <c r="I4934" s="2275"/>
      <c r="J4934" s="2276"/>
      <c r="K4934" s="437"/>
      <c r="L4934" s="442"/>
      <c r="M4934" s="442"/>
      <c r="N4934" s="442"/>
      <c r="O4934" s="442"/>
      <c r="P4934" s="442"/>
      <c r="Q4934" s="442"/>
      <c r="R4934" s="443"/>
      <c r="S4934" s="364"/>
      <c r="Z4934" s="609" t="s">
        <v>4148</v>
      </c>
      <c r="AA4934" s="609" t="s">
        <v>5716</v>
      </c>
    </row>
    <row r="4935" spans="1:27" ht="18.75" thickBot="1">
      <c r="A4935" s="2714"/>
      <c r="B4935" s="371"/>
      <c r="C4935" s="371"/>
      <c r="D4935" s="2716">
        <f t="shared" si="536"/>
        <v>1</v>
      </c>
      <c r="E4935" s="2721" t="s">
        <v>2751</v>
      </c>
      <c r="F4935" s="294"/>
      <c r="G4935" s="374" t="s">
        <v>2752</v>
      </c>
      <c r="H4935" s="1478">
        <f>SUMPRODUCT($E4929:$E4934,H4929:H4934)</f>
        <v>0</v>
      </c>
      <c r="I4935" s="1478">
        <f>SUMPRODUCT($E4929:$E4934,I4929:I4934)</f>
        <v>0</v>
      </c>
      <c r="J4935" s="2260"/>
      <c r="K4935" s="437"/>
      <c r="L4935" s="442"/>
      <c r="M4935" s="442"/>
      <c r="N4935" s="442"/>
      <c r="O4935" s="442"/>
      <c r="P4935" s="442"/>
      <c r="Q4935" s="442"/>
      <c r="R4935" s="443"/>
      <c r="S4935" s="364"/>
      <c r="Z4935" s="609" t="s">
        <v>4148</v>
      </c>
      <c r="AA4935" s="609" t="s">
        <v>5716</v>
      </c>
    </row>
    <row r="4936" spans="1:27" ht="18.75" thickBot="1">
      <c r="A4936" s="2714"/>
      <c r="B4936" s="371"/>
      <c r="C4936" s="371" t="s">
        <v>2755</v>
      </c>
      <c r="D4936" s="371"/>
      <c r="F4936" s="294"/>
      <c r="G4936" s="301"/>
      <c r="H4936" s="315" t="s">
        <v>3002</v>
      </c>
      <c r="I4936" s="315" t="s">
        <v>3002</v>
      </c>
      <c r="J4936" s="393"/>
      <c r="K4936" s="437"/>
      <c r="L4936" s="437"/>
      <c r="M4936" s="437"/>
      <c r="N4936" s="437"/>
      <c r="O4936" s="442"/>
      <c r="P4936" s="442"/>
      <c r="Q4936" s="442"/>
      <c r="R4936" s="443"/>
      <c r="S4936" s="364"/>
      <c r="Z4936" s="609" t="s">
        <v>4148</v>
      </c>
      <c r="AA4936" s="609" t="s">
        <v>5716</v>
      </c>
    </row>
    <row r="4937" spans="1:27" ht="18.75" thickTop="1">
      <c r="A4937" s="2714"/>
      <c r="B4937" s="371"/>
      <c r="C4937" s="371" t="s">
        <v>2565</v>
      </c>
      <c r="D4937" s="371"/>
      <c r="F4937" s="294"/>
      <c r="G4937" s="454" t="s">
        <v>2756</v>
      </c>
      <c r="H4937" s="455" t="str">
        <f>G4914</f>
        <v>(1)营业外收入明细项目</v>
      </c>
      <c r="I4937" s="487"/>
      <c r="J4937" s="474"/>
      <c r="K4937" s="474"/>
      <c r="L4937" s="350"/>
      <c r="M4937" s="350"/>
      <c r="N4937" s="350"/>
      <c r="S4937" s="364"/>
      <c r="Z4937" s="609" t="s">
        <v>4148</v>
      </c>
      <c r="AA4937" s="609" t="s">
        <v>5716</v>
      </c>
    </row>
    <row r="4938" spans="1:27" ht="24">
      <c r="A4938" s="2714"/>
      <c r="B4938" s="371"/>
      <c r="C4938" s="371" t="s">
        <v>2565</v>
      </c>
      <c r="D4938" s="371"/>
      <c r="F4938" s="294"/>
      <c r="G4938" s="316" t="str">
        <f>G4919</f>
        <v>与企业日常活动无关的政府补助</v>
      </c>
      <c r="H4938" s="2252">
        <f ca="1">HYPERLINK("#'"&amp;$G$1&amp;"'!"&amp;ADDRESS(ROW(Notes!H4919),COLUMN(Notes!H4919),4),H4919)</f>
        <v>0</v>
      </c>
      <c r="I4938" s="2252">
        <f ca="1">HYPERLINK("#'"&amp;$G$1&amp;"'!"&amp;ADDRESS(ROW(Notes!I4919),COLUMN(Notes!I4919),4),I4919)</f>
        <v>0</v>
      </c>
      <c r="J4938" s="351"/>
      <c r="K4938" s="2632" t="str">
        <f>H4914</f>
        <v>6710a</v>
      </c>
      <c r="L4938" s="350"/>
      <c r="M4938" s="350"/>
      <c r="N4938" s="350"/>
      <c r="S4938" s="364"/>
      <c r="Z4938" s="609" t="s">
        <v>4148</v>
      </c>
      <c r="AA4938" s="609" t="s">
        <v>5716</v>
      </c>
    </row>
    <row r="4939" spans="1:27" ht="18">
      <c r="A4939" s="2714"/>
      <c r="B4939" s="371"/>
      <c r="C4939" s="371" t="s">
        <v>2565</v>
      </c>
      <c r="D4939" s="371"/>
      <c r="F4939" s="294"/>
      <c r="G4939" s="316" t="s">
        <v>3003</v>
      </c>
      <c r="H4939" s="456">
        <f>H4935</f>
        <v>0</v>
      </c>
      <c r="I4939" s="456">
        <f>I4935</f>
        <v>0</v>
      </c>
      <c r="J4939" s="351"/>
      <c r="K4939" s="351"/>
      <c r="L4939" s="350"/>
      <c r="M4939" s="350"/>
      <c r="N4939" s="350"/>
      <c r="S4939" s="364"/>
      <c r="Z4939" s="609" t="s">
        <v>4148</v>
      </c>
      <c r="AA4939" s="609" t="s">
        <v>5716</v>
      </c>
    </row>
    <row r="4940" spans="1:27" ht="18.75" thickBot="1">
      <c r="A4940" s="2714"/>
      <c r="B4940" s="371"/>
      <c r="C4940" s="371" t="s">
        <v>2565</v>
      </c>
      <c r="D4940" s="371"/>
      <c r="F4940" s="294"/>
      <c r="G4940" s="457" t="s">
        <v>2757</v>
      </c>
      <c r="H4940" s="458">
        <f ca="1">IF(AND(H4938="",H4939=""),"",ROUND(H4938-H4939,2))</f>
        <v>0</v>
      </c>
      <c r="I4940" s="458">
        <f ca="1">IF(AND(I4938="",I4939=""),"",ROUND(I4938-I4939,2))</f>
        <v>0</v>
      </c>
      <c r="J4940" s="356"/>
      <c r="K4940" s="356"/>
      <c r="L4940" s="350"/>
      <c r="M4940" s="350"/>
      <c r="N4940" s="350"/>
      <c r="S4940" s="364"/>
      <c r="Z4940" s="609" t="s">
        <v>4148</v>
      </c>
      <c r="AA4940" s="609" t="s">
        <v>5716</v>
      </c>
    </row>
    <row r="4941" spans="1:27" ht="18.75" thickTop="1">
      <c r="A4941" s="2714"/>
      <c r="B4941" s="371"/>
      <c r="C4941" s="371" t="s">
        <v>2565</v>
      </c>
      <c r="D4941" s="371"/>
      <c r="F4941" s="294"/>
      <c r="G4941" s="354"/>
      <c r="H4941" s="459" t="str">
        <f ca="1">IF(OR(H4940=0,H4940=""),"√","？")</f>
        <v>√</v>
      </c>
      <c r="I4941" s="459" t="str">
        <f ca="1">IF(OR(I4940=0,I4940=""),"√","？")</f>
        <v>√</v>
      </c>
      <c r="J4941" s="317"/>
      <c r="K4941" s="317"/>
      <c r="L4941" s="350"/>
      <c r="M4941" s="350"/>
      <c r="N4941" s="350"/>
      <c r="S4941" s="364"/>
      <c r="Z4941" s="609" t="s">
        <v>4148</v>
      </c>
      <c r="AA4941" s="609" t="s">
        <v>5716</v>
      </c>
    </row>
    <row r="4942" spans="1:27" ht="18">
      <c r="A4942" s="2714"/>
      <c r="B4942" s="371"/>
      <c r="C4942" s="371" t="s">
        <v>2565</v>
      </c>
      <c r="D4942" s="371"/>
      <c r="F4942" s="294"/>
      <c r="G4942" s="460" t="s">
        <v>2759</v>
      </c>
      <c r="H4942" s="461"/>
      <c r="I4942" s="461"/>
      <c r="J4942" s="317"/>
      <c r="K4942" s="352">
        <f ca="1">SUMIF($H$4941:$K$4941,"&lt;&gt;√",$H$4940:$K$4940)</f>
        <v>0</v>
      </c>
      <c r="L4942" s="353" t="str">
        <f ca="1">IF(OR(K4942=0,K4942=""),"√","？")</f>
        <v>√</v>
      </c>
      <c r="M4942" s="350"/>
      <c r="N4942" s="350"/>
      <c r="S4942" s="364"/>
      <c r="Z4942" s="609" t="s">
        <v>4148</v>
      </c>
      <c r="AA4942" s="609" t="s">
        <v>5716</v>
      </c>
    </row>
    <row r="4943" spans="1:27" ht="18">
      <c r="A4943" s="2714"/>
      <c r="B4943" s="371"/>
      <c r="C4943" s="371" t="s">
        <v>2565</v>
      </c>
      <c r="D4943" s="371"/>
      <c r="F4943" s="294"/>
      <c r="G4943" s="354"/>
      <c r="H4943" s="461"/>
      <c r="I4943" s="461"/>
      <c r="J4943" s="317"/>
      <c r="K4943" s="317"/>
      <c r="L4943" s="350"/>
      <c r="M4943" s="350"/>
      <c r="N4943" s="350"/>
      <c r="S4943" s="364"/>
      <c r="Z4943" s="609" t="s">
        <v>4148</v>
      </c>
      <c r="AA4943" s="609" t="s">
        <v>5716</v>
      </c>
    </row>
    <row r="4944" spans="1:27" ht="18">
      <c r="A4944" s="2714">
        <v>6711</v>
      </c>
      <c r="B4944" s="371">
        <v>75</v>
      </c>
      <c r="C4944" s="2716" t="str">
        <f>VLOOKUP($A4944,Sheet_Items,2,0)</f>
        <v>营业外支出</v>
      </c>
      <c r="D4944" s="371"/>
      <c r="E4944" s="2716" t="s">
        <v>2739</v>
      </c>
      <c r="F4944" s="294"/>
      <c r="G4944" s="305" t="str">
        <f>B4944&amp;" "&amp;C4944</f>
        <v>75 营业外支出</v>
      </c>
      <c r="H4944" s="306"/>
      <c r="I4944" s="306"/>
      <c r="J4944" s="306" t="s">
        <v>4206</v>
      </c>
      <c r="K4944" s="341">
        <f>VLOOKUP($A4944,Sheet_Trialbal,6,0)</f>
        <v>0</v>
      </c>
      <c r="L4944" s="342"/>
      <c r="M4944" s="306" t="s">
        <v>4207</v>
      </c>
      <c r="N4944" s="341">
        <f>VLOOKUP($A4944,Sheet_Trialbal,10,0)</f>
        <v>0</v>
      </c>
      <c r="O4944" s="306"/>
      <c r="P4944" s="301"/>
      <c r="S4944" s="364"/>
      <c r="Z4944" s="609" t="s">
        <v>4353</v>
      </c>
      <c r="AA4944" s="609" t="s">
        <v>5717</v>
      </c>
    </row>
    <row r="4945" spans="1:27" ht="18">
      <c r="A4945" s="2714" t="s">
        <v>1937</v>
      </c>
      <c r="B4945" s="371">
        <v>1</v>
      </c>
      <c r="C4945" s="371"/>
      <c r="D4945" s="2716" t="str">
        <f>VLOOKUP($A4945,Sheet_NoteList,2,0)</f>
        <v>营业外支出明细项目</v>
      </c>
      <c r="E4945" s="2716" t="s">
        <v>2742</v>
      </c>
      <c r="F4945" s="294"/>
      <c r="G4945" s="307" t="str">
        <f>"("&amp;B4945&amp;")"&amp;D4945</f>
        <v>(1)营业外支出明细项目</v>
      </c>
      <c r="H4945" s="1517" t="str">
        <f>$A4945</f>
        <v>6711a</v>
      </c>
      <c r="I4945" s="343" t="s">
        <v>2743</v>
      </c>
      <c r="J4945" s="301" t="s">
        <v>4210</v>
      </c>
      <c r="K4945" s="2210">
        <f>H4955</f>
        <v>0</v>
      </c>
      <c r="L4945" s="345" t="str">
        <f>IF($I4945="适用",IF(ROUND(K4944-K4945,2)=0,"F/S",ROUND(K4944-K4945,2)),"#N/A")</f>
        <v>F/S</v>
      </c>
      <c r="M4945" s="301" t="s">
        <v>4211</v>
      </c>
      <c r="N4945" s="2210">
        <f>I4955</f>
        <v>0</v>
      </c>
      <c r="O4945" s="345" t="str">
        <f>IF($I4945="适用",IF(ROUND(N4944-N4945,2)=0,"F/S",ROUND(N4944-N4945,2)),"#N/A")</f>
        <v>F/S</v>
      </c>
      <c r="P4945" s="301"/>
      <c r="Q4945" s="290" t="str">
        <f>IF($I4945="不适用","",IF(ROUND(SUM($H$4948:$J$4955),2)=0,"请输入",""))</f>
        <v>请输入</v>
      </c>
      <c r="S4945" s="364"/>
      <c r="Z4945" s="609" t="s">
        <v>4353</v>
      </c>
      <c r="AA4945" s="609" t="s">
        <v>5717</v>
      </c>
    </row>
    <row r="4946" spans="1:27" ht="0.75" customHeight="1" thickBot="1">
      <c r="A4946" s="2714"/>
      <c r="B4946" s="371"/>
      <c r="C4946" s="371"/>
      <c r="D4946" s="371"/>
      <c r="E4946" s="586"/>
      <c r="F4946" s="363"/>
      <c r="G4946" s="363" t="s">
        <v>4354</v>
      </c>
      <c r="H4946" s="294" t="s">
        <v>4223</v>
      </c>
      <c r="I4946" s="294" t="s">
        <v>4224</v>
      </c>
      <c r="J4946" s="294" t="s">
        <v>4347</v>
      </c>
      <c r="K4946" s="291"/>
      <c r="L4946" s="291"/>
      <c r="M4946" s="291"/>
      <c r="N4946" s="291"/>
      <c r="S4946" s="364"/>
      <c r="Z4946" s="609" t="s">
        <v>4353</v>
      </c>
      <c r="AA4946" s="609" t="s">
        <v>5717</v>
      </c>
    </row>
    <row r="4947" spans="1:27" ht="24">
      <c r="A4947" s="2714"/>
      <c r="B4947" s="371"/>
      <c r="C4947" s="371"/>
      <c r="D4947" s="371"/>
      <c r="E4947" s="586" t="s">
        <v>2749</v>
      </c>
      <c r="F4947" s="363"/>
      <c r="G4947" s="2457" t="s">
        <v>47</v>
      </c>
      <c r="H4947" s="2464" t="str">
        <f>$V$4</f>
        <v>2019年度</v>
      </c>
      <c r="I4947" s="2464" t="str">
        <f>$V$5</f>
        <v>2018年度</v>
      </c>
      <c r="J4947" s="2469" t="s">
        <v>4348</v>
      </c>
      <c r="K4947" s="355" t="s">
        <v>5340</v>
      </c>
      <c r="L4947" s="291"/>
      <c r="M4947" s="291"/>
      <c r="N4947" s="291"/>
      <c r="S4947" s="364"/>
      <c r="Z4947" s="609" t="s">
        <v>4353</v>
      </c>
      <c r="AA4947" s="609" t="s">
        <v>5717</v>
      </c>
    </row>
    <row r="4948" spans="1:27" ht="18">
      <c r="A4948" s="2714"/>
      <c r="B4948" s="371">
        <v>101</v>
      </c>
      <c r="C4948" s="371"/>
      <c r="D4948" s="2716">
        <f t="shared" ref="D4948:D4955" si="537">IF(OR(G4948="*",G4948="",G4948=0),0,COUNTIF($G$4948:$G$4955,G4948))</f>
        <v>1</v>
      </c>
      <c r="E4948" s="2721">
        <v>1</v>
      </c>
      <c r="F4948" s="294"/>
      <c r="G4948" s="1474" t="s">
        <v>4355</v>
      </c>
      <c r="H4948" s="2275"/>
      <c r="I4948" s="2275"/>
      <c r="J4948" s="2296"/>
      <c r="K4948" s="291"/>
      <c r="L4948" s="291"/>
      <c r="M4948" s="291"/>
      <c r="N4948" s="291"/>
      <c r="S4948" s="364"/>
      <c r="Z4948" s="609" t="s">
        <v>4353</v>
      </c>
      <c r="AA4948" s="609" t="s">
        <v>5717</v>
      </c>
    </row>
    <row r="4949" spans="1:27" ht="18">
      <c r="A4949" s="2714"/>
      <c r="B4949" s="371">
        <v>102</v>
      </c>
      <c r="C4949" s="371"/>
      <c r="D4949" s="2716">
        <f t="shared" si="537"/>
        <v>1</v>
      </c>
      <c r="E4949" s="2721">
        <v>1</v>
      </c>
      <c r="F4949" s="294"/>
      <c r="G4949" s="1474" t="s">
        <v>4356</v>
      </c>
      <c r="H4949" s="2275"/>
      <c r="I4949" s="2275"/>
      <c r="J4949" s="2296"/>
      <c r="K4949" s="291"/>
      <c r="L4949" s="291"/>
      <c r="M4949" s="291"/>
      <c r="N4949" s="291"/>
      <c r="S4949" s="364"/>
      <c r="Z4949" s="609" t="s">
        <v>4353</v>
      </c>
      <c r="AA4949" s="609" t="s">
        <v>5717</v>
      </c>
    </row>
    <row r="4950" spans="1:27" ht="18">
      <c r="A4950" s="2714"/>
      <c r="B4950" s="371">
        <v>106</v>
      </c>
      <c r="C4950" s="371"/>
      <c r="D4950" s="2716">
        <f t="shared" si="537"/>
        <v>1</v>
      </c>
      <c r="E4950" s="2721">
        <v>1</v>
      </c>
      <c r="F4950" s="294"/>
      <c r="G4950" s="1474" t="s">
        <v>4357</v>
      </c>
      <c r="H4950" s="2275"/>
      <c r="I4950" s="2275"/>
      <c r="J4950" s="2296"/>
      <c r="K4950" s="291"/>
      <c r="L4950" s="291"/>
      <c r="M4950" s="291"/>
      <c r="N4950" s="291"/>
      <c r="S4950" s="364"/>
      <c r="Z4950" s="609" t="s">
        <v>4353</v>
      </c>
      <c r="AA4950" s="609" t="s">
        <v>5717</v>
      </c>
    </row>
    <row r="4951" spans="1:27" ht="18">
      <c r="A4951" s="2714"/>
      <c r="B4951" s="371">
        <v>107</v>
      </c>
      <c r="C4951" s="371"/>
      <c r="D4951" s="2716">
        <f t="shared" si="537"/>
        <v>1</v>
      </c>
      <c r="E4951" s="2721">
        <v>1</v>
      </c>
      <c r="F4951" s="294"/>
      <c r="G4951" s="1474" t="s">
        <v>4358</v>
      </c>
      <c r="H4951" s="2275"/>
      <c r="I4951" s="2275"/>
      <c r="J4951" s="2296"/>
      <c r="K4951" s="291"/>
      <c r="L4951" s="291"/>
      <c r="M4951" s="291"/>
      <c r="N4951" s="291"/>
      <c r="S4951" s="364"/>
      <c r="Z4951" s="609" t="s">
        <v>4353</v>
      </c>
      <c r="AA4951" s="609" t="s">
        <v>5717</v>
      </c>
    </row>
    <row r="4952" spans="1:27" ht="18">
      <c r="A4952" s="2714"/>
      <c r="B4952" s="371">
        <v>108</v>
      </c>
      <c r="C4952" s="371" t="s">
        <v>2791</v>
      </c>
      <c r="D4952" s="2716">
        <f t="shared" si="537"/>
        <v>0</v>
      </c>
      <c r="E4952" s="2721">
        <v>1</v>
      </c>
      <c r="F4952" s="294"/>
      <c r="G4952" s="2467" t="s">
        <v>2792</v>
      </c>
      <c r="H4952" s="2275"/>
      <c r="I4952" s="2275"/>
      <c r="J4952" s="2296"/>
      <c r="K4952" s="291"/>
      <c r="L4952" s="291"/>
      <c r="M4952" s="291"/>
      <c r="N4952" s="291"/>
      <c r="S4952" s="364"/>
      <c r="Z4952" s="609" t="s">
        <v>4353</v>
      </c>
      <c r="AA4952" s="609" t="s">
        <v>5717</v>
      </c>
    </row>
    <row r="4953" spans="1:27" ht="18">
      <c r="A4953" s="2714"/>
      <c r="B4953" s="371">
        <v>109</v>
      </c>
      <c r="C4953" s="371" t="s">
        <v>2791</v>
      </c>
      <c r="D4953" s="2716">
        <f t="shared" si="537"/>
        <v>0</v>
      </c>
      <c r="E4953" s="2721">
        <v>1</v>
      </c>
      <c r="F4953" s="294"/>
      <c r="G4953" s="2467" t="s">
        <v>2792</v>
      </c>
      <c r="H4953" s="2275"/>
      <c r="I4953" s="2275"/>
      <c r="J4953" s="2296"/>
      <c r="K4953" s="291"/>
      <c r="L4953" s="291"/>
      <c r="M4953" s="291"/>
      <c r="N4953" s="291"/>
      <c r="S4953" s="364"/>
      <c r="Z4953" s="609" t="s">
        <v>4353</v>
      </c>
      <c r="AA4953" s="609" t="s">
        <v>5717</v>
      </c>
    </row>
    <row r="4954" spans="1:27" ht="18">
      <c r="A4954" s="2714"/>
      <c r="B4954" s="371">
        <v>110</v>
      </c>
      <c r="C4954" s="371" t="s">
        <v>2791</v>
      </c>
      <c r="D4954" s="2716">
        <f t="shared" si="537"/>
        <v>0</v>
      </c>
      <c r="E4954" s="2721">
        <v>1</v>
      </c>
      <c r="F4954" s="294"/>
      <c r="G4954" s="2467" t="s">
        <v>2792</v>
      </c>
      <c r="H4954" s="2275"/>
      <c r="I4954" s="2275"/>
      <c r="J4954" s="2296"/>
      <c r="K4954" s="291"/>
      <c r="L4954" s="291"/>
      <c r="M4954" s="291"/>
      <c r="N4954" s="291"/>
      <c r="S4954" s="364"/>
      <c r="Z4954" s="609" t="s">
        <v>4353</v>
      </c>
      <c r="AA4954" s="609" t="s">
        <v>5717</v>
      </c>
    </row>
    <row r="4955" spans="1:27" ht="18.75" thickBot="1">
      <c r="A4955" s="2714"/>
      <c r="B4955" s="371"/>
      <c r="C4955" s="371"/>
      <c r="D4955" s="2716">
        <f t="shared" si="537"/>
        <v>1</v>
      </c>
      <c r="E4955" s="2721" t="s">
        <v>2751</v>
      </c>
      <c r="F4955" s="294"/>
      <c r="G4955" s="374" t="s">
        <v>2752</v>
      </c>
      <c r="H4955" s="1478">
        <f>SUMPRODUCT($E4947:$E4954,H4947:H4954)</f>
        <v>0</v>
      </c>
      <c r="I4955" s="1478">
        <f>SUMPRODUCT($E4947:$E4954,I4947:I4954)</f>
        <v>0</v>
      </c>
      <c r="J4955" s="1479">
        <f>SUMPRODUCT($E4947:$E4954,J4947:J4954)</f>
        <v>0</v>
      </c>
      <c r="K4955" s="291"/>
      <c r="L4955" s="291"/>
      <c r="M4955" s="291"/>
      <c r="N4955" s="291"/>
      <c r="S4955" s="364"/>
      <c r="Z4955" s="609" t="s">
        <v>4353</v>
      </c>
      <c r="AA4955" s="609" t="s">
        <v>5717</v>
      </c>
    </row>
    <row r="4956" spans="1:27" ht="18">
      <c r="A4956" s="2714"/>
      <c r="B4956" s="371"/>
      <c r="C4956" s="371" t="s">
        <v>2755</v>
      </c>
      <c r="D4956" s="371"/>
      <c r="F4956" s="294"/>
      <c r="G4956" s="301"/>
      <c r="H4956" s="315"/>
      <c r="I4956" s="315"/>
      <c r="J4956" s="315"/>
      <c r="K4956" s="291"/>
      <c r="L4956" s="291"/>
      <c r="M4956" s="291"/>
      <c r="N4956" s="291"/>
      <c r="S4956" s="364"/>
      <c r="Z4956" s="609" t="s">
        <v>4353</v>
      </c>
      <c r="AA4956" s="609" t="s">
        <v>5717</v>
      </c>
    </row>
    <row r="4957" spans="1:27" ht="18">
      <c r="A4957" s="2714">
        <v>6791</v>
      </c>
      <c r="B4957" s="371">
        <v>76</v>
      </c>
      <c r="C4957" s="2716" t="str">
        <f>VLOOKUP($A4957,Sheet_Items,2,0)</f>
        <v>所得税费用</v>
      </c>
      <c r="D4957" s="371"/>
      <c r="E4957" s="2716" t="s">
        <v>2739</v>
      </c>
      <c r="F4957" s="294"/>
      <c r="G4957" s="305" t="str">
        <f>B4957&amp;" "&amp;C4957</f>
        <v>76 所得税费用</v>
      </c>
      <c r="H4957" s="306"/>
      <c r="I4957" s="306"/>
      <c r="J4957" s="306" t="s">
        <v>4206</v>
      </c>
      <c r="K4957" s="341">
        <f>VLOOKUP($A4957,Sheet_Trialbal,6,0)</f>
        <v>0</v>
      </c>
      <c r="L4957" s="342"/>
      <c r="M4957" s="306" t="s">
        <v>4207</v>
      </c>
      <c r="N4957" s="341">
        <f>VLOOKUP($A4957,Sheet_Trialbal,10,0)</f>
        <v>-926583.97</v>
      </c>
      <c r="O4957" s="306"/>
      <c r="P4957" s="301"/>
      <c r="S4957" s="364"/>
      <c r="Z4957" s="609" t="s">
        <v>4359</v>
      </c>
      <c r="AA4957" s="609" t="s">
        <v>5718</v>
      </c>
    </row>
    <row r="4958" spans="1:27" ht="18">
      <c r="A4958" s="2714" t="s">
        <v>1939</v>
      </c>
      <c r="B4958" s="371">
        <v>1</v>
      </c>
      <c r="C4958" s="371"/>
      <c r="D4958" s="2716" t="str">
        <f>VLOOKUP($A4958,Sheet_NoteList,2,0)</f>
        <v>所得税费用的组成</v>
      </c>
      <c r="E4958" s="2716" t="s">
        <v>2742</v>
      </c>
      <c r="F4958" s="294"/>
      <c r="G4958" s="307" t="str">
        <f>"("&amp;B4958&amp;")"&amp;D4958</f>
        <v>(1)所得税费用的组成</v>
      </c>
      <c r="H4958" s="1517" t="str">
        <f>$A4958</f>
        <v>6791a</v>
      </c>
      <c r="I4958" s="343" t="s">
        <v>2743</v>
      </c>
      <c r="J4958" s="301" t="s">
        <v>4210</v>
      </c>
      <c r="K4958" s="2210">
        <f>H4964</f>
        <v>0</v>
      </c>
      <c r="L4958" s="345" t="str">
        <f>IF($I4958="适用",IF(ROUND(K$4957-K4958,2)=0,"F/S",ROUND(K$4957-K4958,2)),"#N/A")</f>
        <v>F/S</v>
      </c>
      <c r="M4958" s="301" t="s">
        <v>4211</v>
      </c>
      <c r="N4958" s="2210">
        <f>I4964</f>
        <v>-926583.97</v>
      </c>
      <c r="O4958" s="345" t="str">
        <f>IF($I4958="适用",IF(ROUND(N$4957-N4958,2)=0,"F/S",ROUND(N$4957-N4958,2)),"#N/A")</f>
        <v>F/S</v>
      </c>
      <c r="P4958" s="301"/>
      <c r="Q4958" s="290" t="str">
        <f>IF($I4958="不适用","",IF(ROUND(SUM($H$4961:$I$4964),2)=0,"请输入",""))</f>
        <v/>
      </c>
      <c r="S4958" s="364"/>
      <c r="Z4958" s="609" t="s">
        <v>4359</v>
      </c>
      <c r="AA4958" s="609" t="s">
        <v>5718</v>
      </c>
    </row>
    <row r="4959" spans="1:27" ht="0.75" customHeight="1" thickBot="1">
      <c r="A4959" s="2714"/>
      <c r="B4959" s="371"/>
      <c r="C4959" s="371"/>
      <c r="D4959" s="371"/>
      <c r="F4959" s="371"/>
      <c r="G4959" s="371" t="s">
        <v>4360</v>
      </c>
      <c r="H4959" s="371" t="s">
        <v>4223</v>
      </c>
      <c r="I4959" s="371" t="s">
        <v>4224</v>
      </c>
      <c r="J4959" s="291"/>
      <c r="K4959" s="291"/>
      <c r="L4959" s="291"/>
      <c r="M4959" s="291"/>
      <c r="S4959" s="364"/>
      <c r="Z4959" s="609" t="s">
        <v>4359</v>
      </c>
      <c r="AA4959" s="609" t="s">
        <v>5718</v>
      </c>
    </row>
    <row r="4960" spans="1:27" ht="18.75" thickTop="1">
      <c r="A4960" s="2714"/>
      <c r="B4960" s="371"/>
      <c r="C4960" s="371"/>
      <c r="D4960" s="371"/>
      <c r="E4960" s="2716" t="s">
        <v>2749</v>
      </c>
      <c r="F4960" s="294"/>
      <c r="G4960" s="378" t="s">
        <v>47</v>
      </c>
      <c r="H4960" s="398" t="str">
        <f>$V$4</f>
        <v>2019年度</v>
      </c>
      <c r="I4960" s="511" t="str">
        <f>$V$5</f>
        <v>2018年度</v>
      </c>
      <c r="J4960" s="355" t="s">
        <v>5341</v>
      </c>
      <c r="K4960" s="1584" t="str">
        <f>""&amp;"&gt;本期:"&amp;""</f>
        <v>&gt;本期:</v>
      </c>
      <c r="L4960" s="1584"/>
      <c r="M4960" s="2658" t="str">
        <f>""&amp;"NoteID"&amp;""</f>
        <v>NoteID</v>
      </c>
      <c r="S4960" s="364"/>
      <c r="Z4960" s="609" t="s">
        <v>4359</v>
      </c>
      <c r="AA4960" s="609" t="s">
        <v>5718</v>
      </c>
    </row>
    <row r="4961" spans="1:27" ht="18">
      <c r="A4961" s="2714"/>
      <c r="B4961" s="371">
        <v>101</v>
      </c>
      <c r="C4961" s="371"/>
      <c r="D4961" s="2716">
        <f>IF(OR(G4961="*",G4961="",G4961=0),0,COUNTIF($G$4961:$G$4964,G4961))</f>
        <v>1</v>
      </c>
      <c r="E4961" s="2721">
        <v>1</v>
      </c>
      <c r="F4961" s="294"/>
      <c r="G4961" s="380" t="s">
        <v>4361</v>
      </c>
      <c r="H4961" s="383"/>
      <c r="I4961" s="401">
        <v>10533.59</v>
      </c>
      <c r="J4961" s="291"/>
      <c r="K4961" s="2252">
        <f ca="1">HYPERLINK("#'"&amp;$G$1&amp;"'!"&amp;ADDRESS(ROW(Notes!J3732),COLUMN(Notes!J3732),4),J3732)</f>
        <v>0</v>
      </c>
      <c r="L4961" s="456"/>
      <c r="M4961" s="2665" t="str">
        <f>H3727</f>
        <v>2221a</v>
      </c>
      <c r="S4961" s="364"/>
      <c r="Z4961" s="609" t="s">
        <v>4359</v>
      </c>
      <c r="AA4961" s="609" t="s">
        <v>5718</v>
      </c>
    </row>
    <row r="4962" spans="1:27" ht="18">
      <c r="A4962" s="2714"/>
      <c r="B4962" s="371">
        <v>102</v>
      </c>
      <c r="C4962" s="371"/>
      <c r="D4962" s="2716">
        <f>IF(OR(G4962="*",G4962="",G4962=0),0,COUNTIF($G$4961:$G$4964,G4962))</f>
        <v>1</v>
      </c>
      <c r="E4962" s="2721">
        <v>1</v>
      </c>
      <c r="F4962" s="294"/>
      <c r="G4962" s="380" t="s">
        <v>4362</v>
      </c>
      <c r="H4962" s="383"/>
      <c r="I4962" s="401">
        <v>-937117.56</v>
      </c>
      <c r="J4962" s="291"/>
      <c r="K4962" s="456"/>
      <c r="L4962" s="456"/>
      <c r="M4962" s="2666"/>
      <c r="S4962" s="364"/>
      <c r="Z4962" s="609" t="s">
        <v>4359</v>
      </c>
      <c r="AA4962" s="609" t="s">
        <v>5718</v>
      </c>
    </row>
    <row r="4963" spans="1:27" ht="18">
      <c r="A4963" s="2714"/>
      <c r="B4963" s="371">
        <v>103</v>
      </c>
      <c r="C4963" s="371" t="s">
        <v>2791</v>
      </c>
      <c r="D4963" s="2716">
        <f>IF(OR(G4963="*",G4963="",G4963=0),0,COUNTIF($G$4961:$G$4964,G4963))</f>
        <v>0</v>
      </c>
      <c r="E4963" s="2721">
        <v>1</v>
      </c>
      <c r="F4963" s="294"/>
      <c r="G4963" s="409" t="s">
        <v>2792</v>
      </c>
      <c r="H4963" s="383"/>
      <c r="I4963" s="401"/>
      <c r="J4963" s="291"/>
      <c r="K4963" s="456"/>
      <c r="L4963" s="456"/>
      <c r="M4963" s="2666"/>
      <c r="S4963" s="364"/>
      <c r="Z4963" s="609" t="s">
        <v>4359</v>
      </c>
      <c r="AA4963" s="609" t="s">
        <v>5718</v>
      </c>
    </row>
    <row r="4964" spans="1:27" ht="18.75" thickBot="1">
      <c r="A4964" s="2714"/>
      <c r="B4964" s="371"/>
      <c r="C4964" s="371"/>
      <c r="D4964" s="2716">
        <f>IF(OR(G4964="*",G4964="",G4964=0),0,COUNTIF($G$4961:$G$4964,G4964))</f>
        <v>1</v>
      </c>
      <c r="E4964" s="2721" t="s">
        <v>2751</v>
      </c>
      <c r="F4964" s="294"/>
      <c r="G4964" s="403" t="s">
        <v>2752</v>
      </c>
      <c r="H4964" s="503">
        <f>SUMPRODUCT($E4960:$E4963,H4960:H4963)</f>
        <v>0</v>
      </c>
      <c r="I4964" s="515">
        <f>SUMPRODUCT($E4960:$E4963,I4960:I4963)</f>
        <v>-926583.97</v>
      </c>
      <c r="J4964" s="291"/>
      <c r="K4964" s="1531">
        <f t="shared" ref="K4964:L4964" ca="1" si="538">SUM(K4961:K4963)</f>
        <v>0</v>
      </c>
      <c r="L4964" s="1531">
        <f t="shared" si="538"/>
        <v>0</v>
      </c>
      <c r="M4964" s="2667"/>
      <c r="S4964" s="364"/>
      <c r="Z4964" s="609" t="s">
        <v>4359</v>
      </c>
      <c r="AA4964" s="609" t="s">
        <v>5718</v>
      </c>
    </row>
    <row r="4965" spans="1:27" ht="18">
      <c r="A4965" s="2714"/>
      <c r="B4965" s="371"/>
      <c r="C4965" s="371" t="s">
        <v>2755</v>
      </c>
      <c r="D4965" s="371"/>
      <c r="F4965" s="294"/>
      <c r="G4965" s="301"/>
      <c r="H4965" s="349"/>
      <c r="I4965" s="349"/>
      <c r="J4965" s="291"/>
      <c r="K4965" s="1539" t="s">
        <v>5505</v>
      </c>
      <c r="L4965" s="354"/>
      <c r="M4965" s="354"/>
      <c r="S4965" s="364"/>
      <c r="Z4965" s="609" t="s">
        <v>4359</v>
      </c>
      <c r="AA4965" s="609" t="s">
        <v>5718</v>
      </c>
    </row>
    <row r="4966" spans="1:27" ht="24">
      <c r="A4966" s="2714" t="s">
        <v>1941</v>
      </c>
      <c r="B4966" s="371">
        <v>2</v>
      </c>
      <c r="C4966" s="371"/>
      <c r="D4966" s="2716" t="str">
        <f>VLOOKUP($A4966,Sheet_NoteList,2,0)</f>
        <v>会计利润与所得税费用调整过程</v>
      </c>
      <c r="E4966" s="2716" t="s">
        <v>2742</v>
      </c>
      <c r="F4966" s="294"/>
      <c r="G4966" s="372" t="str">
        <f>"("&amp;B4966&amp;")"&amp;D4966</f>
        <v>(2)会计利润与所得税费用调整过程</v>
      </c>
      <c r="H4966" s="1517" t="str">
        <f>$A4966</f>
        <v>6791b</v>
      </c>
      <c r="I4966" s="343" t="s">
        <v>2743</v>
      </c>
      <c r="J4966" s="301" t="s">
        <v>4210</v>
      </c>
      <c r="K4966" s="2210">
        <f>H4982</f>
        <v>0</v>
      </c>
      <c r="L4966" s="345" t="str">
        <f>IF($I4966="适用",IF(ROUND(K$4957-K4966,2)=0,"F/S",ROUND(K$4957-K4966,2)),"#N/A")</f>
        <v>F/S</v>
      </c>
      <c r="M4966" s="301" t="s">
        <v>4211</v>
      </c>
      <c r="N4966" s="2210">
        <f>I4982</f>
        <v>-926583.97</v>
      </c>
      <c r="O4966" s="345" t="str">
        <f>IF($I4966="适用",IF(ROUND(N$4957-N4966,2)=0,"F/S",ROUND(N$4957-N4966,2)),"#N/A")</f>
        <v>F/S</v>
      </c>
      <c r="P4966" s="301"/>
      <c r="Q4966" s="290" t="str">
        <f>IF($I4966="不适用","",IF(ROUND(SUM($H$4969:$I$4982),2)=0,"请输入",""))</f>
        <v/>
      </c>
      <c r="S4966" s="364"/>
      <c r="Z4966" s="609" t="s">
        <v>4359</v>
      </c>
      <c r="AA4966" s="609" t="s">
        <v>5718</v>
      </c>
    </row>
    <row r="4967" spans="1:27" ht="0.75" customHeight="1" thickBot="1">
      <c r="A4967" s="2714"/>
      <c r="B4967" s="371"/>
      <c r="C4967" s="371"/>
      <c r="D4967" s="371"/>
      <c r="E4967" s="586"/>
      <c r="F4967" s="363"/>
      <c r="G4967" s="363" t="s">
        <v>4363</v>
      </c>
      <c r="H4967" s="294" t="s">
        <v>4223</v>
      </c>
      <c r="I4967" s="294" t="s">
        <v>4224</v>
      </c>
      <c r="J4967" s="291"/>
      <c r="K4967" s="291"/>
      <c r="L4967" s="291"/>
      <c r="M4967" s="291"/>
      <c r="S4967" s="364"/>
      <c r="Z4967" s="609" t="s">
        <v>4359</v>
      </c>
      <c r="AA4967" s="609" t="s">
        <v>5718</v>
      </c>
    </row>
    <row r="4968" spans="1:27" ht="18">
      <c r="A4968" s="2714"/>
      <c r="B4968" s="371"/>
      <c r="C4968" s="371"/>
      <c r="D4968" s="371"/>
      <c r="E4968" s="586" t="s">
        <v>2749</v>
      </c>
      <c r="F4968" s="363"/>
      <c r="G4968" s="2556" t="s">
        <v>47</v>
      </c>
      <c r="H4968" s="2555" t="str">
        <f>$V$4</f>
        <v>2019年度</v>
      </c>
      <c r="I4968" s="2611" t="str">
        <f>$V$5</f>
        <v>2018年度</v>
      </c>
      <c r="J4968" s="355" t="s">
        <v>5341</v>
      </c>
      <c r="K4968" s="291"/>
      <c r="L4968" s="291"/>
      <c r="M4968" s="291"/>
      <c r="S4968" s="364"/>
      <c r="Z4968" s="609" t="s">
        <v>4359</v>
      </c>
      <c r="AA4968" s="609" t="s">
        <v>5718</v>
      </c>
    </row>
    <row r="4969" spans="1:27" ht="18">
      <c r="A4969" s="2714"/>
      <c r="B4969" s="371">
        <v>101</v>
      </c>
      <c r="C4969" s="371"/>
      <c r="D4969" s="2716">
        <f t="shared" ref="D4969:D4982" si="539">IF(OR(G4969="*",G4969="",G4969=0),0,COUNTIF($G$4969:$G$4982,G4969))</f>
        <v>1</v>
      </c>
      <c r="E4969" s="2721">
        <v>0</v>
      </c>
      <c r="F4969" s="294"/>
      <c r="G4969" s="1474" t="s">
        <v>861</v>
      </c>
      <c r="H4969" s="2275">
        <f>IS!E28</f>
        <v>-2382740.34</v>
      </c>
      <c r="I4969" s="2296">
        <v>1636993.18</v>
      </c>
      <c r="J4969" s="291"/>
      <c r="K4969" s="291"/>
      <c r="L4969" s="291"/>
      <c r="M4969" s="291"/>
      <c r="S4969" s="364"/>
      <c r="Z4969" s="609" t="s">
        <v>4359</v>
      </c>
      <c r="AA4969" s="609" t="s">
        <v>5718</v>
      </c>
    </row>
    <row r="4970" spans="1:27" ht="24">
      <c r="A4970" s="2714"/>
      <c r="B4970" s="371">
        <v>102</v>
      </c>
      <c r="C4970" s="371"/>
      <c r="D4970" s="2716">
        <f t="shared" si="539"/>
        <v>1</v>
      </c>
      <c r="E4970" s="2721">
        <v>1</v>
      </c>
      <c r="F4970" s="294"/>
      <c r="G4970" s="1474" t="s">
        <v>6147</v>
      </c>
      <c r="H4970" s="2275">
        <f>H4969*0.25</f>
        <v>-595685.09</v>
      </c>
      <c r="I4970" s="2296">
        <v>409248.3</v>
      </c>
      <c r="J4970" s="291"/>
      <c r="K4970" s="291"/>
      <c r="L4970" s="291"/>
      <c r="M4970" s="291"/>
      <c r="S4970" s="364"/>
      <c r="Z4970" s="609" t="s">
        <v>4359</v>
      </c>
      <c r="AA4970" s="609" t="s">
        <v>5718</v>
      </c>
    </row>
    <row r="4971" spans="1:27" ht="18">
      <c r="A4971" s="2714"/>
      <c r="B4971" s="371">
        <v>103</v>
      </c>
      <c r="C4971" s="371"/>
      <c r="D4971" s="2716">
        <f t="shared" si="539"/>
        <v>1</v>
      </c>
      <c r="E4971" s="2721">
        <v>1</v>
      </c>
      <c r="F4971" s="294"/>
      <c r="G4971" s="1474" t="s">
        <v>4364</v>
      </c>
      <c r="H4971" s="2275"/>
      <c r="I4971" s="2296"/>
      <c r="J4971" s="291"/>
      <c r="K4971" s="291"/>
      <c r="L4971" s="291"/>
      <c r="M4971" s="291"/>
      <c r="S4971" s="364"/>
      <c r="Z4971" s="609" t="s">
        <v>4359</v>
      </c>
      <c r="AA4971" s="609" t="s">
        <v>5718</v>
      </c>
    </row>
    <row r="4972" spans="1:27" ht="18">
      <c r="A4972" s="2714"/>
      <c r="B4972" s="371">
        <v>104</v>
      </c>
      <c r="C4972" s="371"/>
      <c r="D4972" s="2716">
        <f t="shared" si="539"/>
        <v>1</v>
      </c>
      <c r="E4972" s="2721">
        <v>1</v>
      </c>
      <c r="F4972" s="294"/>
      <c r="G4972" s="1474" t="s">
        <v>4365</v>
      </c>
      <c r="H4972" s="2275"/>
      <c r="I4972" s="2296">
        <v>10533.59</v>
      </c>
      <c r="J4972" s="291"/>
      <c r="K4972" s="291"/>
      <c r="L4972" s="291"/>
      <c r="M4972" s="291"/>
      <c r="S4972" s="364"/>
      <c r="Z4972" s="609" t="s">
        <v>4359</v>
      </c>
      <c r="AA4972" s="609" t="s">
        <v>5718</v>
      </c>
    </row>
    <row r="4973" spans="1:27" ht="18">
      <c r="A4973" s="2714"/>
      <c r="B4973" s="371">
        <v>105</v>
      </c>
      <c r="C4973" s="371"/>
      <c r="D4973" s="2716">
        <f t="shared" si="539"/>
        <v>1</v>
      </c>
      <c r="E4973" s="2721">
        <v>1</v>
      </c>
      <c r="F4973" s="294"/>
      <c r="G4973" s="1474" t="s">
        <v>4366</v>
      </c>
      <c r="H4973" s="2275"/>
      <c r="I4973" s="2296"/>
      <c r="J4973" s="291"/>
      <c r="K4973" s="291"/>
      <c r="L4973" s="291"/>
      <c r="M4973" s="291"/>
      <c r="S4973" s="364"/>
      <c r="Z4973" s="609" t="s">
        <v>4359</v>
      </c>
      <c r="AA4973" s="609" t="s">
        <v>5718</v>
      </c>
    </row>
    <row r="4974" spans="1:27" ht="24">
      <c r="A4974" s="2714"/>
      <c r="B4974" s="371">
        <v>106</v>
      </c>
      <c r="C4974" s="371"/>
      <c r="D4974" s="2716">
        <f t="shared" si="539"/>
        <v>1</v>
      </c>
      <c r="E4974" s="2721">
        <v>1</v>
      </c>
      <c r="F4974" s="294"/>
      <c r="G4974" s="1474" t="s">
        <v>4367</v>
      </c>
      <c r="H4974" s="2275"/>
      <c r="I4974" s="2296">
        <v>33905.730000000003</v>
      </c>
      <c r="J4974" s="291"/>
      <c r="K4974" s="291"/>
      <c r="L4974" s="291"/>
      <c r="M4974" s="291"/>
      <c r="S4974" s="364"/>
      <c r="Z4974" s="609" t="s">
        <v>4359</v>
      </c>
      <c r="AA4974" s="609" t="s">
        <v>5718</v>
      </c>
    </row>
    <row r="4975" spans="1:27" ht="24">
      <c r="A4975" s="2714"/>
      <c r="B4975" s="371">
        <v>107</v>
      </c>
      <c r="C4975" s="371"/>
      <c r="D4975" s="2716">
        <f t="shared" si="539"/>
        <v>1</v>
      </c>
      <c r="E4975" s="2721">
        <v>1</v>
      </c>
      <c r="F4975" s="294"/>
      <c r="G4975" s="1474" t="s">
        <v>4368</v>
      </c>
      <c r="H4975" s="2275"/>
      <c r="I4975" s="2296"/>
      <c r="J4975" s="291"/>
      <c r="K4975" s="291"/>
      <c r="L4975" s="291"/>
      <c r="M4975" s="291"/>
      <c r="S4975" s="364"/>
      <c r="Z4975" s="609" t="s">
        <v>4359</v>
      </c>
      <c r="AA4975" s="609" t="s">
        <v>5718</v>
      </c>
    </row>
    <row r="4976" spans="1:27" ht="36">
      <c r="A4976" s="2714"/>
      <c r="B4976" s="371">
        <v>108</v>
      </c>
      <c r="C4976" s="371"/>
      <c r="D4976" s="2716">
        <f t="shared" si="539"/>
        <v>1</v>
      </c>
      <c r="E4976" s="2721">
        <v>1</v>
      </c>
      <c r="F4976" s="294"/>
      <c r="G4976" s="1474" t="s">
        <v>4369</v>
      </c>
      <c r="H4976" s="2275">
        <v>595685.09</v>
      </c>
      <c r="I4976" s="2296"/>
      <c r="J4976" s="291"/>
      <c r="K4976" s="291"/>
      <c r="L4976" s="291"/>
      <c r="M4976" s="291"/>
      <c r="S4976" s="364"/>
      <c r="Z4976" s="609" t="s">
        <v>4359</v>
      </c>
      <c r="AA4976" s="609" t="s">
        <v>5718</v>
      </c>
    </row>
    <row r="4977" spans="1:27" ht="18">
      <c r="A4977" s="2714"/>
      <c r="B4977" s="371">
        <v>109</v>
      </c>
      <c r="C4977" s="371"/>
      <c r="D4977" s="2716">
        <f t="shared" si="539"/>
        <v>1</v>
      </c>
      <c r="E4977" s="2721">
        <v>1</v>
      </c>
      <c r="F4977" s="294"/>
      <c r="G4977" s="1474" t="s">
        <v>4370</v>
      </c>
      <c r="H4977" s="2275"/>
      <c r="I4977" s="2296"/>
      <c r="J4977" s="291"/>
      <c r="K4977" s="291"/>
      <c r="L4977" s="291"/>
      <c r="M4977" s="291"/>
      <c r="S4977" s="364"/>
      <c r="Z4977" s="609" t="s">
        <v>4359</v>
      </c>
      <c r="AA4977" s="609" t="s">
        <v>5718</v>
      </c>
    </row>
    <row r="4978" spans="1:27" ht="24">
      <c r="A4978" s="2714"/>
      <c r="B4978" s="371">
        <v>110</v>
      </c>
      <c r="C4978" s="371" t="s">
        <v>2791</v>
      </c>
      <c r="D4978" s="2716">
        <f t="shared" si="539"/>
        <v>1</v>
      </c>
      <c r="E4978" s="2721">
        <v>1</v>
      </c>
      <c r="F4978" s="294"/>
      <c r="G4978" s="2568" t="s">
        <v>6913</v>
      </c>
      <c r="H4978" s="2275"/>
      <c r="I4978" s="2296">
        <v>-1380271.59</v>
      </c>
      <c r="J4978" s="291"/>
      <c r="K4978" s="291"/>
      <c r="L4978" s="291"/>
      <c r="M4978" s="291"/>
      <c r="S4978" s="364"/>
      <c r="Z4978" s="609" t="s">
        <v>4359</v>
      </c>
      <c r="AA4978" s="609" t="s">
        <v>5718</v>
      </c>
    </row>
    <row r="4979" spans="1:27" ht="18">
      <c r="A4979" s="2714"/>
      <c r="B4979" s="371">
        <v>111</v>
      </c>
      <c r="C4979" s="371" t="s">
        <v>2791</v>
      </c>
      <c r="D4979" s="2716">
        <f t="shared" si="539"/>
        <v>0</v>
      </c>
      <c r="E4979" s="2721">
        <v>1</v>
      </c>
      <c r="F4979" s="294"/>
      <c r="G4979" s="2568" t="s">
        <v>2792</v>
      </c>
      <c r="H4979" s="2275"/>
      <c r="I4979" s="2296"/>
      <c r="J4979" s="291"/>
      <c r="K4979" s="291"/>
      <c r="L4979" s="291"/>
      <c r="M4979" s="291"/>
      <c r="S4979" s="364"/>
      <c r="Z4979" s="609" t="s">
        <v>4359</v>
      </c>
      <c r="AA4979" s="609" t="s">
        <v>5718</v>
      </c>
    </row>
    <row r="4980" spans="1:27" ht="18">
      <c r="A4980" s="2714"/>
      <c r="B4980" s="371">
        <v>112</v>
      </c>
      <c r="C4980" s="371" t="s">
        <v>2791</v>
      </c>
      <c r="D4980" s="2716">
        <f t="shared" si="539"/>
        <v>0</v>
      </c>
      <c r="E4980" s="2721">
        <v>1</v>
      </c>
      <c r="F4980" s="294"/>
      <c r="G4980" s="2568" t="s">
        <v>2792</v>
      </c>
      <c r="H4980" s="2275"/>
      <c r="I4980" s="2296"/>
      <c r="J4980" s="291"/>
      <c r="K4980" s="291"/>
      <c r="L4980" s="291"/>
      <c r="M4980" s="291"/>
      <c r="S4980" s="364"/>
      <c r="Z4980" s="609" t="s">
        <v>4359</v>
      </c>
      <c r="AA4980" s="609" t="s">
        <v>5718</v>
      </c>
    </row>
    <row r="4981" spans="1:27" ht="18">
      <c r="A4981" s="2714"/>
      <c r="B4981" s="371">
        <v>113</v>
      </c>
      <c r="C4981" s="371" t="s">
        <v>2791</v>
      </c>
      <c r="D4981" s="2716">
        <f t="shared" si="539"/>
        <v>0</v>
      </c>
      <c r="E4981" s="2721">
        <v>1</v>
      </c>
      <c r="F4981" s="294"/>
      <c r="G4981" s="2568" t="s">
        <v>2792</v>
      </c>
      <c r="H4981" s="2275"/>
      <c r="I4981" s="2296"/>
      <c r="J4981" s="291"/>
      <c r="K4981" s="291"/>
      <c r="L4981" s="291"/>
      <c r="M4981" s="291"/>
      <c r="S4981" s="364"/>
      <c r="Z4981" s="609" t="s">
        <v>4359</v>
      </c>
      <c r="AA4981" s="609" t="s">
        <v>5718</v>
      </c>
    </row>
    <row r="4982" spans="1:27" ht="18.75" thickBot="1">
      <c r="A4982" s="2714"/>
      <c r="B4982" s="371"/>
      <c r="C4982" s="371"/>
      <c r="D4982" s="2716">
        <f t="shared" si="539"/>
        <v>1</v>
      </c>
      <c r="E4982" s="2721" t="s">
        <v>2751</v>
      </c>
      <c r="F4982" s="294"/>
      <c r="G4982" s="2234" t="s">
        <v>717</v>
      </c>
      <c r="H4982" s="2430">
        <f>SUMPRODUCT($E4968:$E4981,H4968:H4981)</f>
        <v>0</v>
      </c>
      <c r="I4982" s="2431">
        <f>SUMPRODUCT($E4968:$E4981,I4968:I4981)</f>
        <v>-926583.97</v>
      </c>
      <c r="J4982" s="355"/>
      <c r="K4982" s="291"/>
      <c r="L4982" s="291"/>
      <c r="M4982" s="291"/>
      <c r="S4982" s="364"/>
      <c r="Z4982" s="609" t="s">
        <v>4359</v>
      </c>
      <c r="AA4982" s="609" t="s">
        <v>5718</v>
      </c>
    </row>
    <row r="4983" spans="1:27" ht="18">
      <c r="A4983" s="2714"/>
      <c r="B4983" s="371"/>
      <c r="C4983" s="371" t="s">
        <v>2755</v>
      </c>
      <c r="D4983" s="371"/>
      <c r="F4983" s="294"/>
      <c r="G4983" s="301"/>
      <c r="H4983" s="315"/>
      <c r="I4983" s="315"/>
      <c r="J4983" s="291"/>
      <c r="K4983" s="291"/>
      <c r="L4983" s="291"/>
      <c r="M4983" s="291"/>
      <c r="S4983" s="364"/>
      <c r="Z4983" s="609" t="s">
        <v>4359</v>
      </c>
      <c r="AA4983" s="609" t="s">
        <v>5718</v>
      </c>
    </row>
    <row r="4984" spans="1:27" ht="18">
      <c r="A4984" s="2714">
        <v>9690</v>
      </c>
      <c r="B4984" s="371">
        <v>9000</v>
      </c>
      <c r="C4984" s="2716" t="str">
        <f>VLOOKUP($A4984,Sheet_Items,2,0)</f>
        <v>补充资料</v>
      </c>
      <c r="D4984" s="371"/>
      <c r="E4984" s="2716" t="s">
        <v>2739</v>
      </c>
      <c r="F4984" s="294"/>
      <c r="G4984" s="305" t="str">
        <f>B4984&amp;" "&amp;C4984</f>
        <v>9000 补充资料</v>
      </c>
      <c r="H4984" s="306"/>
      <c r="I4984" s="306"/>
      <c r="J4984" s="306"/>
      <c r="K4984" s="539"/>
      <c r="L4984" s="342"/>
      <c r="M4984" s="306"/>
      <c r="N4984" s="539"/>
      <c r="O4984" s="306"/>
      <c r="P4984" s="301"/>
      <c r="S4984" s="364"/>
      <c r="Z4984" s="609" t="s">
        <v>2195</v>
      </c>
      <c r="AA4984" s="371"/>
    </row>
    <row r="4985" spans="1:27" ht="24">
      <c r="A4985" s="2714" t="s">
        <v>2193</v>
      </c>
      <c r="B4985" s="371">
        <v>1</v>
      </c>
      <c r="C4985" s="371"/>
      <c r="D4985" s="2716" t="str">
        <f>VLOOKUP($A4985,Sheet_NoteList,2,0)</f>
        <v>费用按性质分类的补充资料</v>
      </c>
      <c r="E4985" s="2716" t="s">
        <v>6530</v>
      </c>
      <c r="F4985" s="294"/>
      <c r="G4985" s="372" t="str">
        <f>"("&amp;B4985&amp;")"&amp;D4985</f>
        <v>(1)费用按性质分类的补充资料</v>
      </c>
      <c r="H4985" s="1517" t="str">
        <f>$A4985</f>
        <v>9690a</v>
      </c>
      <c r="I4985" s="343" t="s">
        <v>5124</v>
      </c>
      <c r="J4985" s="301" t="s">
        <v>5491</v>
      </c>
      <c r="K4985" s="2210">
        <f>H4997</f>
        <v>0</v>
      </c>
      <c r="L4985" s="345"/>
      <c r="M4985" s="301" t="s">
        <v>5492</v>
      </c>
      <c r="N4985" s="2210">
        <f>I4997</f>
        <v>0</v>
      </c>
      <c r="O4985" s="345"/>
      <c r="P4985" s="301"/>
      <c r="S4985" s="364"/>
      <c r="Z4985" s="609" t="s">
        <v>2195</v>
      </c>
      <c r="AA4985" s="609"/>
    </row>
    <row r="4986" spans="1:27" ht="0.75" customHeight="1" thickBot="1">
      <c r="A4986" s="2714"/>
      <c r="B4986" s="371"/>
      <c r="C4986" s="371"/>
      <c r="D4986" s="371"/>
      <c r="F4986" s="371"/>
      <c r="G4986" s="371" t="s">
        <v>4371</v>
      </c>
      <c r="H4986" s="371" t="s">
        <v>4223</v>
      </c>
      <c r="I4986" s="371" t="s">
        <v>4224</v>
      </c>
      <c r="J4986" s="291"/>
      <c r="K4986" s="291"/>
      <c r="L4986" s="291"/>
      <c r="M4986" s="291"/>
      <c r="S4986" s="364"/>
      <c r="Z4986" s="609" t="s">
        <v>2195</v>
      </c>
      <c r="AA4986" s="609"/>
    </row>
    <row r="4987" spans="1:27" ht="18">
      <c r="A4987" s="2714"/>
      <c r="B4987" s="371"/>
      <c r="C4987" s="371"/>
      <c r="D4987" s="371"/>
      <c r="E4987" s="2716" t="s">
        <v>2749</v>
      </c>
      <c r="F4987" s="294"/>
      <c r="G4987" s="1582" t="s">
        <v>47</v>
      </c>
      <c r="H4987" s="1580" t="str">
        <f>$V$4</f>
        <v>2019年度</v>
      </c>
      <c r="I4987" s="1581" t="str">
        <f>$V$5</f>
        <v>2018年度</v>
      </c>
      <c r="J4987" s="424" t="s">
        <v>4372</v>
      </c>
      <c r="K4987" s="291"/>
      <c r="L4987" s="291"/>
      <c r="M4987" s="291"/>
      <c r="S4987" s="364"/>
      <c r="Z4987" s="609" t="s">
        <v>2195</v>
      </c>
      <c r="AA4987" s="609"/>
    </row>
    <row r="4988" spans="1:27" ht="18">
      <c r="A4988" s="2714"/>
      <c r="B4988" s="371">
        <v>101</v>
      </c>
      <c r="C4988" s="371"/>
      <c r="D4988" s="2716">
        <f t="shared" ref="D4988:D4997" si="540">IF(OR(G4988="*",G4988="",G4988=0),0,COUNTIF($G$4988:$G$4997,G4988))</f>
        <v>1</v>
      </c>
      <c r="E4988" s="2721">
        <v>1</v>
      </c>
      <c r="F4988" s="294"/>
      <c r="G4988" s="308" t="s">
        <v>4373</v>
      </c>
      <c r="H4988" s="309"/>
      <c r="I4988" s="346"/>
      <c r="J4988" s="579"/>
      <c r="K4988" s="291"/>
      <c r="L4988" s="291"/>
      <c r="M4988" s="291"/>
      <c r="S4988" s="364"/>
      <c r="Z4988" s="609" t="s">
        <v>2195</v>
      </c>
      <c r="AA4988" s="609"/>
    </row>
    <row r="4989" spans="1:27" ht="18">
      <c r="A4989" s="2714"/>
      <c r="B4989" s="371">
        <v>102</v>
      </c>
      <c r="C4989" s="371"/>
      <c r="D4989" s="2716">
        <f t="shared" si="540"/>
        <v>1</v>
      </c>
      <c r="E4989" s="2721">
        <v>1</v>
      </c>
      <c r="F4989" s="294"/>
      <c r="G4989" s="308" t="s">
        <v>4374</v>
      </c>
      <c r="H4989" s="309"/>
      <c r="I4989" s="346"/>
      <c r="J4989" s="291"/>
      <c r="K4989" s="291"/>
      <c r="L4989" s="291"/>
      <c r="M4989" s="291"/>
      <c r="S4989" s="364"/>
      <c r="Z4989" s="609" t="s">
        <v>2195</v>
      </c>
      <c r="AA4989" s="609"/>
    </row>
    <row r="4990" spans="1:27" ht="18">
      <c r="A4990" s="2714"/>
      <c r="B4990" s="371">
        <v>103</v>
      </c>
      <c r="C4990" s="371"/>
      <c r="D4990" s="2716">
        <f t="shared" si="540"/>
        <v>1</v>
      </c>
      <c r="E4990" s="2721">
        <v>1</v>
      </c>
      <c r="F4990" s="294"/>
      <c r="G4990" s="308" t="s">
        <v>4375</v>
      </c>
      <c r="H4990" s="309"/>
      <c r="I4990" s="346"/>
      <c r="J4990" s="291"/>
      <c r="K4990" s="291"/>
      <c r="L4990" s="291"/>
      <c r="M4990" s="291"/>
      <c r="S4990" s="364"/>
      <c r="Z4990" s="609" t="s">
        <v>2195</v>
      </c>
      <c r="AA4990" s="609"/>
    </row>
    <row r="4991" spans="1:27" ht="18">
      <c r="A4991" s="2714"/>
      <c r="B4991" s="371">
        <v>104</v>
      </c>
      <c r="C4991" s="371"/>
      <c r="D4991" s="2716">
        <f t="shared" si="540"/>
        <v>1</v>
      </c>
      <c r="E4991" s="2721">
        <v>1</v>
      </c>
      <c r="F4991" s="294"/>
      <c r="G4991" s="308" t="s">
        <v>4376</v>
      </c>
      <c r="H4991" s="309"/>
      <c r="I4991" s="346"/>
      <c r="J4991" s="291"/>
      <c r="K4991" s="291"/>
      <c r="L4991" s="291"/>
      <c r="M4991" s="291"/>
      <c r="S4991" s="364"/>
      <c r="Z4991" s="609" t="s">
        <v>2195</v>
      </c>
      <c r="AA4991" s="609"/>
    </row>
    <row r="4992" spans="1:27" ht="18">
      <c r="A4992" s="2714"/>
      <c r="B4992" s="371">
        <v>105</v>
      </c>
      <c r="C4992" s="371"/>
      <c r="D4992" s="2716">
        <f t="shared" si="540"/>
        <v>1</v>
      </c>
      <c r="E4992" s="2721">
        <v>1</v>
      </c>
      <c r="F4992" s="294"/>
      <c r="G4992" s="308" t="s">
        <v>4377</v>
      </c>
      <c r="H4992" s="309"/>
      <c r="I4992" s="346"/>
      <c r="J4992" s="291"/>
      <c r="K4992" s="291"/>
      <c r="L4992" s="291"/>
      <c r="M4992" s="291"/>
      <c r="S4992" s="364"/>
      <c r="Z4992" s="609" t="s">
        <v>2195</v>
      </c>
      <c r="AA4992" s="609"/>
    </row>
    <row r="4993" spans="1:27" ht="18">
      <c r="A4993" s="2714"/>
      <c r="B4993" s="371">
        <v>106</v>
      </c>
      <c r="C4993" s="371"/>
      <c r="D4993" s="2716">
        <f t="shared" si="540"/>
        <v>1</v>
      </c>
      <c r="E4993" s="2721">
        <v>1</v>
      </c>
      <c r="F4993" s="294"/>
      <c r="G4993" s="308" t="s">
        <v>4378</v>
      </c>
      <c r="H4993" s="309"/>
      <c r="I4993" s="346"/>
      <c r="J4993" s="291"/>
      <c r="K4993" s="291"/>
      <c r="L4993" s="291"/>
      <c r="M4993" s="291"/>
      <c r="S4993" s="364"/>
      <c r="Z4993" s="609" t="s">
        <v>2195</v>
      </c>
      <c r="AA4993" s="609"/>
    </row>
    <row r="4994" spans="1:27" ht="18">
      <c r="A4994" s="2714"/>
      <c r="B4994" s="371">
        <v>107</v>
      </c>
      <c r="C4994" s="371"/>
      <c r="D4994" s="2716">
        <f t="shared" si="540"/>
        <v>1</v>
      </c>
      <c r="E4994" s="2721">
        <v>1</v>
      </c>
      <c r="F4994" s="294"/>
      <c r="G4994" s="308" t="s">
        <v>689</v>
      </c>
      <c r="H4994" s="309"/>
      <c r="I4994" s="346"/>
      <c r="J4994" s="291"/>
      <c r="K4994" s="291"/>
      <c r="L4994" s="291"/>
      <c r="M4994" s="291"/>
      <c r="S4994" s="364"/>
      <c r="Z4994" s="609" t="s">
        <v>2195</v>
      </c>
      <c r="AA4994" s="609"/>
    </row>
    <row r="4995" spans="1:27" ht="18">
      <c r="A4995" s="2714"/>
      <c r="B4995" s="371">
        <v>108</v>
      </c>
      <c r="C4995" s="371"/>
      <c r="D4995" s="2716">
        <f t="shared" si="540"/>
        <v>1</v>
      </c>
      <c r="E4995" s="2721">
        <v>1</v>
      </c>
      <c r="F4995" s="294"/>
      <c r="G4995" s="308" t="s">
        <v>4379</v>
      </c>
      <c r="H4995" s="309"/>
      <c r="I4995" s="346"/>
      <c r="J4995" s="291"/>
      <c r="K4995" s="291"/>
      <c r="L4995" s="291"/>
      <c r="M4995" s="291"/>
      <c r="S4995" s="364"/>
      <c r="Z4995" s="609" t="s">
        <v>2195</v>
      </c>
      <c r="AA4995" s="609"/>
    </row>
    <row r="4996" spans="1:27" ht="18">
      <c r="A4996" s="2714"/>
      <c r="B4996" s="371">
        <v>109</v>
      </c>
      <c r="C4996" s="371" t="s">
        <v>2791</v>
      </c>
      <c r="D4996" s="2716">
        <f t="shared" si="540"/>
        <v>0</v>
      </c>
      <c r="E4996" s="2721">
        <v>1</v>
      </c>
      <c r="F4996" s="294"/>
      <c r="G4996" s="1583" t="s">
        <v>2792</v>
      </c>
      <c r="H4996" s="309"/>
      <c r="I4996" s="346"/>
      <c r="J4996" s="291"/>
      <c r="K4996" s="291"/>
      <c r="L4996" s="291"/>
      <c r="M4996" s="291"/>
      <c r="S4996" s="364"/>
      <c r="Z4996" s="609" t="s">
        <v>2195</v>
      </c>
      <c r="AA4996" s="609"/>
    </row>
    <row r="4997" spans="1:27" ht="18.75" thickBot="1">
      <c r="A4997" s="2714"/>
      <c r="B4997" s="371"/>
      <c r="C4997" s="371"/>
      <c r="D4997" s="2716">
        <f t="shared" si="540"/>
        <v>1</v>
      </c>
      <c r="E4997" s="2721" t="s">
        <v>2751</v>
      </c>
      <c r="F4997" s="294"/>
      <c r="G4997" s="1529" t="s">
        <v>2752</v>
      </c>
      <c r="H4997" s="1527">
        <f>SUMPRODUCT($E4987:$E4996,H4987:H4996)</f>
        <v>0</v>
      </c>
      <c r="I4997" s="1528">
        <f>SUMPRODUCT($E4987:$E4996,I4987:I4996)</f>
        <v>0</v>
      </c>
      <c r="J4997" s="291"/>
      <c r="K4997" s="291"/>
      <c r="L4997" s="291"/>
      <c r="M4997" s="291"/>
      <c r="S4997" s="364"/>
      <c r="Z4997" s="609" t="s">
        <v>2195</v>
      </c>
      <c r="AA4997" s="609"/>
    </row>
    <row r="4998" spans="1:27" ht="18">
      <c r="A4998" s="2714"/>
      <c r="B4998" s="371"/>
      <c r="C4998" s="371" t="s">
        <v>2755</v>
      </c>
      <c r="D4998" s="371"/>
      <c r="F4998" s="294"/>
      <c r="G4998" s="301"/>
      <c r="H4998" s="315"/>
      <c r="I4998" s="315"/>
      <c r="J4998" s="291"/>
      <c r="K4998" s="291"/>
      <c r="L4998" s="291"/>
      <c r="M4998" s="291"/>
      <c r="S4998" s="364"/>
      <c r="Z4998" s="609" t="s">
        <v>2195</v>
      </c>
      <c r="AA4998" s="609"/>
    </row>
    <row r="4999" spans="1:27" ht="18">
      <c r="A4999" s="2714" t="s">
        <v>2197</v>
      </c>
      <c r="B4999" s="371">
        <v>2</v>
      </c>
      <c r="C4999" s="371"/>
      <c r="D4999" s="2716" t="str">
        <f>VLOOKUP($A4999,Sheet_NoteList,2,0)</f>
        <v>补充资料（一）</v>
      </c>
      <c r="E4999" s="2716" t="s">
        <v>6531</v>
      </c>
      <c r="F4999" s="294"/>
      <c r="G4999" s="307" t="str">
        <f>"("&amp;B4999&amp;")"&amp;D4999</f>
        <v>(2)补充资料（一）</v>
      </c>
      <c r="H4999" s="1517" t="str">
        <f>$A4999</f>
        <v>9690b</v>
      </c>
      <c r="I4999" s="343" t="s">
        <v>5969</v>
      </c>
      <c r="J4999" s="301"/>
      <c r="K4999" s="391"/>
      <c r="L4999" s="345"/>
      <c r="M4999" s="301"/>
      <c r="N4999" s="391"/>
      <c r="O4999" s="345"/>
      <c r="P4999" s="301"/>
      <c r="S4999" s="364"/>
      <c r="Z4999" s="609" t="s">
        <v>2195</v>
      </c>
      <c r="AA4999" s="609"/>
    </row>
    <row r="5000" spans="1:27" ht="0.75" customHeight="1" thickBot="1">
      <c r="A5000" s="2714"/>
      <c r="B5000" s="371"/>
      <c r="C5000" s="371"/>
      <c r="D5000" s="371"/>
      <c r="E5000" s="586"/>
      <c r="F5000" s="586"/>
      <c r="G5000" s="586" t="s">
        <v>4380</v>
      </c>
      <c r="H5000" s="371" t="s">
        <v>2904</v>
      </c>
      <c r="I5000" s="371" t="s">
        <v>3255</v>
      </c>
      <c r="J5000" s="371" t="s">
        <v>3256</v>
      </c>
      <c r="K5000" s="371" t="s">
        <v>3241</v>
      </c>
      <c r="L5000" s="371" t="s">
        <v>3267</v>
      </c>
      <c r="M5000" s="371" t="s">
        <v>3268</v>
      </c>
      <c r="N5000" s="371" t="s">
        <v>3269</v>
      </c>
      <c r="O5000" s="371" t="s">
        <v>3270</v>
      </c>
      <c r="P5000" s="371" t="s">
        <v>3271</v>
      </c>
      <c r="Q5000" s="543" t="s">
        <v>3272</v>
      </c>
      <c r="S5000" s="364"/>
      <c r="Z5000" s="609" t="s">
        <v>2195</v>
      </c>
      <c r="AA5000" s="609"/>
    </row>
    <row r="5001" spans="1:27" ht="18">
      <c r="A5001" s="2714"/>
      <c r="B5001" s="371"/>
      <c r="C5001" s="371"/>
      <c r="D5001" s="371"/>
      <c r="E5001" s="586" t="s">
        <v>2749</v>
      </c>
      <c r="F5001" s="363"/>
      <c r="G5001" s="2458" t="s">
        <v>47</v>
      </c>
      <c r="H5001" s="2459" t="s">
        <v>3273</v>
      </c>
      <c r="I5001" s="2459" t="s">
        <v>3274</v>
      </c>
      <c r="J5001" s="2459" t="s">
        <v>3275</v>
      </c>
      <c r="K5001" s="2459" t="s">
        <v>3276</v>
      </c>
      <c r="L5001" s="2459" t="s">
        <v>2544</v>
      </c>
      <c r="M5001" s="2459" t="s">
        <v>2549</v>
      </c>
      <c r="N5001" s="2459" t="s">
        <v>3277</v>
      </c>
      <c r="O5001" s="2459" t="s">
        <v>3278</v>
      </c>
      <c r="P5001" s="2459" t="s">
        <v>3279</v>
      </c>
      <c r="Q5001" s="2460" t="s">
        <v>3280</v>
      </c>
      <c r="R5001" s="544" t="s">
        <v>4381</v>
      </c>
      <c r="S5001" s="364"/>
      <c r="Z5001" s="609" t="s">
        <v>2195</v>
      </c>
      <c r="AA5001" s="609"/>
    </row>
    <row r="5002" spans="1:27" ht="18">
      <c r="A5002" s="2714"/>
      <c r="B5002" s="371">
        <v>101</v>
      </c>
      <c r="C5002" s="371" t="s">
        <v>2791</v>
      </c>
      <c r="D5002" s="2716">
        <f t="shared" ref="D5002:D5007" si="541">IF(OR(G5002="*",G5002="",G5002=0),0,COUNTIF($G$5002:$G$5007,G5002))</f>
        <v>0</v>
      </c>
      <c r="E5002" s="2721">
        <v>1</v>
      </c>
      <c r="F5002" s="294"/>
      <c r="G5002" s="2467" t="s">
        <v>2792</v>
      </c>
      <c r="H5002" s="2275"/>
      <c r="I5002" s="2275"/>
      <c r="J5002" s="2275"/>
      <c r="K5002" s="1476">
        <f>H5002+I5002-J5002</f>
        <v>0</v>
      </c>
      <c r="L5002" s="2275"/>
      <c r="M5002" s="2275"/>
      <c r="N5002" s="2275"/>
      <c r="O5002" s="2298"/>
      <c r="P5002" s="2298"/>
      <c r="Q5002" s="2276"/>
      <c r="R5002" s="544" t="s">
        <v>3282</v>
      </c>
      <c r="S5002" s="364"/>
      <c r="Z5002" s="609" t="s">
        <v>2195</v>
      </c>
      <c r="AA5002" s="609"/>
    </row>
    <row r="5003" spans="1:27" ht="18">
      <c r="A5003" s="2714"/>
      <c r="B5003" s="371">
        <v>102</v>
      </c>
      <c r="C5003" s="371" t="s">
        <v>2791</v>
      </c>
      <c r="D5003" s="2716">
        <f t="shared" si="541"/>
        <v>0</v>
      </c>
      <c r="E5003" s="2721">
        <v>1</v>
      </c>
      <c r="F5003" s="294"/>
      <c r="G5003" s="2467" t="s">
        <v>2792</v>
      </c>
      <c r="H5003" s="2275"/>
      <c r="I5003" s="2275"/>
      <c r="J5003" s="2275"/>
      <c r="K5003" s="1476">
        <f>H5003+I5003-J5003</f>
        <v>0</v>
      </c>
      <c r="L5003" s="2275"/>
      <c r="M5003" s="2275"/>
      <c r="N5003" s="2275"/>
      <c r="O5003" s="2298"/>
      <c r="P5003" s="2298"/>
      <c r="Q5003" s="2276"/>
      <c r="S5003" s="364"/>
      <c r="Z5003" s="609" t="s">
        <v>2195</v>
      </c>
      <c r="AA5003" s="609"/>
    </row>
    <row r="5004" spans="1:27" ht="18">
      <c r="A5004" s="2714"/>
      <c r="B5004" s="371">
        <v>103</v>
      </c>
      <c r="C5004" s="371" t="s">
        <v>2791</v>
      </c>
      <c r="D5004" s="2716">
        <f t="shared" si="541"/>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8">
      <c r="A5005" s="2714"/>
      <c r="B5005" s="371">
        <v>104</v>
      </c>
      <c r="C5005" s="371" t="s">
        <v>2791</v>
      </c>
      <c r="D5005" s="2716">
        <f t="shared" si="541"/>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
      <c r="A5006" s="2714"/>
      <c r="B5006" s="371">
        <v>105</v>
      </c>
      <c r="C5006" s="371" t="s">
        <v>2791</v>
      </c>
      <c r="D5006" s="2716">
        <f t="shared" si="541"/>
        <v>0</v>
      </c>
      <c r="E5006" s="2721">
        <v>1</v>
      </c>
      <c r="F5006" s="294"/>
      <c r="G5006" s="2467" t="s">
        <v>2792</v>
      </c>
      <c r="H5006" s="2275"/>
      <c r="I5006" s="2275"/>
      <c r="J5006" s="2275"/>
      <c r="K5006" s="1476">
        <f>H5006+I5006-J5006</f>
        <v>0</v>
      </c>
      <c r="L5006" s="2275"/>
      <c r="M5006" s="2275"/>
      <c r="N5006" s="2275"/>
      <c r="O5006" s="2298"/>
      <c r="P5006" s="2298"/>
      <c r="Q5006" s="2276"/>
      <c r="S5006" s="364"/>
      <c r="Z5006" s="609" t="s">
        <v>2195</v>
      </c>
      <c r="AA5006" s="609"/>
    </row>
    <row r="5007" spans="1:27" ht="18.75" thickBot="1">
      <c r="A5007" s="2714"/>
      <c r="B5007" s="371"/>
      <c r="C5007" s="371"/>
      <c r="D5007" s="2716">
        <f t="shared" si="541"/>
        <v>1</v>
      </c>
      <c r="E5007" s="2721" t="s">
        <v>2751</v>
      </c>
      <c r="F5007" s="294"/>
      <c r="G5007" s="1529" t="s">
        <v>2752</v>
      </c>
      <c r="H5007" s="1527">
        <f t="shared" ref="H5007:N5007" si="542">SUMPRODUCT($E5001:$E5006,H5001:H5006)</f>
        <v>0</v>
      </c>
      <c r="I5007" s="1527">
        <f t="shared" si="542"/>
        <v>0</v>
      </c>
      <c r="J5007" s="1527">
        <f t="shared" si="542"/>
        <v>0</v>
      </c>
      <c r="K5007" s="1527">
        <f t="shared" si="542"/>
        <v>0</v>
      </c>
      <c r="L5007" s="1527">
        <f t="shared" si="542"/>
        <v>0</v>
      </c>
      <c r="M5007" s="1527">
        <f t="shared" si="542"/>
        <v>0</v>
      </c>
      <c r="N5007" s="1527">
        <f t="shared" si="542"/>
        <v>0</v>
      </c>
      <c r="O5007" s="2316"/>
      <c r="P5007" s="2316"/>
      <c r="Q5007" s="2266"/>
      <c r="S5007" s="364"/>
      <c r="Z5007" s="609" t="s">
        <v>2195</v>
      </c>
      <c r="AA5007" s="609"/>
    </row>
    <row r="5008" spans="1:27" ht="18">
      <c r="A5008" s="2714"/>
      <c r="B5008" s="371"/>
      <c r="C5008" s="371" t="s">
        <v>2755</v>
      </c>
      <c r="D5008" s="371"/>
      <c r="F5008" s="294"/>
      <c r="G5008" s="301"/>
      <c r="H5008" s="315"/>
      <c r="I5008" s="315"/>
      <c r="J5008" s="315"/>
      <c r="K5008" s="315"/>
      <c r="L5008" s="315"/>
      <c r="M5008" s="315"/>
      <c r="N5008" s="315"/>
      <c r="O5008" s="393"/>
      <c r="P5008" s="393"/>
      <c r="Q5008" s="545"/>
      <c r="S5008" s="364"/>
      <c r="Z5008" s="609" t="s">
        <v>2195</v>
      </c>
      <c r="AA5008" s="609"/>
    </row>
    <row r="5009" spans="1:27" ht="18">
      <c r="A5009" s="2714" t="s">
        <v>2200</v>
      </c>
      <c r="B5009" s="371">
        <v>3</v>
      </c>
      <c r="C5009" s="371"/>
      <c r="D5009" s="2716" t="str">
        <f>VLOOKUP($A5009,Sheet_NoteList,2,0)</f>
        <v>补充资料（二）</v>
      </c>
      <c r="E5009" s="2716" t="s">
        <v>6531</v>
      </c>
      <c r="F5009" s="294"/>
      <c r="G5009" s="307" t="str">
        <f>"("&amp;B5009&amp;")"&amp;D5009</f>
        <v>(3)补充资料（二）</v>
      </c>
      <c r="H5009" s="1517" t="str">
        <f>$A5009</f>
        <v>9690c</v>
      </c>
      <c r="I5009" s="343" t="s">
        <v>5974</v>
      </c>
      <c r="J5009" s="301"/>
      <c r="K5009" s="391"/>
      <c r="L5009" s="345"/>
      <c r="M5009" s="301"/>
      <c r="N5009" s="391"/>
      <c r="O5009" s="345"/>
      <c r="P5009" s="301"/>
      <c r="S5009" s="364"/>
      <c r="Z5009" s="609" t="s">
        <v>2195</v>
      </c>
      <c r="AA5009" s="609"/>
    </row>
    <row r="5010" spans="1:27" ht="0.75" customHeight="1" thickBot="1">
      <c r="A5010" s="2714"/>
      <c r="B5010" s="371"/>
      <c r="C5010" s="371"/>
      <c r="D5010" s="371"/>
      <c r="E5010" s="586"/>
      <c r="F5010" s="586"/>
      <c r="G5010" s="586" t="s">
        <v>4382</v>
      </c>
      <c r="H5010" s="371" t="s">
        <v>4223</v>
      </c>
      <c r="I5010" s="371" t="s">
        <v>4224</v>
      </c>
      <c r="J5010" s="371" t="s">
        <v>3267</v>
      </c>
      <c r="K5010" s="371" t="s">
        <v>3268</v>
      </c>
      <c r="L5010" s="371" t="s">
        <v>3269</v>
      </c>
      <c r="M5010" s="371" t="s">
        <v>3270</v>
      </c>
      <c r="N5010" s="371" t="s">
        <v>3271</v>
      </c>
      <c r="O5010" s="543" t="s">
        <v>3272</v>
      </c>
      <c r="S5010" s="364"/>
      <c r="Z5010" s="609" t="s">
        <v>2195</v>
      </c>
      <c r="AA5010" s="609"/>
    </row>
    <row r="5011" spans="1:27" ht="18">
      <c r="A5011" s="2714"/>
      <c r="B5011" s="371"/>
      <c r="C5011" s="371"/>
      <c r="D5011" s="371"/>
      <c r="E5011" s="586" t="s">
        <v>2749</v>
      </c>
      <c r="F5011" s="363"/>
      <c r="G5011" s="2458" t="s">
        <v>47</v>
      </c>
      <c r="H5011" s="2459" t="s">
        <v>4242</v>
      </c>
      <c r="I5011" s="2459" t="s">
        <v>4245</v>
      </c>
      <c r="J5011" s="2459" t="s">
        <v>2544</v>
      </c>
      <c r="K5011" s="2459" t="s">
        <v>2549</v>
      </c>
      <c r="L5011" s="2459" t="s">
        <v>3277</v>
      </c>
      <c r="M5011" s="2459" t="s">
        <v>3278</v>
      </c>
      <c r="N5011" s="2459" t="s">
        <v>3279</v>
      </c>
      <c r="O5011" s="2460" t="s">
        <v>3280</v>
      </c>
      <c r="P5011" s="544" t="s">
        <v>4381</v>
      </c>
      <c r="S5011" s="364"/>
      <c r="Z5011" s="609" t="s">
        <v>2195</v>
      </c>
      <c r="AA5011" s="609"/>
    </row>
    <row r="5012" spans="1:27" ht="18">
      <c r="A5012" s="2714"/>
      <c r="B5012" s="371">
        <v>101</v>
      </c>
      <c r="C5012" s="371" t="s">
        <v>2791</v>
      </c>
      <c r="D5012" s="2716">
        <f t="shared" ref="D5012:D5017" si="543">IF(OR(G5012="*",G5012="",G5012=0),0,COUNTIF($G$5012:$G$5017,G5012))</f>
        <v>0</v>
      </c>
      <c r="E5012" s="2721">
        <v>1</v>
      </c>
      <c r="F5012" s="294"/>
      <c r="G5012" s="2467" t="s">
        <v>2792</v>
      </c>
      <c r="H5012" s="2275"/>
      <c r="I5012" s="2275"/>
      <c r="J5012" s="2275"/>
      <c r="K5012" s="2275"/>
      <c r="L5012" s="2275"/>
      <c r="M5012" s="2298"/>
      <c r="N5012" s="2298"/>
      <c r="O5012" s="2276"/>
      <c r="P5012" s="544" t="s">
        <v>3282</v>
      </c>
      <c r="S5012" s="364"/>
      <c r="Z5012" s="609" t="s">
        <v>2195</v>
      </c>
      <c r="AA5012" s="609"/>
    </row>
    <row r="5013" spans="1:27" ht="18">
      <c r="A5013" s="2714"/>
      <c r="B5013" s="371">
        <v>102</v>
      </c>
      <c r="C5013" s="371" t="s">
        <v>2791</v>
      </c>
      <c r="D5013" s="2716">
        <f t="shared" si="543"/>
        <v>0</v>
      </c>
      <c r="E5013" s="2721">
        <v>1</v>
      </c>
      <c r="F5013" s="294"/>
      <c r="G5013" s="2467" t="s">
        <v>2792</v>
      </c>
      <c r="H5013" s="2275"/>
      <c r="I5013" s="2275"/>
      <c r="J5013" s="2275"/>
      <c r="K5013" s="2275"/>
      <c r="L5013" s="2275"/>
      <c r="M5013" s="2298"/>
      <c r="N5013" s="2298"/>
      <c r="O5013" s="2276"/>
      <c r="S5013" s="364"/>
      <c r="Z5013" s="609" t="s">
        <v>2195</v>
      </c>
      <c r="AA5013" s="609"/>
    </row>
    <row r="5014" spans="1:27" ht="18">
      <c r="A5014" s="2714"/>
      <c r="B5014" s="371">
        <v>103</v>
      </c>
      <c r="C5014" s="371" t="s">
        <v>2791</v>
      </c>
      <c r="D5014" s="2716">
        <f t="shared" si="543"/>
        <v>0</v>
      </c>
      <c r="E5014" s="2721">
        <v>1</v>
      </c>
      <c r="F5014" s="294"/>
      <c r="G5014" s="2467" t="s">
        <v>2792</v>
      </c>
      <c r="H5014" s="2275"/>
      <c r="I5014" s="2275"/>
      <c r="J5014" s="2275"/>
      <c r="K5014" s="2275"/>
      <c r="L5014" s="2275"/>
      <c r="M5014" s="2298"/>
      <c r="N5014" s="2298"/>
      <c r="O5014" s="2276"/>
      <c r="S5014" s="364"/>
      <c r="Z5014" s="609" t="s">
        <v>2195</v>
      </c>
      <c r="AA5014" s="609"/>
    </row>
    <row r="5015" spans="1:27" ht="18">
      <c r="A5015" s="2714"/>
      <c r="B5015" s="371">
        <v>104</v>
      </c>
      <c r="C5015" s="371" t="s">
        <v>2791</v>
      </c>
      <c r="D5015" s="2716">
        <f t="shared" si="543"/>
        <v>0</v>
      </c>
      <c r="E5015" s="2721">
        <v>1</v>
      </c>
      <c r="F5015" s="294"/>
      <c r="G5015" s="2467" t="s">
        <v>2792</v>
      </c>
      <c r="H5015" s="2275"/>
      <c r="I5015" s="2275"/>
      <c r="J5015" s="2275"/>
      <c r="K5015" s="2275"/>
      <c r="L5015" s="2275"/>
      <c r="M5015" s="2298"/>
      <c r="N5015" s="2298"/>
      <c r="O5015" s="2276"/>
      <c r="S5015" s="364"/>
      <c r="Z5015" s="609" t="s">
        <v>2195</v>
      </c>
      <c r="AA5015" s="609"/>
    </row>
    <row r="5016" spans="1:27" ht="18">
      <c r="A5016" s="2714"/>
      <c r="B5016" s="371">
        <v>105</v>
      </c>
      <c r="C5016" s="371" t="s">
        <v>2791</v>
      </c>
      <c r="D5016" s="2716">
        <f t="shared" si="543"/>
        <v>0</v>
      </c>
      <c r="E5016" s="2721">
        <v>1</v>
      </c>
      <c r="F5016" s="294"/>
      <c r="G5016" s="2467" t="s">
        <v>2792</v>
      </c>
      <c r="H5016" s="2275"/>
      <c r="I5016" s="2275"/>
      <c r="J5016" s="2275"/>
      <c r="K5016" s="2275"/>
      <c r="L5016" s="2275"/>
      <c r="M5016" s="2298"/>
      <c r="N5016" s="2298"/>
      <c r="O5016" s="2276"/>
      <c r="S5016" s="364"/>
      <c r="Z5016" s="609" t="s">
        <v>2195</v>
      </c>
      <c r="AA5016" s="609"/>
    </row>
    <row r="5017" spans="1:27" ht="18.75" thickBot="1">
      <c r="A5017" s="2714"/>
      <c r="B5017" s="371"/>
      <c r="C5017" s="371"/>
      <c r="D5017" s="2716">
        <f t="shared" si="543"/>
        <v>1</v>
      </c>
      <c r="E5017" s="2721" t="s">
        <v>2751</v>
      </c>
      <c r="F5017" s="294"/>
      <c r="G5017" s="1529" t="s">
        <v>2752</v>
      </c>
      <c r="H5017" s="1527">
        <f>SUMPRODUCT($E5011:$E5016,H5011:H5016)</f>
        <v>0</v>
      </c>
      <c r="I5017" s="1527">
        <f>SUMPRODUCT($E5011:$E5016,I5011:I5016)</f>
        <v>0</v>
      </c>
      <c r="J5017" s="1527">
        <f>SUMPRODUCT($E5011:$E5016,J5011:J5016)</f>
        <v>0</v>
      </c>
      <c r="K5017" s="1527">
        <f>SUMPRODUCT($E5011:$E5016,K5011:K5016)</f>
        <v>0</v>
      </c>
      <c r="L5017" s="1527">
        <f>SUMPRODUCT($E5011:$E5016,L5011:L5016)</f>
        <v>0</v>
      </c>
      <c r="M5017" s="2316"/>
      <c r="N5017" s="2316"/>
      <c r="O5017" s="2266"/>
      <c r="S5017" s="364"/>
      <c r="Z5017" s="609" t="s">
        <v>2195</v>
      </c>
      <c r="AA5017" s="609"/>
    </row>
    <row r="5018" spans="1:27" ht="18">
      <c r="A5018" s="2714"/>
      <c r="B5018" s="371"/>
      <c r="C5018" s="371" t="s">
        <v>2755</v>
      </c>
      <c r="D5018" s="371"/>
      <c r="F5018" s="294"/>
      <c r="G5018" s="301"/>
      <c r="H5018" s="315"/>
      <c r="I5018" s="315"/>
      <c r="J5018" s="315"/>
      <c r="K5018" s="315"/>
      <c r="L5018" s="315"/>
      <c r="M5018" s="393"/>
      <c r="N5018" s="393"/>
      <c r="O5018" s="393"/>
      <c r="S5018" s="364"/>
      <c r="Z5018" s="609" t="s">
        <v>2195</v>
      </c>
      <c r="AA5018" s="609"/>
    </row>
    <row r="5019" spans="1:27" ht="18">
      <c r="A5019" s="2714">
        <v>7400</v>
      </c>
      <c r="B5019" s="371">
        <v>78</v>
      </c>
      <c r="C5019" s="2716" t="str">
        <f>VLOOKUP($A5019,Sheet_Items,2,0)</f>
        <v>现金流量表项目注释</v>
      </c>
      <c r="D5019" s="371"/>
      <c r="E5019" s="2716" t="s">
        <v>2739</v>
      </c>
      <c r="F5019" s="294"/>
      <c r="G5019" s="305" t="str">
        <f>B5019&amp;" "&amp;C5019</f>
        <v>78 现金流量表项目注释</v>
      </c>
      <c r="H5019" s="306"/>
      <c r="I5019" s="306"/>
      <c r="J5019" s="306"/>
      <c r="K5019" s="539"/>
      <c r="L5019" s="342"/>
      <c r="M5019" s="306"/>
      <c r="N5019" s="539"/>
      <c r="O5019" s="306"/>
      <c r="P5019" s="301"/>
      <c r="S5019" s="364"/>
      <c r="Z5019" s="609" t="s">
        <v>4383</v>
      </c>
      <c r="AA5019" s="371"/>
    </row>
    <row r="5020" spans="1:27" ht="18">
      <c r="A5020" s="2714">
        <v>7046</v>
      </c>
      <c r="B5020" s="371">
        <v>78.099999999999994</v>
      </c>
      <c r="C5020" s="2716" t="str">
        <f>VLOOKUP($A5020,Sheet_Items,2,0)</f>
        <v>收到其他与经营活动有关的现金</v>
      </c>
      <c r="D5020" s="371"/>
      <c r="E5020" s="2716" t="s">
        <v>2739</v>
      </c>
      <c r="F5020" s="294"/>
      <c r="G5020" s="536" t="str">
        <f>B5020&amp;" "&amp;C5020</f>
        <v>78.1 收到其他与经营活动有关的现金</v>
      </c>
      <c r="H5020" s="322"/>
      <c r="I5020" s="322"/>
      <c r="J5020" s="306" t="s">
        <v>4206</v>
      </c>
      <c r="K5020" s="341">
        <f>VLOOKUP($A5020,Sheet_Trialbal,6,0)</f>
        <v>36993105.18</v>
      </c>
      <c r="L5020" s="342"/>
      <c r="M5020" s="306" t="s">
        <v>4207</v>
      </c>
      <c r="N5020" s="341">
        <f>VLOOKUP($A5020,Sheet_Trialbal,10,0)</f>
        <v>202044775.52000001</v>
      </c>
      <c r="O5020" s="325"/>
      <c r="P5020" s="301"/>
      <c r="S5020" s="364"/>
      <c r="Z5020" s="609" t="s">
        <v>4384</v>
      </c>
      <c r="AA5020" s="609"/>
    </row>
    <row r="5021" spans="1:27" ht="24">
      <c r="A5021" s="2714" t="s">
        <v>1946</v>
      </c>
      <c r="B5021" s="371">
        <v>1</v>
      </c>
      <c r="C5021" s="371"/>
      <c r="D5021" s="2716" t="str">
        <f>VLOOKUP($A5021,Sheet_NoteList,2,0)</f>
        <v>收到的其他与经营活动有关的现金</v>
      </c>
      <c r="E5021" s="2716" t="s">
        <v>2742</v>
      </c>
      <c r="F5021" s="294"/>
      <c r="G5021" s="372" t="str">
        <f>"("&amp;B5021&amp;")"&amp;D5021</f>
        <v>(1)收到的其他与经营活动有关的现金</v>
      </c>
      <c r="H5021" s="1517" t="str">
        <f>$A5021</f>
        <v>7046a</v>
      </c>
      <c r="I5021" s="343" t="s">
        <v>2743</v>
      </c>
      <c r="J5021" s="301" t="s">
        <v>4256</v>
      </c>
      <c r="K5021" s="2210">
        <f>H5034</f>
        <v>36993105.18</v>
      </c>
      <c r="L5021" s="1535">
        <f>IF($I5021="适用",IF(ROUND(K5020-K5021,2)&gt;=0,IF(K5020&lt;&gt;0,K5021/K5020,""),"#Logical!"),"#N/A")</f>
        <v>1</v>
      </c>
      <c r="M5021" s="301" t="s">
        <v>4257</v>
      </c>
      <c r="N5021" s="2210">
        <f>I5034</f>
        <v>202044775.52000001</v>
      </c>
      <c r="O5021" s="1535">
        <f>IF($I5021="适用",IF(ROUND(N5020-N5021,2)&gt;=0,IF(N5020&lt;&gt;0,N5021/N5020,""),"#Logical!"),"#N/A")</f>
        <v>1</v>
      </c>
      <c r="P5021" s="301"/>
      <c r="Q5021" s="290" t="str">
        <f>IF($I5021="不适用","",IF(ROUND(SUM($H$5024:$I$5034),2)=0,"请输入",""))</f>
        <v/>
      </c>
      <c r="S5021" s="364"/>
      <c r="Z5021" s="609" t="s">
        <v>4384</v>
      </c>
      <c r="AA5021" s="609"/>
    </row>
    <row r="5022" spans="1:27" ht="0.75" customHeight="1" thickBot="1">
      <c r="A5022" s="2714"/>
      <c r="B5022" s="371"/>
      <c r="C5022" s="371"/>
      <c r="D5022" s="371"/>
      <c r="E5022" s="586"/>
      <c r="F5022" s="363"/>
      <c r="G5022" s="363" t="s">
        <v>4385</v>
      </c>
      <c r="H5022" s="294" t="s">
        <v>4223</v>
      </c>
      <c r="I5022" s="294" t="s">
        <v>4224</v>
      </c>
      <c r="J5022" s="291"/>
      <c r="K5022" s="291"/>
      <c r="L5022" s="291"/>
      <c r="M5022" s="291"/>
      <c r="S5022" s="364"/>
      <c r="Z5022" s="609" t="s">
        <v>4384</v>
      </c>
      <c r="AA5022" s="609"/>
    </row>
    <row r="5023" spans="1:27" ht="18">
      <c r="A5023" s="2714"/>
      <c r="B5023" s="371"/>
      <c r="C5023" s="371"/>
      <c r="D5023" s="371"/>
      <c r="E5023" s="586" t="s">
        <v>2749</v>
      </c>
      <c r="F5023" s="363"/>
      <c r="G5023" s="2453" t="s">
        <v>47</v>
      </c>
      <c r="H5023" s="2461" t="str">
        <f>$V$4</f>
        <v>2019年度</v>
      </c>
      <c r="I5023" s="2462" t="str">
        <f>$V$5</f>
        <v>2018年度</v>
      </c>
      <c r="J5023" s="355" t="s">
        <v>5342</v>
      </c>
      <c r="K5023" s="291"/>
      <c r="L5023" s="291"/>
      <c r="M5023" s="291"/>
      <c r="S5023" s="364"/>
      <c r="Z5023" s="609" t="s">
        <v>4384</v>
      </c>
      <c r="AA5023" s="609"/>
    </row>
    <row r="5024" spans="1:27" ht="18">
      <c r="A5024" s="2714"/>
      <c r="B5024" s="371">
        <v>101</v>
      </c>
      <c r="C5024" s="371" t="s">
        <v>2791</v>
      </c>
      <c r="D5024" s="2716">
        <f t="shared" ref="D5024:D5034" si="544">IF(OR(G5024="*",G5024="",G5024=0),0,COUNTIF($G$5024:$G$5034,G5024))</f>
        <v>1</v>
      </c>
      <c r="E5024" s="2721">
        <v>1</v>
      </c>
      <c r="F5024" s="294"/>
      <c r="G5024" s="2467" t="s">
        <v>6928</v>
      </c>
      <c r="H5024" s="2275">
        <v>10615</v>
      </c>
      <c r="I5024" s="2296">
        <v>5039.1400000000003</v>
      </c>
      <c r="J5024" s="349">
        <v>10615</v>
      </c>
      <c r="K5024" s="291"/>
      <c r="L5024" s="291"/>
      <c r="M5024" s="291"/>
      <c r="S5024" s="364"/>
      <c r="Z5024" s="609" t="s">
        <v>4384</v>
      </c>
      <c r="AA5024" s="609"/>
    </row>
    <row r="5025" spans="1:27" ht="18">
      <c r="A5025" s="2714"/>
      <c r="B5025" s="371">
        <v>102</v>
      </c>
      <c r="C5025" s="371" t="s">
        <v>2791</v>
      </c>
      <c r="D5025" s="2716">
        <f t="shared" si="544"/>
        <v>1</v>
      </c>
      <c r="E5025" s="2721">
        <v>1</v>
      </c>
      <c r="F5025" s="294"/>
      <c r="G5025" s="2467" t="s">
        <v>6929</v>
      </c>
      <c r="H5025" s="2275">
        <v>10490.18</v>
      </c>
      <c r="I5025" s="2296"/>
      <c r="J5025" s="349">
        <v>10490.18</v>
      </c>
      <c r="K5025" s="291"/>
      <c r="L5025" s="291"/>
      <c r="M5025" s="291"/>
      <c r="S5025" s="364"/>
      <c r="Z5025" s="609" t="s">
        <v>4384</v>
      </c>
      <c r="AA5025" s="609"/>
    </row>
    <row r="5026" spans="1:27" ht="18">
      <c r="A5026" s="2714"/>
      <c r="B5026" s="371">
        <v>103</v>
      </c>
      <c r="C5026" s="371" t="s">
        <v>2791</v>
      </c>
      <c r="D5026" s="2716">
        <f t="shared" si="544"/>
        <v>1</v>
      </c>
      <c r="E5026" s="2721">
        <v>1</v>
      </c>
      <c r="F5026" s="294"/>
      <c r="G5026" s="2467" t="s">
        <v>6930</v>
      </c>
      <c r="H5026" s="2275"/>
      <c r="I5026" s="2296"/>
      <c r="J5026" s="291"/>
      <c r="K5026" s="291"/>
      <c r="L5026" s="291"/>
      <c r="M5026" s="291"/>
      <c r="S5026" s="364"/>
      <c r="Z5026" s="609" t="s">
        <v>4384</v>
      </c>
      <c r="AA5026" s="609"/>
    </row>
    <row r="5027" spans="1:27" ht="18">
      <c r="A5027" s="2714"/>
      <c r="B5027" s="371">
        <v>104</v>
      </c>
      <c r="C5027" s="371" t="s">
        <v>2791</v>
      </c>
      <c r="D5027" s="2716">
        <f t="shared" si="544"/>
        <v>1</v>
      </c>
      <c r="E5027" s="2721">
        <v>1</v>
      </c>
      <c r="F5027" s="294"/>
      <c r="G5027" s="2467" t="s">
        <v>6931</v>
      </c>
      <c r="H5027" s="2275">
        <v>12000</v>
      </c>
      <c r="I5027" s="2296">
        <v>52000</v>
      </c>
      <c r="J5027" s="291"/>
      <c r="K5027" s="291"/>
      <c r="L5027" s="291"/>
      <c r="M5027" s="291"/>
      <c r="S5027" s="364"/>
      <c r="Z5027" s="609" t="s">
        <v>4384</v>
      </c>
      <c r="AA5027" s="609"/>
    </row>
    <row r="5028" spans="1:27" ht="18">
      <c r="A5028" s="2714"/>
      <c r="B5028" s="371">
        <v>105</v>
      </c>
      <c r="C5028" s="371" t="s">
        <v>2791</v>
      </c>
      <c r="D5028" s="2716">
        <f t="shared" si="544"/>
        <v>1</v>
      </c>
      <c r="E5028" s="2721">
        <v>1</v>
      </c>
      <c r="F5028" s="294"/>
      <c r="G5028" s="2467" t="s">
        <v>6932</v>
      </c>
      <c r="H5028" s="2275">
        <v>3000000</v>
      </c>
      <c r="I5028" s="2296"/>
      <c r="J5028" s="291"/>
      <c r="K5028" s="291"/>
      <c r="L5028" s="291"/>
      <c r="M5028" s="291"/>
      <c r="S5028" s="364"/>
      <c r="Z5028" s="609" t="s">
        <v>4384</v>
      </c>
      <c r="AA5028" s="609"/>
    </row>
    <row r="5029" spans="1:27" ht="18">
      <c r="A5029" s="2714"/>
      <c r="B5029" s="371">
        <v>106</v>
      </c>
      <c r="C5029" s="371" t="s">
        <v>2791</v>
      </c>
      <c r="D5029" s="2716">
        <f t="shared" si="544"/>
        <v>1</v>
      </c>
      <c r="E5029" s="2721">
        <v>1</v>
      </c>
      <c r="F5029" s="294"/>
      <c r="G5029" s="2467" t="s">
        <v>6933</v>
      </c>
      <c r="H5029" s="2275">
        <v>21000000</v>
      </c>
      <c r="I5029" s="2296"/>
      <c r="J5029" s="291"/>
      <c r="K5029" s="291"/>
      <c r="L5029" s="291"/>
      <c r="M5029" s="291"/>
      <c r="S5029" s="364"/>
      <c r="Z5029" s="609" t="s">
        <v>4384</v>
      </c>
      <c r="AA5029" s="609"/>
    </row>
    <row r="5030" spans="1:27" ht="18">
      <c r="A5030" s="2714"/>
      <c r="B5030" s="371">
        <v>107</v>
      </c>
      <c r="C5030" s="371" t="s">
        <v>2791</v>
      </c>
      <c r="D5030" s="2716">
        <f t="shared" si="544"/>
        <v>1</v>
      </c>
      <c r="E5030" s="2721">
        <v>1</v>
      </c>
      <c r="F5030" s="294"/>
      <c r="G5030" s="2467" t="s">
        <v>6934</v>
      </c>
      <c r="H5030" s="2275">
        <f>12960000</f>
        <v>12960000</v>
      </c>
      <c r="I5030" s="2296">
        <v>181619455.38</v>
      </c>
      <c r="J5030" s="291"/>
      <c r="K5030" s="291"/>
      <c r="L5030" s="291"/>
      <c r="M5030" s="291"/>
      <c r="S5030" s="364"/>
      <c r="Z5030" s="609" t="s">
        <v>4384</v>
      </c>
      <c r="AA5030" s="609"/>
    </row>
    <row r="5031" spans="1:27" ht="18">
      <c r="A5031" s="2714"/>
      <c r="B5031" s="371">
        <v>108</v>
      </c>
      <c r="C5031" s="371" t="s">
        <v>2791</v>
      </c>
      <c r="D5031" s="2716">
        <f t="shared" si="544"/>
        <v>1</v>
      </c>
      <c r="E5031" s="2721">
        <v>1</v>
      </c>
      <c r="F5031" s="294"/>
      <c r="G5031" s="2467" t="s">
        <v>6903</v>
      </c>
      <c r="H5031" s="2275"/>
      <c r="I5031" s="2296">
        <v>20368231</v>
      </c>
      <c r="J5031" s="291"/>
      <c r="K5031" s="291"/>
      <c r="L5031" s="291"/>
      <c r="M5031" s="291"/>
      <c r="S5031" s="364"/>
      <c r="Z5031" s="609" t="s">
        <v>4384</v>
      </c>
      <c r="AA5031" s="609"/>
    </row>
    <row r="5032" spans="1:27" ht="18">
      <c r="A5032" s="2714"/>
      <c r="B5032" s="371">
        <v>109</v>
      </c>
      <c r="C5032" s="371" t="s">
        <v>2791</v>
      </c>
      <c r="D5032" s="2716">
        <f t="shared" si="544"/>
        <v>1</v>
      </c>
      <c r="E5032" s="2721">
        <v>1</v>
      </c>
      <c r="F5032" s="294"/>
      <c r="G5032" s="2467" t="s">
        <v>932</v>
      </c>
      <c r="H5032" s="2275"/>
      <c r="I5032" s="2296">
        <v>50</v>
      </c>
      <c r="J5032" s="291"/>
      <c r="K5032" s="291"/>
      <c r="L5032" s="291"/>
      <c r="M5032" s="291"/>
      <c r="S5032" s="364"/>
      <c r="Z5032" s="609" t="s">
        <v>4384</v>
      </c>
      <c r="AA5032" s="609"/>
    </row>
    <row r="5033" spans="1:27" ht="18">
      <c r="A5033" s="2714"/>
      <c r="B5033" s="371">
        <v>110</v>
      </c>
      <c r="C5033" s="371" t="s">
        <v>2791</v>
      </c>
      <c r="D5033" s="2716">
        <f t="shared" si="544"/>
        <v>0</v>
      </c>
      <c r="E5033" s="2721">
        <v>1</v>
      </c>
      <c r="F5033" s="294"/>
      <c r="G5033" s="2467" t="s">
        <v>2792</v>
      </c>
      <c r="H5033" s="2275"/>
      <c r="I5033" s="2296"/>
      <c r="J5033" s="291"/>
      <c r="K5033" s="291"/>
      <c r="L5033" s="291"/>
      <c r="M5033" s="291"/>
      <c r="S5033" s="364"/>
      <c r="Z5033" s="609" t="s">
        <v>4384</v>
      </c>
      <c r="AA5033" s="609"/>
    </row>
    <row r="5034" spans="1:27" ht="18.75" thickBot="1">
      <c r="A5034" s="2714"/>
      <c r="B5034" s="371"/>
      <c r="C5034" s="371"/>
      <c r="D5034" s="2716">
        <f t="shared" si="544"/>
        <v>1</v>
      </c>
      <c r="E5034" s="2721" t="s">
        <v>2751</v>
      </c>
      <c r="F5034" s="294"/>
      <c r="G5034" s="2234" t="s">
        <v>2752</v>
      </c>
      <c r="H5034" s="2235">
        <f>SUMPRODUCT($E5023:$E5033,H5023:H5033)</f>
        <v>36993105.18</v>
      </c>
      <c r="I5034" s="2236">
        <f>SUMPRODUCT($E5023:$E5033,I5023:I5033)</f>
        <v>202044775.52000001</v>
      </c>
      <c r="J5034" s="291"/>
      <c r="K5034" s="291"/>
      <c r="L5034" s="291"/>
      <c r="M5034" s="291"/>
      <c r="S5034" s="364"/>
      <c r="Z5034" s="609" t="s">
        <v>4384</v>
      </c>
      <c r="AA5034" s="609"/>
    </row>
    <row r="5035" spans="1:27" ht="18">
      <c r="A5035" s="2714"/>
      <c r="B5035" s="371"/>
      <c r="C5035" s="371" t="s">
        <v>2755</v>
      </c>
      <c r="D5035" s="371"/>
      <c r="F5035" s="294"/>
      <c r="G5035" s="301"/>
      <c r="H5035" s="315"/>
      <c r="I5035" s="315"/>
      <c r="J5035" s="291"/>
      <c r="K5035" s="291"/>
      <c r="L5035" s="291"/>
      <c r="M5035" s="291"/>
      <c r="O5035" s="290"/>
      <c r="S5035" s="364"/>
      <c r="Z5035" s="609" t="s">
        <v>4384</v>
      </c>
      <c r="AA5035" s="609"/>
    </row>
    <row r="5036" spans="1:27" ht="18">
      <c r="A5036" s="2714">
        <v>7096</v>
      </c>
      <c r="B5036" s="371">
        <v>78.2</v>
      </c>
      <c r="C5036" s="2716" t="str">
        <f>VLOOKUP($A5036,Sheet_Items,2,0)</f>
        <v>支付其他与经营活动有关的现金</v>
      </c>
      <c r="D5036" s="371"/>
      <c r="E5036" s="2716" t="s">
        <v>2739</v>
      </c>
      <c r="F5036" s="294"/>
      <c r="G5036" s="536" t="str">
        <f>B5036&amp;" "&amp;C5036</f>
        <v>78.2 支付其他与经营活动有关的现金</v>
      </c>
      <c r="H5036" s="322"/>
      <c r="I5036" s="322"/>
      <c r="J5036" s="306" t="s">
        <v>4206</v>
      </c>
      <c r="K5036" s="341">
        <f>VLOOKUP($A5036,Sheet_Trialbal,6,0)</f>
        <v>176928385.74000001</v>
      </c>
      <c r="L5036" s="342"/>
      <c r="M5036" s="306" t="s">
        <v>4207</v>
      </c>
      <c r="N5036" s="341">
        <f>VLOOKUP($A5036,Sheet_Trialbal,10,0)</f>
        <v>64284370.009999998</v>
      </c>
      <c r="O5036" s="306"/>
      <c r="P5036" s="301"/>
      <c r="S5036" s="364"/>
      <c r="Z5036" s="609" t="s">
        <v>4386</v>
      </c>
      <c r="AA5036" s="609"/>
    </row>
    <row r="5037" spans="1:27" ht="24">
      <c r="A5037" s="2714" t="s">
        <v>1957</v>
      </c>
      <c r="B5037" s="371">
        <v>1</v>
      </c>
      <c r="C5037" s="371"/>
      <c r="D5037" s="2716" t="str">
        <f>VLOOKUP($A5037,Sheet_NoteList,2,0)</f>
        <v>支付的其他与经营活动有关的现金</v>
      </c>
      <c r="E5037" s="2716" t="s">
        <v>2742</v>
      </c>
      <c r="F5037" s="294"/>
      <c r="G5037" s="372" t="str">
        <f>"("&amp;B5037&amp;")"&amp;D5037</f>
        <v>(1)支付的其他与经营活动有关的现金</v>
      </c>
      <c r="H5037" s="1517" t="str">
        <f>$A5037</f>
        <v>7096a</v>
      </c>
      <c r="I5037" s="343" t="s">
        <v>2743</v>
      </c>
      <c r="J5037" s="301" t="s">
        <v>4256</v>
      </c>
      <c r="K5037" s="2210">
        <f>H5050</f>
        <v>176928385.74000001</v>
      </c>
      <c r="L5037" s="1535">
        <f>IF($I5037="适用",IF(ROUND(K5036-K5037,2)&gt;=0,IF(K5036&lt;&gt;0,K5037/K5036,""),"#Logical!"),"#N/A")</f>
        <v>1</v>
      </c>
      <c r="M5037" s="301" t="s">
        <v>4257</v>
      </c>
      <c r="N5037" s="2210">
        <f>I5050</f>
        <v>64284370.009999998</v>
      </c>
      <c r="O5037" s="1535">
        <f>IF($I5037="适用",IF(ROUND(N5036-N5037,2)&gt;=0,IF(N5036&lt;&gt;0,N5037/N5036,""),"#Logical!"),"#N/A")</f>
        <v>1</v>
      </c>
      <c r="P5037" s="301"/>
      <c r="Q5037" s="290" t="str">
        <f>IF($I5037="不适用","",IF(ROUND(SUM($H$5040:$I$5050),2)=0,"请输入",""))</f>
        <v/>
      </c>
      <c r="S5037" s="364"/>
      <c r="Z5037" s="609" t="s">
        <v>4386</v>
      </c>
      <c r="AA5037" s="609"/>
    </row>
    <row r="5038" spans="1:27" ht="0.75" customHeight="1" thickBot="1">
      <c r="A5038" s="2714"/>
      <c r="B5038" s="371"/>
      <c r="C5038" s="371"/>
      <c r="D5038" s="371"/>
      <c r="E5038" s="586"/>
      <c r="F5038" s="363"/>
      <c r="G5038" s="363" t="s">
        <v>4387</v>
      </c>
      <c r="H5038" s="294" t="s">
        <v>4223</v>
      </c>
      <c r="I5038" s="294" t="s">
        <v>4224</v>
      </c>
      <c r="J5038" s="291"/>
      <c r="K5038" s="291"/>
      <c r="L5038" s="291"/>
      <c r="M5038" s="291"/>
      <c r="S5038" s="364"/>
      <c r="Z5038" s="609" t="s">
        <v>4386</v>
      </c>
      <c r="AA5038" s="609"/>
    </row>
    <row r="5039" spans="1:27" ht="18">
      <c r="A5039" s="2714"/>
      <c r="B5039" s="371"/>
      <c r="C5039" s="371"/>
      <c r="D5039" s="371"/>
      <c r="E5039" s="586" t="s">
        <v>2749</v>
      </c>
      <c r="F5039" s="363"/>
      <c r="G5039" s="2453" t="s">
        <v>47</v>
      </c>
      <c r="H5039" s="2461" t="str">
        <f>$V$4</f>
        <v>2019年度</v>
      </c>
      <c r="I5039" s="2462" t="str">
        <f>$V$5</f>
        <v>2018年度</v>
      </c>
      <c r="J5039" s="355" t="s">
        <v>5342</v>
      </c>
      <c r="K5039" s="291"/>
      <c r="L5039" s="291"/>
      <c r="M5039" s="291"/>
      <c r="S5039" s="364"/>
      <c r="Z5039" s="609" t="s">
        <v>4386</v>
      </c>
      <c r="AA5039" s="609"/>
    </row>
    <row r="5040" spans="1:27" ht="18">
      <c r="A5040" s="2714"/>
      <c r="B5040" s="371">
        <v>101</v>
      </c>
      <c r="C5040" s="371" t="s">
        <v>2791</v>
      </c>
      <c r="D5040" s="2716">
        <f t="shared" ref="D5040:D5050" si="545">IF(OR(G5040="*",G5040="",G5040=0),0,COUNTIF($G$5040:$G$5050,G5040))</f>
        <v>1</v>
      </c>
      <c r="E5040" s="2721">
        <v>1</v>
      </c>
      <c r="F5040" s="294"/>
      <c r="G5040" s="2467" t="s">
        <v>6901</v>
      </c>
      <c r="H5040" s="2275"/>
      <c r="I5040" s="2296">
        <v>64050000</v>
      </c>
      <c r="J5040" s="291"/>
      <c r="K5040" s="291"/>
      <c r="L5040" s="291"/>
      <c r="M5040" s="291"/>
      <c r="S5040" s="364"/>
      <c r="Z5040" s="609" t="s">
        <v>4386</v>
      </c>
      <c r="AA5040" s="609"/>
    </row>
    <row r="5041" spans="1:27" ht="18">
      <c r="A5041" s="2714"/>
      <c r="B5041" s="371">
        <v>102</v>
      </c>
      <c r="C5041" s="371" t="s">
        <v>2791</v>
      </c>
      <c r="D5041" s="2716">
        <f t="shared" si="545"/>
        <v>1</v>
      </c>
      <c r="E5041" s="2721">
        <v>1</v>
      </c>
      <c r="F5041" s="294"/>
      <c r="G5041" s="2467" t="s">
        <v>6935</v>
      </c>
      <c r="H5041" s="2275">
        <v>12000</v>
      </c>
      <c r="I5041" s="2296">
        <v>52000</v>
      </c>
      <c r="J5041" s="291"/>
      <c r="K5041" s="291"/>
      <c r="L5041" s="291"/>
      <c r="M5041" s="291"/>
      <c r="S5041" s="364"/>
      <c r="Z5041" s="609" t="s">
        <v>4386</v>
      </c>
      <c r="AA5041" s="609"/>
    </row>
    <row r="5042" spans="1:27" ht="18">
      <c r="A5042" s="2714"/>
      <c r="B5042" s="371">
        <v>103</v>
      </c>
      <c r="C5042" s="371" t="s">
        <v>2791</v>
      </c>
      <c r="D5042" s="2716">
        <f t="shared" si="545"/>
        <v>1</v>
      </c>
      <c r="E5042" s="2721">
        <v>1</v>
      </c>
      <c r="F5042" s="294"/>
      <c r="G5042" s="2467" t="s">
        <v>6936</v>
      </c>
      <c r="H5042" s="2275">
        <v>418024.74</v>
      </c>
      <c r="I5042" s="2296">
        <v>182370.01</v>
      </c>
      <c r="J5042" s="291"/>
      <c r="K5042" s="3187"/>
      <c r="L5042" s="291"/>
      <c r="M5042" s="291"/>
      <c r="S5042" s="364"/>
      <c r="Z5042" s="609" t="s">
        <v>4386</v>
      </c>
      <c r="AA5042" s="609"/>
    </row>
    <row r="5043" spans="1:27" ht="18">
      <c r="A5043" s="2714"/>
      <c r="B5043" s="371">
        <v>104</v>
      </c>
      <c r="C5043" s="371" t="s">
        <v>2791</v>
      </c>
      <c r="D5043" s="2716">
        <f t="shared" si="545"/>
        <v>1</v>
      </c>
      <c r="E5043" s="2721">
        <v>1</v>
      </c>
      <c r="F5043" s="294"/>
      <c r="G5043" s="2467" t="s">
        <v>6937</v>
      </c>
      <c r="H5043" s="2275">
        <v>130</v>
      </c>
      <c r="I5043" s="2296"/>
      <c r="J5043" s="291"/>
      <c r="K5043" s="291"/>
      <c r="L5043" s="291"/>
      <c r="M5043" s="291"/>
      <c r="S5043" s="364"/>
      <c r="Z5043" s="609" t="s">
        <v>4386</v>
      </c>
      <c r="AA5043" s="609"/>
    </row>
    <row r="5044" spans="1:27" ht="18">
      <c r="A5044" s="2714"/>
      <c r="B5044" s="371">
        <v>105</v>
      </c>
      <c r="C5044" s="371" t="s">
        <v>2791</v>
      </c>
      <c r="D5044" s="2716">
        <f t="shared" si="545"/>
        <v>1</v>
      </c>
      <c r="E5044" s="2721">
        <v>1</v>
      </c>
      <c r="F5044" s="294"/>
      <c r="G5044" s="2467" t="s">
        <v>6934</v>
      </c>
      <c r="H5044" s="2275">
        <v>61580000</v>
      </c>
      <c r="I5044" s="2296"/>
      <c r="J5044" s="291"/>
      <c r="K5044" s="291"/>
      <c r="L5044" s="291"/>
      <c r="M5044" s="291"/>
      <c r="S5044" s="364"/>
      <c r="Z5044" s="609" t="s">
        <v>4386</v>
      </c>
      <c r="AA5044" s="609"/>
    </row>
    <row r="5045" spans="1:27" ht="18">
      <c r="A5045" s="2714"/>
      <c r="B5045" s="371">
        <v>106</v>
      </c>
      <c r="C5045" s="371" t="s">
        <v>2791</v>
      </c>
      <c r="D5045" s="2716">
        <f t="shared" si="545"/>
        <v>1</v>
      </c>
      <c r="E5045" s="2721">
        <v>1</v>
      </c>
      <c r="F5045" s="294"/>
      <c r="G5045" s="2467" t="s">
        <v>6933</v>
      </c>
      <c r="H5045" s="2275">
        <v>84550000</v>
      </c>
      <c r="I5045" s="2296"/>
      <c r="J5045" s="291"/>
      <c r="K5045" s="291"/>
      <c r="L5045" s="291"/>
      <c r="M5045" s="291"/>
      <c r="S5045" s="364"/>
      <c r="Z5045" s="609" t="s">
        <v>4386</v>
      </c>
      <c r="AA5045" s="609"/>
    </row>
    <row r="5046" spans="1:27" ht="18">
      <c r="A5046" s="2714"/>
      <c r="B5046" s="371">
        <v>107</v>
      </c>
      <c r="C5046" s="371" t="s">
        <v>2791</v>
      </c>
      <c r="D5046" s="2716">
        <f t="shared" si="545"/>
        <v>1</v>
      </c>
      <c r="E5046" s="2721">
        <v>1</v>
      </c>
      <c r="F5046" s="294"/>
      <c r="G5046" s="2467" t="s">
        <v>6932</v>
      </c>
      <c r="H5046" s="2275">
        <v>10000000</v>
      </c>
      <c r="I5046" s="2296"/>
      <c r="J5046" s="291"/>
      <c r="K5046" s="291"/>
      <c r="L5046" s="291"/>
      <c r="M5046" s="291"/>
      <c r="S5046" s="364"/>
      <c r="Z5046" s="609" t="s">
        <v>4386</v>
      </c>
      <c r="AA5046" s="609"/>
    </row>
    <row r="5047" spans="1:27" ht="18">
      <c r="A5047" s="2714"/>
      <c r="B5047" s="371">
        <v>108</v>
      </c>
      <c r="C5047" s="371" t="s">
        <v>2791</v>
      </c>
      <c r="D5047" s="2716">
        <f t="shared" si="545"/>
        <v>1</v>
      </c>
      <c r="E5047" s="2721">
        <v>1</v>
      </c>
      <c r="F5047" s="294"/>
      <c r="G5047" s="2467" t="s">
        <v>6930</v>
      </c>
      <c r="H5047" s="2275"/>
      <c r="I5047" s="2296"/>
      <c r="J5047" s="291"/>
      <c r="K5047" s="291"/>
      <c r="L5047" s="291"/>
      <c r="M5047" s="291"/>
      <c r="S5047" s="364"/>
      <c r="Z5047" s="609" t="s">
        <v>4386</v>
      </c>
      <c r="AA5047" s="609"/>
    </row>
    <row r="5048" spans="1:27" ht="18">
      <c r="A5048" s="2714"/>
      <c r="B5048" s="371">
        <v>109</v>
      </c>
      <c r="C5048" s="371" t="s">
        <v>2791</v>
      </c>
      <c r="D5048" s="2716">
        <f t="shared" si="545"/>
        <v>1</v>
      </c>
      <c r="E5048" s="2721">
        <v>1</v>
      </c>
      <c r="F5048" s="294"/>
      <c r="G5048" s="2467" t="s">
        <v>6938</v>
      </c>
      <c r="H5048" s="2275">
        <v>20368231</v>
      </c>
      <c r="I5048" s="2296"/>
      <c r="J5048" s="291"/>
      <c r="K5048" s="291"/>
      <c r="L5048" s="291"/>
      <c r="M5048" s="291"/>
      <c r="S5048" s="364"/>
      <c r="Z5048" s="609" t="s">
        <v>4386</v>
      </c>
      <c r="AA5048" s="609"/>
    </row>
    <row r="5049" spans="1:27" ht="18">
      <c r="A5049" s="2714"/>
      <c r="B5049" s="371">
        <v>110</v>
      </c>
      <c r="C5049" s="371" t="s">
        <v>2791</v>
      </c>
      <c r="D5049" s="2716">
        <f t="shared" si="545"/>
        <v>0</v>
      </c>
      <c r="E5049" s="2721">
        <v>1</v>
      </c>
      <c r="F5049" s="294"/>
      <c r="G5049" s="2467" t="s">
        <v>2792</v>
      </c>
      <c r="H5049" s="2275"/>
      <c r="I5049" s="2296"/>
      <c r="J5049" s="291"/>
      <c r="K5049" s="291"/>
      <c r="L5049" s="291"/>
      <c r="M5049" s="291"/>
      <c r="S5049" s="364"/>
      <c r="Z5049" s="609" t="s">
        <v>4386</v>
      </c>
      <c r="AA5049" s="609"/>
    </row>
    <row r="5050" spans="1:27" ht="18.75" thickBot="1">
      <c r="A5050" s="2714"/>
      <c r="B5050" s="371"/>
      <c r="C5050" s="371"/>
      <c r="D5050" s="2716">
        <f t="shared" si="545"/>
        <v>1</v>
      </c>
      <c r="E5050" s="2721" t="s">
        <v>2751</v>
      </c>
      <c r="F5050" s="294"/>
      <c r="G5050" s="2234" t="s">
        <v>2752</v>
      </c>
      <c r="H5050" s="2235">
        <f>SUMPRODUCT($E5039:$E5049,H5039:H5049)</f>
        <v>176928385.74000001</v>
      </c>
      <c r="I5050" s="2236">
        <f>SUMPRODUCT($E5039:$E5049,I5039:I5049)</f>
        <v>64284370.009999998</v>
      </c>
      <c r="J5050" s="291"/>
      <c r="K5050" s="291"/>
      <c r="L5050" s="291"/>
      <c r="M5050" s="291"/>
      <c r="S5050" s="364"/>
      <c r="Z5050" s="609" t="s">
        <v>4386</v>
      </c>
      <c r="AA5050" s="609"/>
    </row>
    <row r="5051" spans="1:27" ht="18">
      <c r="A5051" s="2714"/>
      <c r="B5051" s="371"/>
      <c r="C5051" s="371" t="s">
        <v>2755</v>
      </c>
      <c r="D5051" s="371"/>
      <c r="F5051" s="294"/>
      <c r="G5051" s="301"/>
      <c r="H5051" s="315"/>
      <c r="I5051" s="315"/>
      <c r="J5051" s="291"/>
      <c r="K5051" s="291"/>
      <c r="L5051" s="291"/>
      <c r="M5051" s="291"/>
      <c r="S5051" s="364"/>
      <c r="Z5051" s="609" t="s">
        <v>4386</v>
      </c>
      <c r="AA5051" s="609"/>
    </row>
    <row r="5052" spans="1:27" ht="18">
      <c r="A5052" s="2714">
        <v>7146</v>
      </c>
      <c r="B5052" s="371">
        <v>78.3</v>
      </c>
      <c r="C5052" s="2716" t="str">
        <f>VLOOKUP($A5052,Sheet_Items,2,0)</f>
        <v>收到其他与投资活动有关的现金</v>
      </c>
      <c r="D5052" s="371"/>
      <c r="E5052" s="2716" t="s">
        <v>2739</v>
      </c>
      <c r="F5052" s="294"/>
      <c r="G5052" s="536" t="str">
        <f>B5052&amp;" "&amp;C5052</f>
        <v>78.3 收到其他与投资活动有关的现金</v>
      </c>
      <c r="H5052" s="322"/>
      <c r="I5052" s="322"/>
      <c r="J5052" s="306" t="s">
        <v>4206</v>
      </c>
      <c r="K5052" s="341">
        <f>VLOOKUP($A5052,Sheet_Trialbal,6,0)</f>
        <v>0</v>
      </c>
      <c r="L5052" s="342"/>
      <c r="M5052" s="306" t="s">
        <v>4207</v>
      </c>
      <c r="N5052" s="341">
        <f>VLOOKUP($A5052,Sheet_Trialbal,10,0)</f>
        <v>0</v>
      </c>
      <c r="O5052" s="306"/>
      <c r="P5052" s="301"/>
      <c r="S5052" s="364"/>
      <c r="Z5052" s="609" t="s">
        <v>4388</v>
      </c>
      <c r="AA5052" s="609"/>
    </row>
    <row r="5053" spans="1:27" ht="24">
      <c r="A5053" s="2714" t="s">
        <v>1971</v>
      </c>
      <c r="B5053" s="371">
        <v>1</v>
      </c>
      <c r="C5053" s="371"/>
      <c r="D5053" s="2716" t="str">
        <f>VLOOKUP($A5053,Sheet_NoteList,2,0)</f>
        <v>收到的其他与投资活动有关的现金</v>
      </c>
      <c r="E5053" s="2716" t="s">
        <v>2742</v>
      </c>
      <c r="F5053" s="294"/>
      <c r="G5053" s="372" t="str">
        <f>"("&amp;B5053&amp;")"&amp;D5053</f>
        <v>(1)收到的其他与投资活动有关的现金</v>
      </c>
      <c r="H5053" s="1517" t="str">
        <f>$A5053</f>
        <v>7146a</v>
      </c>
      <c r="I5053" s="343" t="s">
        <v>2743</v>
      </c>
      <c r="J5053" s="301" t="s">
        <v>4256</v>
      </c>
      <c r="K5053" s="2210">
        <f>H5061</f>
        <v>0</v>
      </c>
      <c r="L5053" s="1535" t="str">
        <f>IF($I5053="适用",IF(ROUND(K5052-K5053,2)&gt;=0,IF(K5052&lt;&gt;0,K5053/K5052,""),"#Logical!"),"#N/A")</f>
        <v/>
      </c>
      <c r="M5053" s="301" t="s">
        <v>4257</v>
      </c>
      <c r="N5053" s="2210">
        <f>I5061</f>
        <v>0</v>
      </c>
      <c r="O5053" s="1535" t="str">
        <f>IF($I5053="适用",IF(ROUND(N5052-N5053,2)&gt;=0,IF(N5052&lt;&gt;0,N5053/N5052,""),"#Logical!"),"#N/A")</f>
        <v/>
      </c>
      <c r="P5053" s="301"/>
      <c r="Q5053" s="290" t="str">
        <f>IF($I5053="不适用","",IF(ROUND(SUM($H$5056:$I$5061),2)=0,"请输入",""))</f>
        <v>请输入</v>
      </c>
      <c r="S5053" s="364"/>
      <c r="Z5053" s="609" t="s">
        <v>4388</v>
      </c>
      <c r="AA5053" s="609"/>
    </row>
    <row r="5054" spans="1:27" ht="0.75" customHeight="1" thickBot="1">
      <c r="A5054" s="2714"/>
      <c r="B5054" s="371"/>
      <c r="C5054" s="371"/>
      <c r="D5054" s="371"/>
      <c r="E5054" s="586"/>
      <c r="F5054" s="363"/>
      <c r="G5054" s="363" t="s">
        <v>4389</v>
      </c>
      <c r="H5054" s="294" t="s">
        <v>4223</v>
      </c>
      <c r="I5054" s="294" t="s">
        <v>4224</v>
      </c>
      <c r="J5054" s="291"/>
      <c r="K5054" s="291"/>
      <c r="L5054" s="291"/>
      <c r="M5054" s="291"/>
      <c r="S5054" s="364"/>
      <c r="Z5054" s="609" t="s">
        <v>4388</v>
      </c>
      <c r="AA5054" s="609"/>
    </row>
    <row r="5055" spans="1:27" ht="18">
      <c r="A5055" s="2714"/>
      <c r="B5055" s="371"/>
      <c r="C5055" s="371"/>
      <c r="D5055" s="371"/>
      <c r="E5055" s="586" t="s">
        <v>2749</v>
      </c>
      <c r="F5055" s="363"/>
      <c r="G5055" s="2453" t="s">
        <v>47</v>
      </c>
      <c r="H5055" s="2461" t="str">
        <f>$V$4</f>
        <v>2019年度</v>
      </c>
      <c r="I5055" s="2462" t="str">
        <f>$V$5</f>
        <v>2018年度</v>
      </c>
      <c r="J5055" s="355" t="s">
        <v>5342</v>
      </c>
      <c r="K5055" s="291"/>
      <c r="L5055" s="291"/>
      <c r="M5055" s="291"/>
      <c r="S5055" s="364"/>
      <c r="Z5055" s="609" t="s">
        <v>4388</v>
      </c>
      <c r="AA5055" s="609"/>
    </row>
    <row r="5056" spans="1:27" ht="18">
      <c r="A5056" s="2714"/>
      <c r="B5056" s="371">
        <v>101</v>
      </c>
      <c r="C5056" s="371" t="s">
        <v>2791</v>
      </c>
      <c r="D5056" s="2716">
        <f t="shared" ref="D5056:D5061" si="546">IF(OR(G5056="*",G5056="",G5056=0),0,COUNTIF($G$5056:$G$5061,G5056))</f>
        <v>0</v>
      </c>
      <c r="E5056" s="2721">
        <v>1</v>
      </c>
      <c r="F5056" s="294"/>
      <c r="G5056" s="2467" t="s">
        <v>2792</v>
      </c>
      <c r="H5056" s="2275"/>
      <c r="I5056" s="2296"/>
      <c r="J5056" s="291"/>
      <c r="K5056" s="291"/>
      <c r="L5056" s="291"/>
      <c r="M5056" s="291"/>
      <c r="S5056" s="364"/>
      <c r="Z5056" s="609" t="s">
        <v>4388</v>
      </c>
      <c r="AA5056" s="609"/>
    </row>
    <row r="5057" spans="1:27" ht="18">
      <c r="A5057" s="2714"/>
      <c r="B5057" s="371">
        <v>102</v>
      </c>
      <c r="C5057" s="371" t="s">
        <v>2791</v>
      </c>
      <c r="D5057" s="2716">
        <f t="shared" si="546"/>
        <v>0</v>
      </c>
      <c r="E5057" s="2721">
        <v>1</v>
      </c>
      <c r="F5057" s="294"/>
      <c r="G5057" s="2467" t="s">
        <v>2792</v>
      </c>
      <c r="H5057" s="2275"/>
      <c r="I5057" s="2296"/>
      <c r="J5057" s="291"/>
      <c r="K5057" s="291"/>
      <c r="L5057" s="291"/>
      <c r="M5057" s="291"/>
      <c r="S5057" s="364"/>
      <c r="Z5057" s="609" t="s">
        <v>4388</v>
      </c>
      <c r="AA5057" s="609"/>
    </row>
    <row r="5058" spans="1:27" ht="18">
      <c r="A5058" s="2714"/>
      <c r="B5058" s="371">
        <v>103</v>
      </c>
      <c r="C5058" s="371" t="s">
        <v>2791</v>
      </c>
      <c r="D5058" s="2716">
        <f t="shared" si="546"/>
        <v>0</v>
      </c>
      <c r="E5058" s="2721">
        <v>1</v>
      </c>
      <c r="F5058" s="294"/>
      <c r="G5058" s="2467" t="s">
        <v>2792</v>
      </c>
      <c r="H5058" s="2275"/>
      <c r="I5058" s="2296"/>
      <c r="J5058" s="291"/>
      <c r="K5058" s="291"/>
      <c r="L5058" s="291"/>
      <c r="M5058" s="291"/>
      <c r="S5058" s="364"/>
      <c r="Z5058" s="609" t="s">
        <v>4388</v>
      </c>
      <c r="AA5058" s="609"/>
    </row>
    <row r="5059" spans="1:27" ht="18">
      <c r="A5059" s="2714"/>
      <c r="B5059" s="371">
        <v>104</v>
      </c>
      <c r="C5059" s="371" t="s">
        <v>2791</v>
      </c>
      <c r="D5059" s="2716">
        <f t="shared" si="546"/>
        <v>0</v>
      </c>
      <c r="E5059" s="2721">
        <v>1</v>
      </c>
      <c r="F5059" s="294"/>
      <c r="G5059" s="2467" t="s">
        <v>2792</v>
      </c>
      <c r="H5059" s="2275"/>
      <c r="I5059" s="2296"/>
      <c r="J5059" s="291"/>
      <c r="K5059" s="291"/>
      <c r="L5059" s="291"/>
      <c r="M5059" s="291"/>
      <c r="S5059" s="364"/>
      <c r="Z5059" s="609" t="s">
        <v>4388</v>
      </c>
      <c r="AA5059" s="609"/>
    </row>
    <row r="5060" spans="1:27" ht="18">
      <c r="A5060" s="2714"/>
      <c r="B5060" s="371">
        <v>105</v>
      </c>
      <c r="C5060" s="371" t="s">
        <v>2791</v>
      </c>
      <c r="D5060" s="2716">
        <f t="shared" si="546"/>
        <v>0</v>
      </c>
      <c r="E5060" s="2721">
        <v>1</v>
      </c>
      <c r="F5060" s="294"/>
      <c r="G5060" s="2467" t="s">
        <v>2792</v>
      </c>
      <c r="H5060" s="2275"/>
      <c r="I5060" s="2296"/>
      <c r="J5060" s="291"/>
      <c r="K5060" s="291"/>
      <c r="L5060" s="291"/>
      <c r="M5060" s="291"/>
      <c r="S5060" s="364"/>
      <c r="Z5060" s="609" t="s">
        <v>4388</v>
      </c>
      <c r="AA5060" s="609"/>
    </row>
    <row r="5061" spans="1:27" ht="18.75" thickBot="1">
      <c r="A5061" s="2714"/>
      <c r="B5061" s="371"/>
      <c r="C5061" s="371"/>
      <c r="D5061" s="2716">
        <f t="shared" si="546"/>
        <v>1</v>
      </c>
      <c r="E5061" s="2721" t="s">
        <v>2751</v>
      </c>
      <c r="F5061" s="294"/>
      <c r="G5061" s="2234" t="s">
        <v>2752</v>
      </c>
      <c r="H5061" s="2235">
        <f>SUMPRODUCT($E5055:$E5060,H5055:H5060)</f>
        <v>0</v>
      </c>
      <c r="I5061" s="2236">
        <f>SUMPRODUCT($E5055:$E5060,I5055:I5060)</f>
        <v>0</v>
      </c>
      <c r="J5061" s="291"/>
      <c r="K5061" s="291"/>
      <c r="L5061" s="291"/>
      <c r="M5061" s="291"/>
      <c r="S5061" s="364"/>
      <c r="Z5061" s="609" t="s">
        <v>4388</v>
      </c>
      <c r="AA5061" s="609"/>
    </row>
    <row r="5062" spans="1:27" ht="18">
      <c r="A5062" s="2714"/>
      <c r="B5062" s="371"/>
      <c r="C5062" s="371" t="s">
        <v>2755</v>
      </c>
      <c r="D5062" s="371"/>
      <c r="F5062" s="294"/>
      <c r="G5062" s="301"/>
      <c r="H5062" s="315"/>
      <c r="I5062" s="315"/>
      <c r="J5062" s="291"/>
      <c r="K5062" s="291"/>
      <c r="L5062" s="291"/>
      <c r="M5062" s="291"/>
      <c r="S5062" s="364"/>
      <c r="Z5062" s="609" t="s">
        <v>4388</v>
      </c>
      <c r="AA5062" s="609"/>
    </row>
    <row r="5063" spans="1:27" ht="18">
      <c r="A5063" s="2714">
        <v>7196</v>
      </c>
      <c r="B5063" s="371">
        <v>78.400000000000006</v>
      </c>
      <c r="C5063" s="2716" t="str">
        <f>VLOOKUP($A5063,Sheet_Items,2,0)</f>
        <v>支付其他与投资活动有关的现金</v>
      </c>
      <c r="D5063" s="371"/>
      <c r="E5063" s="2716" t="s">
        <v>2739</v>
      </c>
      <c r="F5063" s="294"/>
      <c r="G5063" s="536" t="str">
        <f>B5063&amp;" "&amp;C5063</f>
        <v>78.4 支付其他与投资活动有关的现金</v>
      </c>
      <c r="H5063" s="322"/>
      <c r="I5063" s="322"/>
      <c r="J5063" s="306" t="s">
        <v>4206</v>
      </c>
      <c r="K5063" s="341">
        <f>VLOOKUP($A5063,Sheet_Trialbal,6,0)</f>
        <v>0</v>
      </c>
      <c r="L5063" s="342"/>
      <c r="M5063" s="306" t="s">
        <v>4207</v>
      </c>
      <c r="N5063" s="341">
        <f>VLOOKUP($A5063,Sheet_Trialbal,10,0)</f>
        <v>0</v>
      </c>
      <c r="O5063" s="306"/>
      <c r="P5063" s="301"/>
      <c r="S5063" s="364"/>
      <c r="Z5063" s="609" t="s">
        <v>4390</v>
      </c>
      <c r="AA5063" s="609"/>
    </row>
    <row r="5064" spans="1:27" ht="24">
      <c r="A5064" s="2714" t="s">
        <v>1978</v>
      </c>
      <c r="B5064" s="371">
        <v>1</v>
      </c>
      <c r="C5064" s="371"/>
      <c r="D5064" s="2716" t="str">
        <f>VLOOKUP($A5064,Sheet_NoteList,2,0)</f>
        <v>支付的其他与投资活动有关的现金</v>
      </c>
      <c r="E5064" s="2716" t="s">
        <v>2742</v>
      </c>
      <c r="F5064" s="294"/>
      <c r="G5064" s="372" t="str">
        <f>"("&amp;B5064&amp;")"&amp;D5064</f>
        <v>(1)支付的其他与投资活动有关的现金</v>
      </c>
      <c r="H5064" s="1517" t="str">
        <f>$A5064</f>
        <v>7196a</v>
      </c>
      <c r="I5064" s="343" t="s">
        <v>2743</v>
      </c>
      <c r="J5064" s="301" t="s">
        <v>4256</v>
      </c>
      <c r="K5064" s="2210">
        <f>H5072</f>
        <v>0</v>
      </c>
      <c r="L5064" s="1535" t="str">
        <f>IF($I5064="适用",IF(ROUND(K5063-K5064,2)&gt;=0,IF(K5063&lt;&gt;0,K5064/K5063,""),"#Logical!"),"#N/A")</f>
        <v/>
      </c>
      <c r="M5064" s="301" t="s">
        <v>4257</v>
      </c>
      <c r="N5064" s="2210">
        <f>I5072</f>
        <v>0</v>
      </c>
      <c r="O5064" s="1535" t="str">
        <f>IF($I5064="适用",IF(ROUND(N5063-N5064,2)&gt;=0,IF(N5063&lt;&gt;0,N5064/N5063,""),"#Logical!"),"#N/A")</f>
        <v/>
      </c>
      <c r="P5064" s="301"/>
      <c r="Q5064" s="290" t="str">
        <f>IF($I5064="不适用","",IF(ROUND(SUM($H$5067:$I$5072),2)=0,"请输入",""))</f>
        <v>请输入</v>
      </c>
      <c r="S5064" s="364"/>
      <c r="Z5064" s="609" t="s">
        <v>4390</v>
      </c>
      <c r="AA5064" s="609"/>
    </row>
    <row r="5065" spans="1:27" ht="0.75" customHeight="1" thickBot="1">
      <c r="A5065" s="2714"/>
      <c r="B5065" s="371"/>
      <c r="C5065" s="371"/>
      <c r="D5065" s="371"/>
      <c r="E5065" s="586"/>
      <c r="F5065" s="363"/>
      <c r="G5065" s="363" t="s">
        <v>4391</v>
      </c>
      <c r="H5065" s="294" t="s">
        <v>4223</v>
      </c>
      <c r="I5065" s="294" t="s">
        <v>4224</v>
      </c>
      <c r="J5065" s="291"/>
      <c r="K5065" s="291"/>
      <c r="L5065" s="291"/>
      <c r="M5065" s="291"/>
      <c r="S5065" s="364"/>
      <c r="Z5065" s="609" t="s">
        <v>4390</v>
      </c>
      <c r="AA5065" s="609"/>
    </row>
    <row r="5066" spans="1:27" ht="18">
      <c r="A5066" s="2714"/>
      <c r="B5066" s="371"/>
      <c r="C5066" s="371"/>
      <c r="D5066" s="371"/>
      <c r="E5066" s="586" t="s">
        <v>2749</v>
      </c>
      <c r="F5066" s="363"/>
      <c r="G5066" s="2453" t="s">
        <v>47</v>
      </c>
      <c r="H5066" s="2461" t="str">
        <f>$V$4</f>
        <v>2019年度</v>
      </c>
      <c r="I5066" s="2462" t="str">
        <f>$V$5</f>
        <v>2018年度</v>
      </c>
      <c r="J5066" s="355" t="s">
        <v>5342</v>
      </c>
      <c r="K5066" s="291"/>
      <c r="L5066" s="291"/>
      <c r="M5066" s="291"/>
      <c r="S5066" s="364"/>
      <c r="Z5066" s="609" t="s">
        <v>4390</v>
      </c>
      <c r="AA5066" s="609"/>
    </row>
    <row r="5067" spans="1:27" ht="18">
      <c r="A5067" s="2714"/>
      <c r="B5067" s="371">
        <v>101</v>
      </c>
      <c r="C5067" s="371" t="s">
        <v>2791</v>
      </c>
      <c r="D5067" s="2716">
        <f t="shared" ref="D5067:D5072" si="547">IF(OR(G5067="*",G5067="",G5067=0),0,COUNTIF($G$5067:$G$5072,G5067))</f>
        <v>0</v>
      </c>
      <c r="E5067" s="2721">
        <v>1</v>
      </c>
      <c r="F5067" s="294"/>
      <c r="G5067" s="2467" t="s">
        <v>2792</v>
      </c>
      <c r="H5067" s="2275"/>
      <c r="I5067" s="2296"/>
      <c r="J5067" s="291"/>
      <c r="K5067" s="291"/>
      <c r="L5067" s="291"/>
      <c r="M5067" s="291"/>
      <c r="S5067" s="364"/>
      <c r="Z5067" s="609" t="s">
        <v>4390</v>
      </c>
      <c r="AA5067" s="609"/>
    </row>
    <row r="5068" spans="1:27" ht="18">
      <c r="A5068" s="2714"/>
      <c r="B5068" s="371">
        <v>102</v>
      </c>
      <c r="C5068" s="371" t="s">
        <v>2791</v>
      </c>
      <c r="D5068" s="2716">
        <f t="shared" si="547"/>
        <v>0</v>
      </c>
      <c r="E5068" s="2721">
        <v>1</v>
      </c>
      <c r="F5068" s="294"/>
      <c r="G5068" s="2467" t="s">
        <v>2792</v>
      </c>
      <c r="H5068" s="2275"/>
      <c r="I5068" s="2296"/>
      <c r="J5068" s="291"/>
      <c r="K5068" s="291"/>
      <c r="L5068" s="291"/>
      <c r="M5068" s="291"/>
      <c r="S5068" s="364"/>
      <c r="Z5068" s="609" t="s">
        <v>4390</v>
      </c>
      <c r="AA5068" s="609"/>
    </row>
    <row r="5069" spans="1:27" ht="18">
      <c r="A5069" s="2714"/>
      <c r="B5069" s="371">
        <v>103</v>
      </c>
      <c r="C5069" s="371" t="s">
        <v>2791</v>
      </c>
      <c r="D5069" s="2716">
        <f t="shared" si="547"/>
        <v>0</v>
      </c>
      <c r="E5069" s="2721">
        <v>1</v>
      </c>
      <c r="F5069" s="294"/>
      <c r="G5069" s="2467" t="s">
        <v>2792</v>
      </c>
      <c r="H5069" s="2275"/>
      <c r="I5069" s="2296"/>
      <c r="J5069" s="291"/>
      <c r="K5069" s="291"/>
      <c r="L5069" s="291"/>
      <c r="M5069" s="291"/>
      <c r="S5069" s="364"/>
      <c r="Z5069" s="609" t="s">
        <v>4390</v>
      </c>
      <c r="AA5069" s="609"/>
    </row>
    <row r="5070" spans="1:27" ht="18">
      <c r="A5070" s="2714"/>
      <c r="B5070" s="371">
        <v>104</v>
      </c>
      <c r="C5070" s="371" t="s">
        <v>2791</v>
      </c>
      <c r="D5070" s="2716">
        <f t="shared" si="547"/>
        <v>0</v>
      </c>
      <c r="E5070" s="2721">
        <v>1</v>
      </c>
      <c r="F5070" s="294"/>
      <c r="G5070" s="2467" t="s">
        <v>2792</v>
      </c>
      <c r="H5070" s="2275"/>
      <c r="I5070" s="2296"/>
      <c r="J5070" s="291"/>
      <c r="K5070" s="291"/>
      <c r="L5070" s="291"/>
      <c r="M5070" s="291"/>
      <c r="S5070" s="364"/>
      <c r="Z5070" s="609" t="s">
        <v>4390</v>
      </c>
      <c r="AA5070" s="609"/>
    </row>
    <row r="5071" spans="1:27" ht="18">
      <c r="A5071" s="2714"/>
      <c r="B5071" s="371">
        <v>105</v>
      </c>
      <c r="C5071" s="371" t="s">
        <v>2791</v>
      </c>
      <c r="D5071" s="2716">
        <f t="shared" si="547"/>
        <v>0</v>
      </c>
      <c r="E5071" s="2721">
        <v>1</v>
      </c>
      <c r="F5071" s="294"/>
      <c r="G5071" s="2467" t="s">
        <v>2792</v>
      </c>
      <c r="H5071" s="2275"/>
      <c r="I5071" s="2296"/>
      <c r="J5071" s="291"/>
      <c r="K5071" s="291"/>
      <c r="L5071" s="291"/>
      <c r="M5071" s="291"/>
      <c r="S5071" s="364"/>
      <c r="Z5071" s="609" t="s">
        <v>4390</v>
      </c>
      <c r="AA5071" s="609"/>
    </row>
    <row r="5072" spans="1:27" ht="18.75" thickBot="1">
      <c r="A5072" s="2714"/>
      <c r="B5072" s="371"/>
      <c r="C5072" s="371"/>
      <c r="D5072" s="2716">
        <f t="shared" si="547"/>
        <v>1</v>
      </c>
      <c r="E5072" s="2721" t="s">
        <v>2751</v>
      </c>
      <c r="F5072" s="294"/>
      <c r="G5072" s="2234" t="s">
        <v>2752</v>
      </c>
      <c r="H5072" s="2235">
        <f>SUMPRODUCT($E5066:$E5071,H5066:H5071)</f>
        <v>0</v>
      </c>
      <c r="I5072" s="2236">
        <f>SUMPRODUCT($E5066:$E5071,I5066:I5071)</f>
        <v>0</v>
      </c>
      <c r="J5072" s="291"/>
      <c r="K5072" s="291"/>
      <c r="L5072" s="291"/>
      <c r="M5072" s="291"/>
      <c r="S5072" s="364"/>
      <c r="Z5072" s="609" t="s">
        <v>4390</v>
      </c>
      <c r="AA5072" s="609"/>
    </row>
    <row r="5073" spans="1:27" ht="18">
      <c r="A5073" s="2714"/>
      <c r="B5073" s="371"/>
      <c r="C5073" s="371" t="s">
        <v>2755</v>
      </c>
      <c r="D5073" s="371"/>
      <c r="F5073" s="294"/>
      <c r="G5073" s="301"/>
      <c r="H5073" s="315"/>
      <c r="I5073" s="315"/>
      <c r="J5073" s="291"/>
      <c r="K5073" s="291"/>
      <c r="L5073" s="291"/>
      <c r="M5073" s="291"/>
      <c r="S5073" s="364"/>
      <c r="Z5073" s="609" t="s">
        <v>4390</v>
      </c>
      <c r="AA5073" s="609"/>
    </row>
    <row r="5074" spans="1:27" ht="18">
      <c r="A5074" s="2714">
        <v>7246</v>
      </c>
      <c r="B5074" s="371">
        <v>78.5</v>
      </c>
      <c r="C5074" s="2716" t="str">
        <f>VLOOKUP($A5074,Sheet_Items,2,0)</f>
        <v>收到其他与筹资活动有关的现金</v>
      </c>
      <c r="D5074" s="371"/>
      <c r="E5074" s="2716" t="s">
        <v>2739</v>
      </c>
      <c r="F5074" s="294"/>
      <c r="G5074" s="536" t="str">
        <f>B5074&amp;" "&amp;C5074</f>
        <v>78.5 收到其他与筹资活动有关的现金</v>
      </c>
      <c r="H5074" s="322"/>
      <c r="I5074" s="322"/>
      <c r="J5074" s="306" t="s">
        <v>4206</v>
      </c>
      <c r="K5074" s="341">
        <f>VLOOKUP($A5074,Sheet_Trialbal,6,0)</f>
        <v>0</v>
      </c>
      <c r="L5074" s="342"/>
      <c r="M5074" s="306" t="s">
        <v>4207</v>
      </c>
      <c r="N5074" s="341">
        <f>VLOOKUP($A5074,Sheet_Trialbal,10,0)</f>
        <v>0</v>
      </c>
      <c r="O5074" s="306"/>
      <c r="P5074" s="301"/>
      <c r="S5074" s="364"/>
      <c r="Z5074" s="609" t="s">
        <v>4392</v>
      </c>
      <c r="AA5074" s="609"/>
    </row>
    <row r="5075" spans="1:27" ht="24">
      <c r="A5075" s="2714" t="s">
        <v>1983</v>
      </c>
      <c r="B5075" s="371">
        <v>1</v>
      </c>
      <c r="C5075" s="371"/>
      <c r="D5075" s="2716" t="str">
        <f>VLOOKUP($A5075,Sheet_NoteList,2,0)</f>
        <v>收到的其他与筹资活动有关的现金</v>
      </c>
      <c r="E5075" s="2716" t="s">
        <v>2742</v>
      </c>
      <c r="F5075" s="294"/>
      <c r="G5075" s="372" t="str">
        <f>"("&amp;B5075&amp;")"&amp;D5075</f>
        <v>(1)收到的其他与筹资活动有关的现金</v>
      </c>
      <c r="H5075" s="1517" t="str">
        <f>$A5075</f>
        <v>7246a</v>
      </c>
      <c r="I5075" s="343" t="s">
        <v>2743</v>
      </c>
      <c r="J5075" s="301" t="s">
        <v>4256</v>
      </c>
      <c r="K5075" s="2210">
        <f>H5083</f>
        <v>0</v>
      </c>
      <c r="L5075" s="1535" t="str">
        <f>IF($I5075="适用",IF(ROUND(K5074-K5075,2)&gt;=0,IF(K5074&lt;&gt;0,K5075/K5074,""),"#Logical!"),"#N/A")</f>
        <v/>
      </c>
      <c r="M5075" s="301" t="s">
        <v>4257</v>
      </c>
      <c r="N5075" s="2210">
        <f>I5083</f>
        <v>0</v>
      </c>
      <c r="O5075" s="1535" t="str">
        <f>IF($I5075="适用",IF(ROUND(N5074-N5075,2)&gt;=0,IF(N5074&lt;&gt;0,N5075/N5074,""),"#Logical!"),"#N/A")</f>
        <v/>
      </c>
      <c r="P5075" s="301"/>
      <c r="Q5075" s="290" t="str">
        <f>IF($I5075="不适用","",IF(ROUND(SUM($H$5078:$I$5083),2)=0,"请输入",""))</f>
        <v>请输入</v>
      </c>
      <c r="S5075" s="364"/>
      <c r="Z5075" s="609" t="s">
        <v>4392</v>
      </c>
      <c r="AA5075" s="609"/>
    </row>
    <row r="5076" spans="1:27" ht="0.75" customHeight="1" thickBot="1">
      <c r="A5076" s="2714"/>
      <c r="B5076" s="371"/>
      <c r="C5076" s="371"/>
      <c r="D5076" s="371"/>
      <c r="E5076" s="586"/>
      <c r="F5076" s="363"/>
      <c r="G5076" s="363" t="s">
        <v>4393</v>
      </c>
      <c r="H5076" s="294" t="s">
        <v>4223</v>
      </c>
      <c r="I5076" s="294" t="s">
        <v>4224</v>
      </c>
      <c r="J5076" s="291"/>
      <c r="K5076" s="291"/>
      <c r="L5076" s="291"/>
      <c r="M5076" s="291"/>
      <c r="S5076" s="364"/>
      <c r="Z5076" s="609" t="s">
        <v>4392</v>
      </c>
      <c r="AA5076" s="609"/>
    </row>
    <row r="5077" spans="1:27" ht="18">
      <c r="A5077" s="2714"/>
      <c r="B5077" s="371"/>
      <c r="C5077" s="371"/>
      <c r="D5077" s="371"/>
      <c r="E5077" s="586" t="s">
        <v>2749</v>
      </c>
      <c r="F5077" s="363"/>
      <c r="G5077" s="2453" t="s">
        <v>47</v>
      </c>
      <c r="H5077" s="2461" t="str">
        <f>$V$4</f>
        <v>2019年度</v>
      </c>
      <c r="I5077" s="2462" t="str">
        <f>$V$5</f>
        <v>2018年度</v>
      </c>
      <c r="J5077" s="355" t="s">
        <v>5342</v>
      </c>
      <c r="K5077" s="291"/>
      <c r="L5077" s="291"/>
      <c r="M5077" s="291"/>
      <c r="S5077" s="364"/>
      <c r="Z5077" s="609" t="s">
        <v>4392</v>
      </c>
      <c r="AA5077" s="609"/>
    </row>
    <row r="5078" spans="1:27" ht="18">
      <c r="A5078" s="2714"/>
      <c r="B5078" s="371">
        <v>101</v>
      </c>
      <c r="C5078" s="371" t="s">
        <v>2791</v>
      </c>
      <c r="D5078" s="2716">
        <f t="shared" ref="D5078:D5083" si="548">IF(OR(G5078="*",G5078="",G5078=0),0,COUNTIF($G$5078:$G$5083,G5078))</f>
        <v>0</v>
      </c>
      <c r="E5078" s="2721">
        <v>1</v>
      </c>
      <c r="F5078" s="294"/>
      <c r="G5078" s="2467" t="s">
        <v>2792</v>
      </c>
      <c r="H5078" s="2275"/>
      <c r="I5078" s="2296"/>
      <c r="J5078" s="291"/>
      <c r="K5078" s="291"/>
      <c r="L5078" s="291"/>
      <c r="M5078" s="291"/>
      <c r="S5078" s="364"/>
      <c r="Z5078" s="609" t="s">
        <v>4392</v>
      </c>
      <c r="AA5078" s="609"/>
    </row>
    <row r="5079" spans="1:27" ht="18">
      <c r="A5079" s="2714"/>
      <c r="B5079" s="371">
        <v>102</v>
      </c>
      <c r="C5079" s="371" t="s">
        <v>2791</v>
      </c>
      <c r="D5079" s="2716">
        <f t="shared" si="548"/>
        <v>0</v>
      </c>
      <c r="E5079" s="2721">
        <v>1</v>
      </c>
      <c r="F5079" s="294"/>
      <c r="G5079" s="2467" t="s">
        <v>2792</v>
      </c>
      <c r="H5079" s="2275"/>
      <c r="I5079" s="2296"/>
      <c r="J5079" s="291"/>
      <c r="K5079" s="291"/>
      <c r="L5079" s="291"/>
      <c r="M5079" s="291"/>
      <c r="S5079" s="364"/>
      <c r="Z5079" s="609" t="s">
        <v>4392</v>
      </c>
      <c r="AA5079" s="609"/>
    </row>
    <row r="5080" spans="1:27" ht="18">
      <c r="A5080" s="2714"/>
      <c r="B5080" s="371">
        <v>103</v>
      </c>
      <c r="C5080" s="371" t="s">
        <v>2791</v>
      </c>
      <c r="D5080" s="2716">
        <f t="shared" si="548"/>
        <v>0</v>
      </c>
      <c r="E5080" s="2721">
        <v>1</v>
      </c>
      <c r="F5080" s="294"/>
      <c r="G5080" s="2467" t="s">
        <v>2792</v>
      </c>
      <c r="H5080" s="2275"/>
      <c r="I5080" s="2296"/>
      <c r="J5080" s="291"/>
      <c r="K5080" s="291"/>
      <c r="L5080" s="291"/>
      <c r="M5080" s="291"/>
      <c r="S5080" s="364"/>
      <c r="Z5080" s="609" t="s">
        <v>4392</v>
      </c>
      <c r="AA5080" s="609"/>
    </row>
    <row r="5081" spans="1:27" ht="18">
      <c r="A5081" s="2714"/>
      <c r="B5081" s="371">
        <v>104</v>
      </c>
      <c r="C5081" s="371" t="s">
        <v>2791</v>
      </c>
      <c r="D5081" s="2716">
        <f t="shared" si="548"/>
        <v>0</v>
      </c>
      <c r="E5081" s="2721">
        <v>1</v>
      </c>
      <c r="F5081" s="294"/>
      <c r="G5081" s="2467" t="s">
        <v>2792</v>
      </c>
      <c r="H5081" s="2275"/>
      <c r="I5081" s="2296"/>
      <c r="J5081" s="291"/>
      <c r="K5081" s="291"/>
      <c r="L5081" s="291"/>
      <c r="M5081" s="291"/>
      <c r="S5081" s="364"/>
      <c r="Z5081" s="609" t="s">
        <v>4392</v>
      </c>
      <c r="AA5081" s="609"/>
    </row>
    <row r="5082" spans="1:27" ht="18">
      <c r="A5082" s="2714"/>
      <c r="B5082" s="371">
        <v>105</v>
      </c>
      <c r="C5082" s="371" t="s">
        <v>2791</v>
      </c>
      <c r="D5082" s="2716">
        <f t="shared" si="548"/>
        <v>0</v>
      </c>
      <c r="E5082" s="2721">
        <v>1</v>
      </c>
      <c r="F5082" s="294"/>
      <c r="G5082" s="2467" t="s">
        <v>2792</v>
      </c>
      <c r="H5082" s="2275"/>
      <c r="I5082" s="2296"/>
      <c r="J5082" s="291"/>
      <c r="K5082" s="291"/>
      <c r="L5082" s="291"/>
      <c r="M5082" s="291"/>
      <c r="S5082" s="364"/>
      <c r="Z5082" s="609" t="s">
        <v>4392</v>
      </c>
      <c r="AA5082" s="609"/>
    </row>
    <row r="5083" spans="1:27" ht="18.75" thickBot="1">
      <c r="A5083" s="2714"/>
      <c r="B5083" s="371"/>
      <c r="C5083" s="371"/>
      <c r="D5083" s="2716">
        <f t="shared" si="548"/>
        <v>1</v>
      </c>
      <c r="E5083" s="2721" t="s">
        <v>2751</v>
      </c>
      <c r="F5083" s="294"/>
      <c r="G5083" s="2234" t="s">
        <v>2752</v>
      </c>
      <c r="H5083" s="2235">
        <f>SUMPRODUCT($E5077:$E5082,H5077:H5082)</f>
        <v>0</v>
      </c>
      <c r="I5083" s="2236">
        <f>SUMPRODUCT($E5077:$E5082,I5077:I5082)</f>
        <v>0</v>
      </c>
      <c r="J5083" s="291"/>
      <c r="K5083" s="291"/>
      <c r="L5083" s="291"/>
      <c r="M5083" s="291"/>
      <c r="S5083" s="364"/>
      <c r="Z5083" s="609" t="s">
        <v>4392</v>
      </c>
      <c r="AA5083" s="609"/>
    </row>
    <row r="5084" spans="1:27" ht="18">
      <c r="A5084" s="2714"/>
      <c r="B5084" s="371"/>
      <c r="C5084" s="371" t="s">
        <v>2755</v>
      </c>
      <c r="D5084" s="371"/>
      <c r="F5084" s="294"/>
      <c r="G5084" s="301"/>
      <c r="H5084" s="315"/>
      <c r="I5084" s="315"/>
      <c r="J5084" s="291"/>
      <c r="K5084" s="291"/>
      <c r="L5084" s="291"/>
      <c r="M5084" s="291"/>
      <c r="S5084" s="364"/>
      <c r="Z5084" s="609" t="s">
        <v>4392</v>
      </c>
      <c r="AA5084" s="609"/>
    </row>
    <row r="5085" spans="1:27" ht="18">
      <c r="A5085" s="2714">
        <v>7296</v>
      </c>
      <c r="B5085" s="371">
        <v>78.599999999999994</v>
      </c>
      <c r="C5085" s="2716" t="str">
        <f>VLOOKUP($A5085,Sheet_Items,2,0)</f>
        <v>支付其他与筹资活动有关的现金</v>
      </c>
      <c r="D5085" s="371"/>
      <c r="E5085" s="2716" t="s">
        <v>2739</v>
      </c>
      <c r="F5085" s="294"/>
      <c r="G5085" s="536" t="str">
        <f>B5085&amp;" "&amp;C5085</f>
        <v>78.6 支付其他与筹资活动有关的现金</v>
      </c>
      <c r="H5085" s="322"/>
      <c r="I5085" s="322"/>
      <c r="J5085" s="306" t="s">
        <v>4206</v>
      </c>
      <c r="K5085" s="341">
        <f>VLOOKUP($A5085,Sheet_Trialbal,6,0)</f>
        <v>0</v>
      </c>
      <c r="L5085" s="342"/>
      <c r="M5085" s="306" t="s">
        <v>4207</v>
      </c>
      <c r="N5085" s="341">
        <f>VLOOKUP($A5085,Sheet_Trialbal,10,0)</f>
        <v>0</v>
      </c>
      <c r="O5085" s="306"/>
      <c r="P5085" s="301"/>
      <c r="S5085" s="364"/>
      <c r="Z5085" s="609" t="s">
        <v>4394</v>
      </c>
      <c r="AA5085" s="609"/>
    </row>
    <row r="5086" spans="1:27" ht="24">
      <c r="A5086" s="2714" t="s">
        <v>1990</v>
      </c>
      <c r="B5086" s="371">
        <v>1</v>
      </c>
      <c r="C5086" s="371"/>
      <c r="D5086" s="2716" t="str">
        <f>VLOOKUP($A5086,Sheet_NoteList,2,0)</f>
        <v>支付的其他与筹资活动有关的现金</v>
      </c>
      <c r="E5086" s="2716" t="s">
        <v>2742</v>
      </c>
      <c r="F5086" s="294"/>
      <c r="G5086" s="372" t="str">
        <f>"("&amp;B5086&amp;")"&amp;D5086</f>
        <v>(1)支付的其他与筹资活动有关的现金</v>
      </c>
      <c r="H5086" s="1517" t="str">
        <f>$A5086</f>
        <v>7296a</v>
      </c>
      <c r="I5086" s="343" t="s">
        <v>2743</v>
      </c>
      <c r="J5086" s="301" t="s">
        <v>4256</v>
      </c>
      <c r="K5086" s="2210">
        <f>H5094</f>
        <v>0</v>
      </c>
      <c r="L5086" s="1535" t="str">
        <f>IF($I5086="适用",IF(ROUND(K5085-K5086,2)&gt;=0,IF(K5085&lt;&gt;0,K5086/K5085,""),"#Logical!"),"#N/A")</f>
        <v/>
      </c>
      <c r="M5086" s="301" t="s">
        <v>4257</v>
      </c>
      <c r="N5086" s="2210">
        <f>I5094</f>
        <v>0</v>
      </c>
      <c r="O5086" s="1535" t="str">
        <f>IF($I5086="适用",IF(ROUND(N5085-N5086,2)&gt;=0,IF(N5085&lt;&gt;0,N5086/N5085,""),"#Logical!"),"#N/A")</f>
        <v/>
      </c>
      <c r="P5086" s="301"/>
      <c r="Q5086" s="290" t="str">
        <f>IF($I5086="不适用","",IF(ROUND(SUM($H$5089:$I$5094),2)=0,"请输入",""))</f>
        <v>请输入</v>
      </c>
      <c r="S5086" s="364"/>
      <c r="Z5086" s="609" t="s">
        <v>4394</v>
      </c>
      <c r="AA5086" s="609"/>
    </row>
    <row r="5087" spans="1:27" ht="0.75" customHeight="1" thickBot="1">
      <c r="A5087" s="2714"/>
      <c r="B5087" s="371"/>
      <c r="C5087" s="371"/>
      <c r="D5087" s="371"/>
      <c r="E5087" s="586"/>
      <c r="F5087" s="363"/>
      <c r="G5087" s="363" t="s">
        <v>4395</v>
      </c>
      <c r="H5087" s="294" t="s">
        <v>4223</v>
      </c>
      <c r="I5087" s="294" t="s">
        <v>4224</v>
      </c>
      <c r="J5087" s="291"/>
      <c r="K5087" s="291"/>
      <c r="L5087" s="291"/>
      <c r="M5087" s="291"/>
      <c r="S5087" s="364"/>
      <c r="Z5087" s="609" t="s">
        <v>4394</v>
      </c>
      <c r="AA5087" s="609"/>
    </row>
    <row r="5088" spans="1:27" ht="18">
      <c r="A5088" s="2714"/>
      <c r="B5088" s="371"/>
      <c r="C5088" s="371"/>
      <c r="D5088" s="371"/>
      <c r="E5088" s="586" t="s">
        <v>2749</v>
      </c>
      <c r="F5088" s="363"/>
      <c r="G5088" s="2453" t="s">
        <v>47</v>
      </c>
      <c r="H5088" s="2461" t="str">
        <f>$V$4</f>
        <v>2019年度</v>
      </c>
      <c r="I5088" s="2462" t="str">
        <f>$V$5</f>
        <v>2018年度</v>
      </c>
      <c r="J5088" s="355" t="s">
        <v>5342</v>
      </c>
      <c r="K5088" s="291"/>
      <c r="L5088" s="291"/>
      <c r="M5088" s="291"/>
      <c r="S5088" s="364"/>
      <c r="Z5088" s="609" t="s">
        <v>4394</v>
      </c>
      <c r="AA5088" s="609"/>
    </row>
    <row r="5089" spans="1:27" ht="18">
      <c r="A5089" s="2714"/>
      <c r="B5089" s="371">
        <v>101</v>
      </c>
      <c r="C5089" s="371" t="s">
        <v>2791</v>
      </c>
      <c r="D5089" s="2716">
        <f t="shared" ref="D5089:D5094" si="549">IF(OR(G5089="*",G5089="",G5089=0),0,COUNTIF($G$5089:$G$5094,G5089))</f>
        <v>0</v>
      </c>
      <c r="E5089" s="2721">
        <v>1</v>
      </c>
      <c r="F5089" s="294"/>
      <c r="G5089" s="2467" t="s">
        <v>2792</v>
      </c>
      <c r="H5089" s="2275"/>
      <c r="I5089" s="2296"/>
      <c r="J5089" s="291"/>
      <c r="K5089" s="291"/>
      <c r="L5089" s="291"/>
      <c r="M5089" s="291"/>
      <c r="S5089" s="364"/>
      <c r="Z5089" s="609" t="s">
        <v>4394</v>
      </c>
      <c r="AA5089" s="609"/>
    </row>
    <row r="5090" spans="1:27" ht="18">
      <c r="A5090" s="2714"/>
      <c r="B5090" s="371">
        <v>102</v>
      </c>
      <c r="C5090" s="371" t="s">
        <v>2791</v>
      </c>
      <c r="D5090" s="2716">
        <f t="shared" si="549"/>
        <v>0</v>
      </c>
      <c r="E5090" s="2721">
        <v>1</v>
      </c>
      <c r="F5090" s="294"/>
      <c r="G5090" s="2467" t="s">
        <v>2792</v>
      </c>
      <c r="H5090" s="2275"/>
      <c r="I5090" s="2296"/>
      <c r="J5090" s="291"/>
      <c r="K5090" s="291"/>
      <c r="L5090" s="291"/>
      <c r="M5090" s="291"/>
      <c r="S5090" s="364"/>
      <c r="Z5090" s="609" t="s">
        <v>4394</v>
      </c>
      <c r="AA5090" s="609"/>
    </row>
    <row r="5091" spans="1:27" ht="18">
      <c r="A5091" s="2714"/>
      <c r="B5091" s="371">
        <v>103</v>
      </c>
      <c r="C5091" s="371" t="s">
        <v>2791</v>
      </c>
      <c r="D5091" s="2716">
        <f t="shared" si="549"/>
        <v>0</v>
      </c>
      <c r="E5091" s="2721">
        <v>1</v>
      </c>
      <c r="F5091" s="294"/>
      <c r="G5091" s="2467" t="s">
        <v>2792</v>
      </c>
      <c r="H5091" s="2275"/>
      <c r="I5091" s="2296"/>
      <c r="J5091" s="291"/>
      <c r="K5091" s="291"/>
      <c r="L5091" s="291"/>
      <c r="M5091" s="291"/>
      <c r="S5091" s="364"/>
      <c r="Z5091" s="609" t="s">
        <v>4394</v>
      </c>
      <c r="AA5091" s="609"/>
    </row>
    <row r="5092" spans="1:27" ht="18">
      <c r="A5092" s="2714"/>
      <c r="B5092" s="371">
        <v>104</v>
      </c>
      <c r="C5092" s="371" t="s">
        <v>2791</v>
      </c>
      <c r="D5092" s="2716">
        <f t="shared" si="549"/>
        <v>0</v>
      </c>
      <c r="E5092" s="2721">
        <v>1</v>
      </c>
      <c r="F5092" s="294"/>
      <c r="G5092" s="2467" t="s">
        <v>2792</v>
      </c>
      <c r="H5092" s="2275"/>
      <c r="I5092" s="2296"/>
      <c r="J5092" s="291"/>
      <c r="K5092" s="291"/>
      <c r="L5092" s="291"/>
      <c r="M5092" s="291"/>
      <c r="S5092" s="364"/>
      <c r="Z5092" s="609" t="s">
        <v>4394</v>
      </c>
      <c r="AA5092" s="609"/>
    </row>
    <row r="5093" spans="1:27" ht="18">
      <c r="A5093" s="2714"/>
      <c r="B5093" s="371">
        <v>105</v>
      </c>
      <c r="C5093" s="371" t="s">
        <v>2791</v>
      </c>
      <c r="D5093" s="2716">
        <f t="shared" si="549"/>
        <v>0</v>
      </c>
      <c r="E5093" s="2721">
        <v>1</v>
      </c>
      <c r="F5093" s="294"/>
      <c r="G5093" s="2467" t="s">
        <v>2792</v>
      </c>
      <c r="H5093" s="2275"/>
      <c r="I5093" s="2296"/>
      <c r="J5093" s="291"/>
      <c r="K5093" s="291"/>
      <c r="L5093" s="291"/>
      <c r="M5093" s="291"/>
      <c r="S5093" s="364"/>
      <c r="Z5093" s="609" t="s">
        <v>4394</v>
      </c>
      <c r="AA5093" s="609"/>
    </row>
    <row r="5094" spans="1:27" ht="18.75" thickBot="1">
      <c r="A5094" s="2714"/>
      <c r="B5094" s="371"/>
      <c r="C5094" s="371"/>
      <c r="D5094" s="2716">
        <f t="shared" si="549"/>
        <v>1</v>
      </c>
      <c r="E5094" s="2721" t="s">
        <v>2751</v>
      </c>
      <c r="F5094" s="294"/>
      <c r="G5094" s="2234" t="s">
        <v>2752</v>
      </c>
      <c r="H5094" s="2235">
        <f>SUMPRODUCT($E5088:$E5093,H5088:H5093)</f>
        <v>0</v>
      </c>
      <c r="I5094" s="2236">
        <f>SUMPRODUCT($E5088:$E5093,I5088:I5093)</f>
        <v>0</v>
      </c>
      <c r="J5094" s="291"/>
      <c r="K5094" s="291"/>
      <c r="L5094" s="291"/>
      <c r="M5094" s="291"/>
      <c r="S5094" s="364"/>
      <c r="Z5094" s="609" t="s">
        <v>4394</v>
      </c>
      <c r="AA5094" s="609"/>
    </row>
    <row r="5095" spans="1:27" ht="18">
      <c r="A5095" s="2714"/>
      <c r="B5095" s="371"/>
      <c r="C5095" s="371" t="s">
        <v>2755</v>
      </c>
      <c r="D5095" s="371"/>
      <c r="F5095" s="294"/>
      <c r="G5095" s="301"/>
      <c r="H5095" s="315"/>
      <c r="I5095" s="315"/>
      <c r="J5095" s="291"/>
      <c r="K5095" s="291"/>
      <c r="L5095" s="291"/>
      <c r="M5095" s="291"/>
      <c r="S5095" s="364"/>
      <c r="Z5095" s="609" t="s">
        <v>4394</v>
      </c>
      <c r="AA5095" s="609"/>
    </row>
    <row r="5096" spans="1:27" ht="18">
      <c r="A5096" s="2714">
        <v>7500</v>
      </c>
      <c r="B5096" s="371">
        <v>79</v>
      </c>
      <c r="C5096" s="2716" t="str">
        <f>VLOOKUP($A5096,Sheet_Items,2,0)</f>
        <v>现金流量表补充资料</v>
      </c>
      <c r="D5096" s="371"/>
      <c r="E5096" s="2716" t="s">
        <v>2739</v>
      </c>
      <c r="F5096" s="294"/>
      <c r="G5096" s="305" t="str">
        <f>B5096&amp;" "&amp;C5096</f>
        <v>79 现金流量表补充资料</v>
      </c>
      <c r="H5096" s="306"/>
      <c r="I5096" s="306"/>
      <c r="J5096" s="306"/>
      <c r="K5096" s="539"/>
      <c r="L5096" s="342"/>
      <c r="M5096" s="306"/>
      <c r="N5096" s="539"/>
      <c r="O5096" s="306"/>
      <c r="P5096" s="301"/>
      <c r="S5096" s="364"/>
      <c r="Z5096" s="609" t="s">
        <v>1995</v>
      </c>
      <c r="AA5096" s="609"/>
    </row>
    <row r="5097" spans="1:27" ht="24">
      <c r="A5097" s="2714" t="s">
        <v>1993</v>
      </c>
      <c r="B5097" s="371">
        <v>1</v>
      </c>
      <c r="C5097" s="371"/>
      <c r="D5097" s="2716" t="str">
        <f>VLOOKUP($A5097,Sheet_NoteList,2,0)</f>
        <v>将净利润调节为经营活动现金流量</v>
      </c>
      <c r="E5097" s="2716" t="s">
        <v>2742</v>
      </c>
      <c r="F5097" s="294"/>
      <c r="G5097" s="372" t="str">
        <f>"("&amp;B5097&amp;")"&amp;D5097</f>
        <v>(1)将净利润调节为经营活动现金流量</v>
      </c>
      <c r="H5097" s="1517" t="str">
        <f>$A5097</f>
        <v>7500a</v>
      </c>
      <c r="I5097" s="343" t="s">
        <v>2743</v>
      </c>
      <c r="J5097" s="301"/>
      <c r="K5097" s="3084"/>
      <c r="L5097" s="315"/>
      <c r="M5097" s="301"/>
      <c r="N5097" s="3084"/>
      <c r="O5097" s="315"/>
      <c r="P5097" s="301"/>
      <c r="Q5097" s="290" t="str">
        <f>IF($I5097="不适用","",IF(ROUND(SUM($H$5100:$I$5117),2)=0,"请输入",""))</f>
        <v/>
      </c>
      <c r="S5097" s="364"/>
      <c r="Z5097" s="609" t="s">
        <v>1995</v>
      </c>
      <c r="AA5097" s="609"/>
    </row>
    <row r="5098" spans="1:27" ht="0.75" customHeight="1" thickBot="1">
      <c r="A5098" s="2714"/>
      <c r="B5098" s="371"/>
      <c r="C5098" s="371"/>
      <c r="D5098" s="371"/>
      <c r="F5098" s="371" t="s">
        <v>5812</v>
      </c>
      <c r="G5098" s="371" t="s">
        <v>4396</v>
      </c>
      <c r="H5098" s="371" t="s">
        <v>3472</v>
      </c>
      <c r="I5098" s="371" t="s">
        <v>3473</v>
      </c>
      <c r="J5098" s="291"/>
      <c r="K5098" s="291"/>
      <c r="L5098" s="291"/>
      <c r="M5098" s="291"/>
      <c r="S5098" s="364"/>
      <c r="Z5098" s="609" t="s">
        <v>1995</v>
      </c>
      <c r="AA5098" s="609"/>
    </row>
    <row r="5099" spans="1:27" ht="18">
      <c r="A5099" s="2714"/>
      <c r="B5099" s="371"/>
      <c r="C5099" s="371"/>
      <c r="D5099" s="371"/>
      <c r="E5099" s="2716" t="s">
        <v>2749</v>
      </c>
      <c r="F5099" s="294"/>
      <c r="G5099" s="1503" t="s">
        <v>918</v>
      </c>
      <c r="H5099" s="1501" t="str">
        <f>$V$4</f>
        <v>2019年度</v>
      </c>
      <c r="I5099" s="593" t="str">
        <f>$V$5</f>
        <v>2018年度</v>
      </c>
      <c r="J5099" s="355" t="s">
        <v>5343</v>
      </c>
      <c r="K5099" s="291"/>
      <c r="L5099" s="291"/>
      <c r="M5099" s="291"/>
      <c r="S5099" s="364"/>
      <c r="Z5099" s="609" t="s">
        <v>1995</v>
      </c>
      <c r="AA5099" s="609"/>
    </row>
    <row r="5100" spans="1:27" ht="18">
      <c r="A5100" s="2714"/>
      <c r="B5100" s="371">
        <v>7502</v>
      </c>
      <c r="C5100" s="371"/>
      <c r="D5100" s="2716">
        <f t="shared" ref="D5100:D5117" si="550">IF(OR(G5100="*",G5100="",G5100=0),0,COUNTIF($G$5100:$G$5117,G5100))</f>
        <v>1</v>
      </c>
      <c r="E5100" s="2721">
        <v>1</v>
      </c>
      <c r="F5100" s="294"/>
      <c r="G5100" s="1502" t="str">
        <f t="shared" ref="G5100:G5116" si="551">VLOOKUP($B5100,Sheet_Items,6,0)</f>
        <v>净利润</v>
      </c>
      <c r="H5100" s="1476">
        <f t="shared" ref="H5100:H5116" si="552">VLOOKUP($B5100,Sheet_CF7,4,0)</f>
        <v>-2382740.34</v>
      </c>
      <c r="I5100" s="1477">
        <f t="shared" ref="I5100:I5116" si="553">VLOOKUP($B5100,Sheet_CF7,5,0)</f>
        <v>2563577.15</v>
      </c>
      <c r="J5100" s="291"/>
      <c r="K5100" s="291"/>
      <c r="L5100" s="291"/>
      <c r="M5100" s="291"/>
      <c r="S5100" s="364"/>
      <c r="Z5100" s="609" t="s">
        <v>1995</v>
      </c>
      <c r="AA5100" s="609"/>
    </row>
    <row r="5101" spans="1:27" ht="18">
      <c r="A5101" s="2714"/>
      <c r="B5101" s="371">
        <v>7503</v>
      </c>
      <c r="C5101" s="371"/>
      <c r="D5101" s="2716">
        <f t="shared" si="550"/>
        <v>1</v>
      </c>
      <c r="E5101" s="2721">
        <v>1</v>
      </c>
      <c r="F5101" s="294"/>
      <c r="G5101" s="1502" t="str">
        <f>VLOOKUP($B5101,Sheet_Items,6,0)</f>
        <v>加：资产减值准备</v>
      </c>
      <c r="H5101" s="1476">
        <f t="shared" si="552"/>
        <v>0</v>
      </c>
      <c r="I5101" s="1477">
        <f t="shared" si="553"/>
        <v>0</v>
      </c>
      <c r="J5101" s="291"/>
      <c r="K5101" s="291"/>
      <c r="L5101" s="291"/>
      <c r="M5101" s="291"/>
      <c r="S5101" s="364"/>
      <c r="Z5101" s="609" t="s">
        <v>1995</v>
      </c>
      <c r="AA5101" s="609"/>
    </row>
    <row r="5102" spans="1:27" ht="18">
      <c r="A5102" s="2714"/>
      <c r="B5102" s="371">
        <v>7504</v>
      </c>
      <c r="C5102" s="371" t="s">
        <v>2791</v>
      </c>
      <c r="D5102" s="2716">
        <f t="shared" ref="D5102" si="554">IF(OR(G5102="*",G5102="",G5102=0),0,COUNTIF($G$5100:$G$5117,G5102))</f>
        <v>1</v>
      </c>
      <c r="E5102" s="2721">
        <v>1</v>
      </c>
      <c r="F5102" s="294"/>
      <c r="G5102" s="1502" t="str">
        <f t="shared" si="551"/>
        <v>信用减值损失</v>
      </c>
      <c r="H5102" s="1476">
        <f t="shared" si="552"/>
        <v>0</v>
      </c>
      <c r="I5102" s="1477">
        <f t="shared" si="553"/>
        <v>0</v>
      </c>
      <c r="J5102" s="291"/>
      <c r="K5102" s="291"/>
      <c r="L5102" s="291"/>
      <c r="M5102" s="291"/>
      <c r="S5102" s="364"/>
      <c r="Z5102" s="609" t="s">
        <v>1995</v>
      </c>
      <c r="AA5102" s="609"/>
    </row>
    <row r="5103" spans="1:27" ht="36">
      <c r="A5103" s="2714"/>
      <c r="B5103" s="371">
        <v>7505</v>
      </c>
      <c r="C5103" s="371"/>
      <c r="D5103" s="2716">
        <f t="shared" si="550"/>
        <v>1</v>
      </c>
      <c r="E5103" s="2721">
        <v>1</v>
      </c>
      <c r="F5103" s="294"/>
      <c r="G5103" s="1502" t="str">
        <f t="shared" si="551"/>
        <v>固定资产折旧、投资性房地产折旧、油气资产折耗、生产性生物资产折旧</v>
      </c>
      <c r="H5103" s="1476">
        <f t="shared" si="552"/>
        <v>5521.44</v>
      </c>
      <c r="I5103" s="1477">
        <f t="shared" si="553"/>
        <v>5521.44</v>
      </c>
      <c r="J5103" s="291"/>
      <c r="K5103" s="291"/>
      <c r="L5103" s="291"/>
      <c r="M5103" s="291"/>
      <c r="S5103" s="364"/>
      <c r="Z5103" s="609" t="s">
        <v>1995</v>
      </c>
      <c r="AA5103" s="609"/>
    </row>
    <row r="5104" spans="1:27" ht="18">
      <c r="A5104" s="2714"/>
      <c r="B5104" s="371">
        <v>7506</v>
      </c>
      <c r="C5104" s="371"/>
      <c r="D5104" s="2716">
        <f t="shared" si="550"/>
        <v>1</v>
      </c>
      <c r="E5104" s="2721">
        <v>1</v>
      </c>
      <c r="F5104" s="294"/>
      <c r="G5104" s="1502" t="str">
        <f t="shared" si="551"/>
        <v>无形资产摊销</v>
      </c>
      <c r="H5104" s="1476">
        <f t="shared" si="552"/>
        <v>0</v>
      </c>
      <c r="I5104" s="1477">
        <f t="shared" si="553"/>
        <v>0</v>
      </c>
      <c r="J5104" s="291"/>
      <c r="K5104" s="291"/>
      <c r="L5104" s="291"/>
      <c r="M5104" s="291"/>
      <c r="S5104" s="364"/>
      <c r="Z5104" s="609" t="s">
        <v>1995</v>
      </c>
      <c r="AA5104" s="609"/>
    </row>
    <row r="5105" spans="1:27" ht="18">
      <c r="A5105" s="2714"/>
      <c r="B5105" s="371">
        <v>7507</v>
      </c>
      <c r="C5105" s="371"/>
      <c r="D5105" s="2716">
        <f t="shared" si="550"/>
        <v>1</v>
      </c>
      <c r="E5105" s="2721">
        <v>1</v>
      </c>
      <c r="F5105" s="294"/>
      <c r="G5105" s="1502" t="str">
        <f t="shared" si="551"/>
        <v>长期待摊费用摊销</v>
      </c>
      <c r="H5105" s="1476">
        <f t="shared" si="552"/>
        <v>0</v>
      </c>
      <c r="I5105" s="1477">
        <f t="shared" si="553"/>
        <v>0</v>
      </c>
      <c r="J5105" s="291"/>
      <c r="K5105" s="291"/>
      <c r="L5105" s="291"/>
      <c r="M5105" s="291"/>
      <c r="S5105" s="364"/>
      <c r="Z5105" s="609" t="s">
        <v>1995</v>
      </c>
      <c r="AA5105" s="609"/>
    </row>
    <row r="5106" spans="1:27" ht="36">
      <c r="A5106" s="2714"/>
      <c r="B5106" s="371">
        <v>7508</v>
      </c>
      <c r="C5106" s="371"/>
      <c r="D5106" s="2716">
        <f t="shared" si="550"/>
        <v>1</v>
      </c>
      <c r="E5106" s="2721">
        <v>1</v>
      </c>
      <c r="F5106" s="294"/>
      <c r="G5106" s="1502" t="str">
        <f t="shared" si="551"/>
        <v>处置固定资产、无形资产和其他长期资产的损失（收益以“－”号填列）</v>
      </c>
      <c r="H5106" s="1476">
        <f t="shared" si="552"/>
        <v>0</v>
      </c>
      <c r="I5106" s="1477">
        <f t="shared" si="553"/>
        <v>0</v>
      </c>
      <c r="J5106" s="291"/>
      <c r="K5106" s="291"/>
      <c r="L5106" s="291"/>
      <c r="M5106" s="291"/>
      <c r="S5106" s="364"/>
      <c r="Z5106" s="609" t="s">
        <v>1995</v>
      </c>
      <c r="AA5106" s="609"/>
    </row>
    <row r="5107" spans="1:27" ht="24">
      <c r="A5107" s="2714"/>
      <c r="B5107" s="371">
        <v>7509</v>
      </c>
      <c r="C5107" s="371"/>
      <c r="D5107" s="2716">
        <f t="shared" si="550"/>
        <v>1</v>
      </c>
      <c r="E5107" s="2721">
        <v>1</v>
      </c>
      <c r="F5107" s="294"/>
      <c r="G5107" s="1502" t="str">
        <f t="shared" si="551"/>
        <v>固定资产报废损失（收益以“－”号填列）</v>
      </c>
      <c r="H5107" s="1476">
        <f t="shared" si="552"/>
        <v>0</v>
      </c>
      <c r="I5107" s="1477">
        <f t="shared" si="553"/>
        <v>0</v>
      </c>
      <c r="J5107" s="291"/>
      <c r="K5107" s="291"/>
      <c r="L5107" s="291"/>
      <c r="M5107" s="291"/>
      <c r="S5107" s="364"/>
      <c r="Z5107" s="609" t="s">
        <v>1995</v>
      </c>
      <c r="AA5107" s="609"/>
    </row>
    <row r="5108" spans="1:27" ht="24">
      <c r="A5108" s="2714"/>
      <c r="B5108" s="371">
        <v>7510</v>
      </c>
      <c r="C5108" s="371"/>
      <c r="D5108" s="2716">
        <f t="shared" si="550"/>
        <v>1</v>
      </c>
      <c r="E5108" s="2721">
        <v>1</v>
      </c>
      <c r="F5108" s="294"/>
      <c r="G5108" s="1502" t="str">
        <f t="shared" si="551"/>
        <v>公允价值变动损失（收益以“－”号填列）</v>
      </c>
      <c r="H5108" s="1476">
        <f t="shared" si="552"/>
        <v>0</v>
      </c>
      <c r="I5108" s="1477">
        <f t="shared" si="553"/>
        <v>0</v>
      </c>
      <c r="J5108" s="291"/>
      <c r="K5108" s="291"/>
      <c r="L5108" s="291"/>
      <c r="M5108" s="291"/>
      <c r="S5108" s="364"/>
      <c r="Z5108" s="609" t="s">
        <v>1995</v>
      </c>
      <c r="AA5108" s="609"/>
    </row>
    <row r="5109" spans="1:27" ht="24">
      <c r="A5109" s="2714"/>
      <c r="B5109" s="371">
        <v>7511</v>
      </c>
      <c r="C5109" s="371"/>
      <c r="D5109" s="2716">
        <f t="shared" si="550"/>
        <v>1</v>
      </c>
      <c r="E5109" s="2721">
        <v>1</v>
      </c>
      <c r="F5109" s="294"/>
      <c r="G5109" s="1502" t="str">
        <f t="shared" si="551"/>
        <v>财务费用（收益以“－”号填列）</v>
      </c>
      <c r="H5109" s="1476">
        <f t="shared" si="552"/>
        <v>0</v>
      </c>
      <c r="I5109" s="1477">
        <f t="shared" si="553"/>
        <v>0</v>
      </c>
      <c r="J5109" s="291"/>
      <c r="K5109" s="291"/>
      <c r="L5109" s="291"/>
      <c r="M5109" s="291"/>
      <c r="S5109" s="364"/>
      <c r="Z5109" s="609" t="s">
        <v>1995</v>
      </c>
      <c r="AA5109" s="609"/>
    </row>
    <row r="5110" spans="1:27" ht="24">
      <c r="A5110" s="2714"/>
      <c r="B5110" s="371">
        <v>7512</v>
      </c>
      <c r="C5110" s="371"/>
      <c r="D5110" s="2716">
        <f t="shared" si="550"/>
        <v>1</v>
      </c>
      <c r="E5110" s="2721">
        <v>1</v>
      </c>
      <c r="F5110" s="294"/>
      <c r="G5110" s="1502" t="str">
        <f t="shared" si="551"/>
        <v>投资损失（收益以“－”号填列）</v>
      </c>
      <c r="H5110" s="1476">
        <f t="shared" si="552"/>
        <v>0</v>
      </c>
      <c r="I5110" s="1477">
        <f t="shared" si="553"/>
        <v>-5521086.3499999996</v>
      </c>
      <c r="J5110" s="291"/>
      <c r="K5110" s="291"/>
      <c r="L5110" s="291"/>
      <c r="M5110" s="291"/>
      <c r="S5110" s="364"/>
      <c r="Z5110" s="609" t="s">
        <v>1995</v>
      </c>
      <c r="AA5110" s="609"/>
    </row>
    <row r="5111" spans="1:27" ht="24">
      <c r="A5111" s="2714"/>
      <c r="B5111" s="371">
        <v>7515</v>
      </c>
      <c r="C5111" s="371"/>
      <c r="D5111" s="2716">
        <f t="shared" si="550"/>
        <v>1</v>
      </c>
      <c r="E5111" s="2721">
        <v>1</v>
      </c>
      <c r="F5111" s="294"/>
      <c r="G5111" s="1502" t="str">
        <f t="shared" si="551"/>
        <v>递延所得税资产减少（增加以“－”号填列）</v>
      </c>
      <c r="H5111" s="1476">
        <f t="shared" si="552"/>
        <v>0</v>
      </c>
      <c r="I5111" s="1477">
        <f t="shared" si="553"/>
        <v>-937117.56</v>
      </c>
      <c r="J5111" s="291"/>
      <c r="K5111" s="291"/>
      <c r="L5111" s="291"/>
      <c r="M5111" s="291"/>
      <c r="S5111" s="364"/>
      <c r="Z5111" s="609" t="s">
        <v>1995</v>
      </c>
      <c r="AA5111" s="609"/>
    </row>
    <row r="5112" spans="1:27" ht="24">
      <c r="A5112" s="2714"/>
      <c r="B5112" s="371">
        <v>7516</v>
      </c>
      <c r="C5112" s="371"/>
      <c r="D5112" s="2716">
        <f t="shared" si="550"/>
        <v>1</v>
      </c>
      <c r="E5112" s="2721">
        <v>1</v>
      </c>
      <c r="F5112" s="294"/>
      <c r="G5112" s="1502" t="str">
        <f t="shared" si="551"/>
        <v>递延所得税负债增加（减少以“－”号填列）</v>
      </c>
      <c r="H5112" s="1476">
        <f t="shared" si="552"/>
        <v>0</v>
      </c>
      <c r="I5112" s="1477">
        <f t="shared" si="553"/>
        <v>0</v>
      </c>
      <c r="J5112" s="291"/>
      <c r="K5112" s="291"/>
      <c r="L5112" s="291"/>
      <c r="M5112" s="291"/>
      <c r="S5112" s="364"/>
      <c r="Z5112" s="609" t="s">
        <v>1995</v>
      </c>
      <c r="AA5112" s="609"/>
    </row>
    <row r="5113" spans="1:27" ht="24">
      <c r="A5113" s="2714"/>
      <c r="B5113" s="371">
        <v>7517</v>
      </c>
      <c r="C5113" s="371"/>
      <c r="D5113" s="2716">
        <f t="shared" si="550"/>
        <v>1</v>
      </c>
      <c r="E5113" s="2721">
        <v>1</v>
      </c>
      <c r="F5113" s="294"/>
      <c r="G5113" s="1502" t="str">
        <f t="shared" si="551"/>
        <v>存货的减少（增加以“－”号填列）</v>
      </c>
      <c r="H5113" s="1476">
        <f t="shared" si="552"/>
        <v>17540765.449999999</v>
      </c>
      <c r="I5113" s="1477">
        <f t="shared" si="553"/>
        <v>-17540765.449999999</v>
      </c>
      <c r="J5113" s="291"/>
      <c r="K5113" s="291"/>
      <c r="L5113" s="291"/>
      <c r="M5113" s="291"/>
      <c r="S5113" s="364"/>
      <c r="Z5113" s="609" t="s">
        <v>1995</v>
      </c>
      <c r="AA5113" s="609"/>
    </row>
    <row r="5114" spans="1:27" ht="24">
      <c r="A5114" s="2714"/>
      <c r="B5114" s="371">
        <v>7518</v>
      </c>
      <c r="C5114" s="371"/>
      <c r="D5114" s="2716">
        <f t="shared" si="550"/>
        <v>1</v>
      </c>
      <c r="E5114" s="2721">
        <v>1</v>
      </c>
      <c r="F5114" s="294"/>
      <c r="G5114" s="1502" t="str">
        <f t="shared" si="551"/>
        <v>经营性应收项目的减少（增加以“－”号填列）</v>
      </c>
      <c r="H5114" s="1476">
        <f t="shared" si="552"/>
        <v>-68922970.75</v>
      </c>
      <c r="I5114" s="1477">
        <f t="shared" si="553"/>
        <v>72371151.260000005</v>
      </c>
      <c r="J5114" s="291"/>
      <c r="K5114" s="291"/>
      <c r="L5114" s="291"/>
      <c r="M5114" s="291"/>
      <c r="S5114" s="364"/>
      <c r="Z5114" s="609" t="s">
        <v>1995</v>
      </c>
      <c r="AA5114" s="609"/>
    </row>
    <row r="5115" spans="1:27" ht="24">
      <c r="A5115" s="2714"/>
      <c r="B5115" s="371">
        <v>7519</v>
      </c>
      <c r="C5115" s="371"/>
      <c r="D5115" s="2716">
        <f t="shared" si="550"/>
        <v>1</v>
      </c>
      <c r="E5115" s="2721">
        <v>1</v>
      </c>
      <c r="F5115" s="294"/>
      <c r="G5115" s="1502" t="str">
        <f t="shared" si="551"/>
        <v>经营性应付项目的增加（减少以“－”号填列）</v>
      </c>
      <c r="H5115" s="1476">
        <f t="shared" si="552"/>
        <v>-33632216.270000003</v>
      </c>
      <c r="I5115" s="1477">
        <f t="shared" si="553"/>
        <v>26845588.030000001</v>
      </c>
      <c r="J5115" s="291"/>
      <c r="K5115" s="291"/>
      <c r="L5115" s="291"/>
      <c r="M5115" s="291"/>
      <c r="S5115" s="364"/>
      <c r="Z5115" s="609" t="s">
        <v>1995</v>
      </c>
      <c r="AA5115" s="609"/>
    </row>
    <row r="5116" spans="1:27" ht="18">
      <c r="A5116" s="2714"/>
      <c r="B5116" s="371">
        <v>7523</v>
      </c>
      <c r="C5116" s="371"/>
      <c r="D5116" s="2716">
        <f t="shared" si="550"/>
        <v>1</v>
      </c>
      <c r="E5116" s="2721">
        <v>1</v>
      </c>
      <c r="F5116" s="294"/>
      <c r="G5116" s="1502" t="str">
        <f t="shared" si="551"/>
        <v>其他</v>
      </c>
      <c r="H5116" s="1476">
        <f t="shared" si="552"/>
        <v>0</v>
      </c>
      <c r="I5116" s="1477">
        <f t="shared" si="553"/>
        <v>0</v>
      </c>
      <c r="J5116" s="343"/>
      <c r="K5116" s="291"/>
      <c r="L5116" s="291"/>
      <c r="M5116" s="291"/>
      <c r="S5116" s="364"/>
      <c r="Z5116" s="609" t="s">
        <v>1995</v>
      </c>
      <c r="AA5116" s="609"/>
    </row>
    <row r="5117" spans="1:27" ht="18.75" thickBot="1">
      <c r="A5117" s="2714"/>
      <c r="B5117" s="371"/>
      <c r="C5117" s="371"/>
      <c r="D5117" s="2716">
        <f t="shared" si="550"/>
        <v>1</v>
      </c>
      <c r="E5117" s="2721" t="s">
        <v>3032</v>
      </c>
      <c r="F5117" s="294"/>
      <c r="G5117" s="374" t="s">
        <v>2247</v>
      </c>
      <c r="H5117" s="1478">
        <f>SUMPRODUCT($E5099:$E5116,H5099:H5116)</f>
        <v>-87391640.469999999</v>
      </c>
      <c r="I5117" s="1479">
        <f>SUMPRODUCT($E5099:$E5116,I5099:I5116)</f>
        <v>77786868.519999996</v>
      </c>
      <c r="J5117" s="291"/>
      <c r="K5117" s="291"/>
      <c r="L5117" s="291"/>
      <c r="M5117" s="291"/>
      <c r="S5117" s="364"/>
      <c r="Z5117" s="609" t="s">
        <v>1995</v>
      </c>
      <c r="AA5117" s="609"/>
    </row>
    <row r="5118" spans="1:27" ht="24.75" thickBot="1">
      <c r="A5118" s="2714"/>
      <c r="B5118" s="371">
        <v>901</v>
      </c>
      <c r="C5118" s="371"/>
      <c r="D5118" s="371"/>
      <c r="E5118" s="2716" t="s">
        <v>2753</v>
      </c>
      <c r="F5118" s="294"/>
      <c r="G5118" s="1507" t="s">
        <v>4397</v>
      </c>
      <c r="H5118" s="313"/>
      <c r="I5118" s="348"/>
      <c r="J5118" s="343"/>
      <c r="K5118" s="349"/>
      <c r="L5118" s="349"/>
      <c r="M5118" s="291"/>
      <c r="N5118" s="291"/>
      <c r="O5118" s="291"/>
      <c r="P5118" s="291"/>
      <c r="S5118" s="364"/>
      <c r="Z5118" s="609" t="s">
        <v>1995</v>
      </c>
      <c r="AA5118" s="609"/>
    </row>
    <row r="5119" spans="1:27" ht="18">
      <c r="A5119" s="2714"/>
      <c r="B5119" s="371"/>
      <c r="C5119" s="371" t="s">
        <v>2755</v>
      </c>
      <c r="D5119" s="371"/>
      <c r="F5119" s="294"/>
      <c r="G5119" s="301"/>
      <c r="H5119" s="315"/>
      <c r="I5119" s="315"/>
      <c r="J5119" s="291"/>
      <c r="K5119" s="291"/>
      <c r="L5119" s="291"/>
      <c r="M5119" s="291"/>
      <c r="S5119" s="364"/>
      <c r="Z5119" s="609" t="s">
        <v>1995</v>
      </c>
      <c r="AA5119" s="609"/>
    </row>
    <row r="5120" spans="1:27" ht="24">
      <c r="A5120" s="2714" t="s">
        <v>1996</v>
      </c>
      <c r="B5120" s="371">
        <v>2</v>
      </c>
      <c r="C5120" s="371"/>
      <c r="D5120" s="2716" t="str">
        <f>VLOOKUP($A5120,Sheet_NoteList,2,0)</f>
        <v>不涉及现金收支的重大投资和筹资活动</v>
      </c>
      <c r="E5120" s="2716" t="s">
        <v>2742</v>
      </c>
      <c r="F5120" s="294"/>
      <c r="G5120" s="372" t="str">
        <f>"("&amp;B5120&amp;")"&amp;D5120</f>
        <v>(2)不涉及现金收支的重大投资和筹资活动</v>
      </c>
      <c r="H5120" s="1517" t="str">
        <f>$A5120</f>
        <v>7500b</v>
      </c>
      <c r="I5120" s="343" t="s">
        <v>2743</v>
      </c>
      <c r="J5120" s="301"/>
      <c r="K5120" s="3084"/>
      <c r="L5120" s="315"/>
      <c r="M5120" s="301"/>
      <c r="N5120" s="3084"/>
      <c r="O5120" s="315"/>
      <c r="P5120" s="301"/>
      <c r="S5120" s="364"/>
      <c r="Z5120" s="609" t="s">
        <v>1995</v>
      </c>
      <c r="AA5120" s="609"/>
    </row>
    <row r="5121" spans="1:27" ht="0.75" customHeight="1" thickBot="1">
      <c r="A5121" s="2714"/>
      <c r="B5121" s="371"/>
      <c r="C5121" s="371"/>
      <c r="D5121" s="371"/>
      <c r="F5121" s="294" t="s">
        <v>5812</v>
      </c>
      <c r="G5121" s="294" t="s">
        <v>4398</v>
      </c>
      <c r="H5121" s="294" t="s">
        <v>3472</v>
      </c>
      <c r="I5121" s="294" t="s">
        <v>3473</v>
      </c>
      <c r="J5121" s="291"/>
      <c r="K5121" s="291"/>
      <c r="L5121" s="291"/>
      <c r="M5121" s="291"/>
      <c r="S5121" s="364"/>
      <c r="Z5121" s="609" t="s">
        <v>1995</v>
      </c>
      <c r="AA5121" s="609"/>
    </row>
    <row r="5122" spans="1:27" ht="18">
      <c r="A5122" s="2714"/>
      <c r="B5122" s="371"/>
      <c r="C5122" s="371"/>
      <c r="D5122" s="371"/>
      <c r="E5122" s="2716" t="s">
        <v>2749</v>
      </c>
      <c r="F5122" s="294"/>
      <c r="G5122" s="1503" t="s">
        <v>918</v>
      </c>
      <c r="H5122" s="1501" t="str">
        <f>$V$4</f>
        <v>2019年度</v>
      </c>
      <c r="I5122" s="593" t="str">
        <f>$V$5</f>
        <v>2018年度</v>
      </c>
      <c r="J5122" s="355" t="s">
        <v>5343</v>
      </c>
      <c r="K5122" s="291"/>
      <c r="L5122" s="291"/>
      <c r="M5122" s="291"/>
      <c r="S5122" s="364"/>
      <c r="Z5122" s="609" t="s">
        <v>1995</v>
      </c>
      <c r="AA5122" s="609"/>
    </row>
    <row r="5123" spans="1:27" ht="18">
      <c r="A5123" s="2714"/>
      <c r="B5123" s="371">
        <v>7527</v>
      </c>
      <c r="C5123" s="371"/>
      <c r="D5123" s="2716">
        <f>IF(OR(G5123="*",G5123="",G5123=0),0,COUNTIF($G$5123:$G$5126,G5123))</f>
        <v>1</v>
      </c>
      <c r="E5123" s="2721">
        <v>1</v>
      </c>
      <c r="F5123" s="294"/>
      <c r="G5123" s="1502" t="str">
        <f>VLOOKUP($B5123,Sheet_Items,6,0)</f>
        <v>债务转为资本</v>
      </c>
      <c r="H5123" s="1476">
        <f>VLOOKUP($B5123,Sheet_CF7,4,0)</f>
        <v>0</v>
      </c>
      <c r="I5123" s="1477">
        <f>VLOOKUP($B5123,Sheet_CF7,5,0)</f>
        <v>0</v>
      </c>
      <c r="J5123" s="291"/>
      <c r="K5123" s="291"/>
      <c r="L5123" s="291"/>
      <c r="M5123" s="291"/>
      <c r="S5123" s="364"/>
      <c r="Z5123" s="609" t="s">
        <v>1995</v>
      </c>
      <c r="AA5123" s="609"/>
    </row>
    <row r="5124" spans="1:27" ht="18">
      <c r="A5124" s="2714"/>
      <c r="B5124" s="371">
        <v>7528</v>
      </c>
      <c r="C5124" s="371"/>
      <c r="D5124" s="2716">
        <f>IF(OR(G5124="*",G5124="",G5124=0),0,COUNTIF($G$5123:$G$5126,G5124))</f>
        <v>1</v>
      </c>
      <c r="E5124" s="2721">
        <v>1</v>
      </c>
      <c r="F5124" s="294"/>
      <c r="G5124" s="1502" t="str">
        <f>VLOOKUP($B5124,Sheet_Items,6,0)</f>
        <v>一年内到期的可转换公司债券</v>
      </c>
      <c r="H5124" s="1476">
        <f>VLOOKUP($B5124,Sheet_CF7,4,0)</f>
        <v>0</v>
      </c>
      <c r="I5124" s="1477">
        <f>VLOOKUP($B5124,Sheet_CF7,5,0)</f>
        <v>0</v>
      </c>
      <c r="J5124" s="291"/>
      <c r="K5124" s="291"/>
      <c r="L5124" s="291"/>
      <c r="M5124" s="291"/>
      <c r="S5124" s="364"/>
      <c r="Z5124" s="609" t="s">
        <v>1995</v>
      </c>
      <c r="AA5124" s="609"/>
    </row>
    <row r="5125" spans="1:27" ht="18">
      <c r="A5125" s="2714"/>
      <c r="B5125" s="371">
        <v>7529</v>
      </c>
      <c r="C5125" s="371"/>
      <c r="D5125" s="2716">
        <f>IF(OR(G5125="*",G5125="",G5125=0),0,COUNTIF($G$5123:$G$5126,G5125))</f>
        <v>1</v>
      </c>
      <c r="E5125" s="2721">
        <v>1</v>
      </c>
      <c r="F5125" s="294"/>
      <c r="G5125" s="1502" t="str">
        <f>VLOOKUP($B5125,Sheet_Items,6,0)</f>
        <v>融资租入固定资产</v>
      </c>
      <c r="H5125" s="1476">
        <f>VLOOKUP($B5125,Sheet_CF7,4,0)</f>
        <v>0</v>
      </c>
      <c r="I5125" s="1477">
        <f>VLOOKUP($B5125,Sheet_CF7,5,0)</f>
        <v>0</v>
      </c>
      <c r="J5125" s="291"/>
      <c r="K5125" s="291"/>
      <c r="L5125" s="291"/>
      <c r="M5125" s="291"/>
      <c r="S5125" s="364"/>
      <c r="Z5125" s="609" t="s">
        <v>1995</v>
      </c>
      <c r="AA5125" s="609"/>
    </row>
    <row r="5126" spans="1:27" ht="18.75" thickBot="1">
      <c r="A5126" s="2714"/>
      <c r="B5126" s="371"/>
      <c r="C5126" s="371"/>
      <c r="D5126" s="2716">
        <f>IF(OR(G5126="*",G5126="",G5126=0),0,COUNTIF($G$5123:$G$5126,G5126))</f>
        <v>0</v>
      </c>
      <c r="E5126" s="2721" t="s">
        <v>3595</v>
      </c>
      <c r="F5126" s="294"/>
      <c r="G5126" s="2381"/>
      <c r="H5126" s="2680"/>
      <c r="I5126" s="2681"/>
      <c r="J5126" s="291"/>
      <c r="K5126" s="291"/>
      <c r="L5126" s="291"/>
      <c r="M5126" s="291"/>
      <c r="S5126" s="364"/>
      <c r="Z5126" s="609" t="s">
        <v>1995</v>
      </c>
      <c r="AA5126" s="609"/>
    </row>
    <row r="5127" spans="1:27" ht="18">
      <c r="A5127" s="2714"/>
      <c r="B5127" s="371"/>
      <c r="C5127" s="371" t="s">
        <v>2755</v>
      </c>
      <c r="D5127" s="371"/>
      <c r="F5127" s="294"/>
      <c r="G5127" s="301"/>
      <c r="H5127" s="315"/>
      <c r="I5127" s="315"/>
      <c r="J5127" s="291"/>
      <c r="K5127" s="291"/>
      <c r="L5127" s="291"/>
      <c r="M5127" s="291"/>
      <c r="S5127" s="364"/>
      <c r="Z5127" s="609" t="s">
        <v>1995</v>
      </c>
      <c r="AA5127" s="609"/>
    </row>
    <row r="5128" spans="1:27" ht="24">
      <c r="A5128" s="2714" t="s">
        <v>1998</v>
      </c>
      <c r="B5128" s="371">
        <v>3</v>
      </c>
      <c r="C5128" s="371"/>
      <c r="D5128" s="2716" t="str">
        <f>VLOOKUP($A5128,Sheet_NoteList,2,0)</f>
        <v>现金及现金等价物净变动情况</v>
      </c>
      <c r="E5128" s="2716" t="s">
        <v>2742</v>
      </c>
      <c r="F5128" s="294"/>
      <c r="G5128" s="372" t="str">
        <f>"("&amp;B5128&amp;")"&amp;D5128</f>
        <v>(3)现金及现金等价物净变动情况</v>
      </c>
      <c r="H5128" s="1517" t="str">
        <f>$A5128</f>
        <v>7500c</v>
      </c>
      <c r="I5128" s="343" t="s">
        <v>2743</v>
      </c>
      <c r="J5128" s="301"/>
      <c r="K5128" s="3084"/>
      <c r="L5128" s="315"/>
      <c r="M5128" s="301"/>
      <c r="N5128" s="3084"/>
      <c r="O5128" s="315"/>
      <c r="P5128" s="301"/>
      <c r="Q5128" s="290" t="str">
        <f>IF($I5128="不适用","",IF(ROUND(SUM($H$5131:$I$5135),2)=0,"请输入",""))</f>
        <v/>
      </c>
      <c r="S5128" s="364"/>
      <c r="Z5128" s="609" t="s">
        <v>1995</v>
      </c>
      <c r="AA5128" s="609"/>
    </row>
    <row r="5129" spans="1:27" ht="0.75" customHeight="1" thickBot="1">
      <c r="A5129" s="2714"/>
      <c r="B5129" s="371"/>
      <c r="C5129" s="371"/>
      <c r="D5129" s="371"/>
      <c r="F5129" s="304" t="s">
        <v>5812</v>
      </c>
      <c r="G5129" s="304" t="s">
        <v>4399</v>
      </c>
      <c r="H5129" s="304" t="s">
        <v>3472</v>
      </c>
      <c r="I5129" s="304" t="s">
        <v>3473</v>
      </c>
      <c r="J5129" s="291"/>
      <c r="K5129" s="291"/>
      <c r="L5129" s="291"/>
      <c r="M5129" s="291"/>
      <c r="S5129" s="364"/>
      <c r="Z5129" s="609" t="s">
        <v>1995</v>
      </c>
      <c r="AA5129" s="609"/>
    </row>
    <row r="5130" spans="1:27" ht="18">
      <c r="A5130" s="2714"/>
      <c r="B5130" s="371"/>
      <c r="C5130" s="371"/>
      <c r="D5130" s="371"/>
      <c r="E5130" s="2716" t="s">
        <v>2749</v>
      </c>
      <c r="F5130" s="294"/>
      <c r="G5130" s="378" t="s">
        <v>918</v>
      </c>
      <c r="H5130" s="398" t="str">
        <f>$V$4</f>
        <v>2019年度</v>
      </c>
      <c r="I5130" s="511" t="str">
        <f>$V$5</f>
        <v>2018年度</v>
      </c>
      <c r="J5130" s="355" t="s">
        <v>5343</v>
      </c>
      <c r="K5130" s="291"/>
      <c r="L5130" s="291"/>
      <c r="M5130" s="291"/>
      <c r="S5130" s="364"/>
      <c r="Z5130" s="609" t="s">
        <v>1995</v>
      </c>
      <c r="AA5130" s="609"/>
    </row>
    <row r="5131" spans="1:27" ht="18">
      <c r="A5131" s="2714"/>
      <c r="B5131" s="371">
        <v>7535</v>
      </c>
      <c r="C5131" s="371"/>
      <c r="D5131" s="2716">
        <f>IF(OR(G5131="*",G5131="",G5131=0),0,COUNTIF($G$5131:$G$5135,G5131))</f>
        <v>1</v>
      </c>
      <c r="E5131" s="2721">
        <v>1</v>
      </c>
      <c r="F5131" s="294"/>
      <c r="G5131" s="380" t="str">
        <f>VLOOKUP($B5131,Sheet_Items,6,0)</f>
        <v>现金的期末余额</v>
      </c>
      <c r="H5131" s="383">
        <f>VLOOKUP($B5131,Sheet_CF7,4,0)</f>
        <v>4299668.37</v>
      </c>
      <c r="I5131" s="401">
        <f>VLOOKUP($B5131,Sheet_CF7,5,0)</f>
        <v>91308.84</v>
      </c>
      <c r="J5131" s="291"/>
      <c r="K5131" s="291"/>
      <c r="L5131" s="291"/>
      <c r="M5131" s="291"/>
      <c r="S5131" s="364"/>
      <c r="Z5131" s="609" t="s">
        <v>1995</v>
      </c>
      <c r="AA5131" s="609"/>
    </row>
    <row r="5132" spans="1:27" ht="18">
      <c r="A5132" s="2714"/>
      <c r="B5132" s="371">
        <v>7536</v>
      </c>
      <c r="C5132" s="371"/>
      <c r="D5132" s="2716">
        <f>IF(OR(G5132="*",G5132="",G5132=0),0,COUNTIF($G$5131:$G$5135,G5132))</f>
        <v>1</v>
      </c>
      <c r="E5132" s="2721">
        <v>-1</v>
      </c>
      <c r="F5132" s="294"/>
      <c r="G5132" s="380" t="str">
        <f>VLOOKUP($B5132,Sheet_Items,6,0)</f>
        <v>减：现金的年初余额</v>
      </c>
      <c r="H5132" s="383">
        <f>VLOOKUP($B5132,Sheet_CF7,4,0)</f>
        <v>91308.84</v>
      </c>
      <c r="I5132" s="401">
        <f>VLOOKUP($B5132,Sheet_CF7,5,0)</f>
        <v>2383353.9700000002</v>
      </c>
      <c r="J5132" s="291"/>
      <c r="K5132" s="291"/>
      <c r="L5132" s="291"/>
      <c r="M5132" s="291"/>
      <c r="S5132" s="364"/>
      <c r="Z5132" s="609" t="s">
        <v>1995</v>
      </c>
      <c r="AA5132" s="609"/>
    </row>
    <row r="5133" spans="1:27" ht="18">
      <c r="A5133" s="2714"/>
      <c r="B5133" s="371">
        <v>7537</v>
      </c>
      <c r="C5133" s="371"/>
      <c r="D5133" s="2716">
        <f>IF(OR(G5133="*",G5133="",G5133=0),0,COUNTIF($G$5131:$G$5135,G5133))</f>
        <v>1</v>
      </c>
      <c r="E5133" s="2721">
        <v>1</v>
      </c>
      <c r="F5133" s="294"/>
      <c r="G5133" s="380" t="str">
        <f>VLOOKUP($B5133,Sheet_Items,6,0)</f>
        <v>加：现金等价物的期末余额</v>
      </c>
      <c r="H5133" s="383">
        <f>VLOOKUP($B5133,Sheet_CF7,4,0)</f>
        <v>0</v>
      </c>
      <c r="I5133" s="401">
        <f>VLOOKUP($B5133,Sheet_CF7,5,0)</f>
        <v>0</v>
      </c>
      <c r="J5133" s="291"/>
      <c r="K5133" s="291"/>
      <c r="L5133" s="291"/>
      <c r="M5133" s="291"/>
      <c r="S5133" s="364"/>
      <c r="Z5133" s="609" t="s">
        <v>1995</v>
      </c>
      <c r="AA5133" s="609"/>
    </row>
    <row r="5134" spans="1:27" ht="18">
      <c r="A5134" s="2714"/>
      <c r="B5134" s="371">
        <v>7538</v>
      </c>
      <c r="C5134" s="371"/>
      <c r="D5134" s="2716">
        <f>IF(OR(G5134="*",G5134="",G5134=0),0,COUNTIF($G$5131:$G$5135,G5134))</f>
        <v>1</v>
      </c>
      <c r="E5134" s="2721">
        <v>-1</v>
      </c>
      <c r="F5134" s="294"/>
      <c r="G5134" s="380" t="str">
        <f>VLOOKUP($B5134,Sheet_Items,6,0)</f>
        <v>减：现金等价物的年初余额</v>
      </c>
      <c r="H5134" s="383">
        <f>VLOOKUP($B5134,Sheet_CF7,4,0)</f>
        <v>0</v>
      </c>
      <c r="I5134" s="401">
        <f>VLOOKUP($B5134,Sheet_CF7,5,0)</f>
        <v>0</v>
      </c>
      <c r="J5134" s="291"/>
      <c r="K5134" s="291"/>
      <c r="L5134" s="291"/>
      <c r="M5134" s="291"/>
      <c r="S5134" s="364"/>
      <c r="Z5134" s="609" t="s">
        <v>1995</v>
      </c>
      <c r="AA5134" s="609"/>
    </row>
    <row r="5135" spans="1:27" ht="18.75" thickBot="1">
      <c r="A5135" s="2714"/>
      <c r="B5135" s="371"/>
      <c r="C5135" s="371"/>
      <c r="D5135" s="2716">
        <f>IF(OR(G5135="*",G5135="",G5135=0),0,COUNTIF($G$5131:$G$5135,G5135))</f>
        <v>1</v>
      </c>
      <c r="E5135" s="2721" t="s">
        <v>3032</v>
      </c>
      <c r="F5135" s="294"/>
      <c r="G5135" s="403" t="s">
        <v>2269</v>
      </c>
      <c r="H5135" s="503">
        <f>SUMPRODUCT($E5130:$E5134,H5130:H5134)</f>
        <v>4208359.53</v>
      </c>
      <c r="I5135" s="515">
        <f>SUMPRODUCT($E5130:$E5134,I5130:I5134)</f>
        <v>-2292045.13</v>
      </c>
      <c r="J5135" s="291"/>
      <c r="K5135" s="291"/>
      <c r="L5135" s="291"/>
      <c r="M5135" s="291"/>
      <c r="S5135" s="364"/>
      <c r="Z5135" s="609" t="s">
        <v>1995</v>
      </c>
      <c r="AA5135" s="609"/>
    </row>
    <row r="5136" spans="1:27" ht="18">
      <c r="A5136" s="2714"/>
      <c r="B5136" s="371"/>
      <c r="C5136" s="371" t="s">
        <v>2755</v>
      </c>
      <c r="D5136" s="371"/>
      <c r="F5136" s="294"/>
      <c r="G5136" s="301"/>
      <c r="H5136" s="349"/>
      <c r="I5136" s="349"/>
      <c r="J5136" s="291"/>
      <c r="K5136" s="291"/>
      <c r="L5136" s="291"/>
      <c r="M5136" s="291"/>
      <c r="S5136" s="364"/>
      <c r="Z5136" s="609" t="s">
        <v>1995</v>
      </c>
      <c r="AA5136" s="609"/>
    </row>
    <row r="5137" spans="1:27" ht="24">
      <c r="A5137" s="2714" t="s">
        <v>2008</v>
      </c>
      <c r="B5137" s="371">
        <v>4</v>
      </c>
      <c r="C5137" s="371"/>
      <c r="D5137" s="2716" t="str">
        <f>VLOOKUP($A5137,Sheet_NoteList,2,0)</f>
        <v>本期支付的取得子公司的现金净额</v>
      </c>
      <c r="E5137" s="2716" t="s">
        <v>2742</v>
      </c>
      <c r="F5137" s="294"/>
      <c r="G5137" s="372" t="str">
        <f>"("&amp;B5137&amp;")"&amp;D5137</f>
        <v>(4)本期支付的取得子公司的现金净额</v>
      </c>
      <c r="H5137" s="1517" t="str">
        <f>$A5137</f>
        <v>7500g</v>
      </c>
      <c r="I5137" s="343" t="s">
        <v>2743</v>
      </c>
      <c r="J5137" s="301"/>
      <c r="K5137" s="3084"/>
      <c r="L5137" s="315"/>
      <c r="M5137" s="301"/>
      <c r="N5137" s="3084"/>
      <c r="O5137" s="315"/>
      <c r="P5137" s="301"/>
      <c r="S5137" s="364"/>
      <c r="Z5137" s="609" t="s">
        <v>1995</v>
      </c>
      <c r="AA5137" s="609"/>
    </row>
    <row r="5138" spans="1:27" ht="0.75" customHeight="1" thickBot="1">
      <c r="A5138" s="2714"/>
      <c r="B5138" s="371"/>
      <c r="C5138" s="371"/>
      <c r="D5138" s="371"/>
      <c r="F5138" s="304"/>
      <c r="G5138" s="304" t="s">
        <v>4400</v>
      </c>
      <c r="H5138" s="304" t="s">
        <v>3472</v>
      </c>
      <c r="I5138" s="291"/>
      <c r="J5138" s="291"/>
      <c r="K5138" s="291"/>
      <c r="L5138" s="291"/>
      <c r="M5138" s="291"/>
      <c r="S5138" s="364"/>
      <c r="Z5138" s="609" t="s">
        <v>1995</v>
      </c>
      <c r="AA5138" s="609"/>
    </row>
    <row r="5139" spans="1:27" ht="18">
      <c r="A5139" s="2714"/>
      <c r="B5139" s="371"/>
      <c r="C5139" s="371"/>
      <c r="D5139" s="371"/>
      <c r="E5139" s="2716" t="s">
        <v>2749</v>
      </c>
      <c r="F5139" s="294"/>
      <c r="G5139" s="2613" t="s">
        <v>47</v>
      </c>
      <c r="H5139" s="2614" t="s">
        <v>4242</v>
      </c>
      <c r="I5139" s="355" t="s">
        <v>5343</v>
      </c>
      <c r="J5139" s="291"/>
      <c r="K5139" s="291"/>
      <c r="L5139" s="291"/>
      <c r="M5139" s="291"/>
      <c r="S5139" s="364"/>
      <c r="Z5139" s="609" t="s">
        <v>1995</v>
      </c>
      <c r="AA5139" s="609"/>
    </row>
    <row r="5140" spans="1:27" ht="24">
      <c r="A5140" s="2714"/>
      <c r="B5140" s="371">
        <v>101</v>
      </c>
      <c r="C5140" s="371"/>
      <c r="D5140" s="2716">
        <f t="shared" ref="D5140:D5145" si="555">IF(OR(G5140="*",G5140="",G5140=0),0,COUNTIF($G$5140:$G$5145,G5140))</f>
        <v>1</v>
      </c>
      <c r="E5140" s="2721">
        <v>1</v>
      </c>
      <c r="F5140" s="294"/>
      <c r="G5140" s="380" t="s">
        <v>4401</v>
      </c>
      <c r="H5140" s="401"/>
      <c r="I5140" s="291"/>
      <c r="J5140" s="291"/>
      <c r="K5140" s="291"/>
      <c r="L5140" s="291"/>
      <c r="M5140" s="291"/>
      <c r="S5140" s="364"/>
      <c r="Z5140" s="609" t="s">
        <v>1995</v>
      </c>
      <c r="AA5140" s="609"/>
    </row>
    <row r="5141" spans="1:27" ht="24">
      <c r="A5141" s="2714"/>
      <c r="B5141" s="371">
        <v>102</v>
      </c>
      <c r="C5141" s="371"/>
      <c r="D5141" s="2716">
        <f t="shared" si="555"/>
        <v>1</v>
      </c>
      <c r="E5141" s="2721">
        <v>-1</v>
      </c>
      <c r="F5141" s="294"/>
      <c r="G5141" s="380" t="s">
        <v>4402</v>
      </c>
      <c r="H5141" s="401"/>
      <c r="I5141" s="291"/>
      <c r="J5141" s="291"/>
      <c r="K5141" s="291"/>
      <c r="L5141" s="291"/>
      <c r="M5141" s="291"/>
      <c r="S5141" s="364"/>
      <c r="Z5141" s="609" t="s">
        <v>1995</v>
      </c>
      <c r="AA5141" s="609"/>
    </row>
    <row r="5142" spans="1:27" ht="18">
      <c r="A5142" s="2714"/>
      <c r="B5142" s="371">
        <v>103</v>
      </c>
      <c r="C5142" s="371" t="s">
        <v>2791</v>
      </c>
      <c r="D5142" s="2716">
        <f t="shared" si="555"/>
        <v>0</v>
      </c>
      <c r="E5142" s="2721">
        <v>-1</v>
      </c>
      <c r="F5142" s="294"/>
      <c r="G5142" s="409" t="s">
        <v>2792</v>
      </c>
      <c r="H5142" s="401"/>
      <c r="I5142" s="291"/>
      <c r="J5142" s="291"/>
      <c r="K5142" s="291"/>
      <c r="L5142" s="291"/>
      <c r="M5142" s="291"/>
      <c r="S5142" s="364"/>
      <c r="Z5142" s="609" t="s">
        <v>1995</v>
      </c>
      <c r="AA5142" s="609"/>
    </row>
    <row r="5143" spans="1:27" ht="36">
      <c r="A5143" s="2714"/>
      <c r="B5143" s="371">
        <v>104</v>
      </c>
      <c r="C5143" s="371"/>
      <c r="D5143" s="2716">
        <f t="shared" si="555"/>
        <v>1</v>
      </c>
      <c r="E5143" s="2721">
        <v>1</v>
      </c>
      <c r="F5143" s="294"/>
      <c r="G5143" s="380" t="s">
        <v>4403</v>
      </c>
      <c r="H5143" s="401"/>
      <c r="I5143" s="291"/>
      <c r="J5143" s="291"/>
      <c r="K5143" s="291"/>
      <c r="L5143" s="291"/>
      <c r="M5143" s="291"/>
      <c r="S5143" s="364"/>
      <c r="Z5143" s="609" t="s">
        <v>1995</v>
      </c>
      <c r="AA5143" s="609"/>
    </row>
    <row r="5144" spans="1:27" ht="18">
      <c r="A5144" s="2714"/>
      <c r="B5144" s="371">
        <v>105</v>
      </c>
      <c r="C5144" s="371" t="s">
        <v>2791</v>
      </c>
      <c r="D5144" s="2716">
        <f t="shared" si="555"/>
        <v>0</v>
      </c>
      <c r="E5144" s="2721">
        <v>1</v>
      </c>
      <c r="F5144" s="294"/>
      <c r="G5144" s="409" t="s">
        <v>2792</v>
      </c>
      <c r="H5144" s="401"/>
      <c r="I5144" s="291"/>
      <c r="J5144" s="291"/>
      <c r="K5144" s="291"/>
      <c r="L5144" s="291"/>
      <c r="M5144" s="291"/>
      <c r="S5144" s="364"/>
      <c r="Z5144" s="609" t="s">
        <v>1995</v>
      </c>
      <c r="AA5144" s="609"/>
    </row>
    <row r="5145" spans="1:27" ht="18.75" thickBot="1">
      <c r="A5145" s="2714"/>
      <c r="B5145" s="371"/>
      <c r="C5145" s="371"/>
      <c r="D5145" s="2716">
        <f t="shared" si="555"/>
        <v>1</v>
      </c>
      <c r="E5145" s="2721" t="s">
        <v>3032</v>
      </c>
      <c r="F5145" s="294"/>
      <c r="G5145" s="2615" t="s">
        <v>4404</v>
      </c>
      <c r="H5145" s="2616">
        <f>SUMPRODUCT($E5139:$E5144,H5139:H5144)</f>
        <v>0</v>
      </c>
      <c r="I5145" s="291"/>
      <c r="J5145" s="291"/>
      <c r="K5145" s="291"/>
      <c r="L5145" s="291"/>
      <c r="M5145" s="291"/>
      <c r="S5145" s="364"/>
      <c r="Z5145" s="609" t="s">
        <v>1995</v>
      </c>
      <c r="AA5145" s="609"/>
    </row>
    <row r="5146" spans="1:27" ht="18">
      <c r="A5146" s="2714"/>
      <c r="B5146" s="371"/>
      <c r="C5146" s="371" t="s">
        <v>2755</v>
      </c>
      <c r="D5146" s="371"/>
      <c r="F5146" s="294"/>
      <c r="G5146" s="301"/>
      <c r="H5146" s="315"/>
      <c r="I5146" s="349"/>
      <c r="J5146" s="291"/>
      <c r="K5146" s="291"/>
      <c r="L5146" s="291"/>
      <c r="M5146" s="291"/>
      <c r="S5146" s="364"/>
      <c r="Z5146" s="609" t="s">
        <v>1995</v>
      </c>
      <c r="AA5146" s="609"/>
    </row>
    <row r="5147" spans="1:27" ht="24">
      <c r="A5147" s="2714" t="s">
        <v>2010</v>
      </c>
      <c r="B5147" s="371">
        <v>5</v>
      </c>
      <c r="C5147" s="371"/>
      <c r="D5147" s="2716" t="str">
        <f>VLOOKUP($A5147,Sheet_NoteList,2,0)</f>
        <v>本期收到的处置子公司的现金净额</v>
      </c>
      <c r="E5147" s="2716" t="s">
        <v>2742</v>
      </c>
      <c r="F5147" s="294"/>
      <c r="G5147" s="372" t="str">
        <f>"("&amp;B5147&amp;")"&amp;D5147</f>
        <v>(5)本期收到的处置子公司的现金净额</v>
      </c>
      <c r="H5147" s="1517" t="str">
        <f>$A5147</f>
        <v>7500h</v>
      </c>
      <c r="I5147" s="343" t="s">
        <v>2743</v>
      </c>
      <c r="J5147" s="301"/>
      <c r="K5147" s="3084"/>
      <c r="L5147" s="315"/>
      <c r="M5147" s="301"/>
      <c r="N5147" s="3084"/>
      <c r="O5147" s="315"/>
      <c r="P5147" s="301"/>
      <c r="S5147" s="364"/>
      <c r="Z5147" s="609" t="s">
        <v>1995</v>
      </c>
      <c r="AA5147" s="609"/>
    </row>
    <row r="5148" spans="1:27" ht="0.75" customHeight="1" thickBot="1">
      <c r="A5148" s="2714"/>
      <c r="B5148" s="371"/>
      <c r="C5148" s="371"/>
      <c r="D5148" s="371"/>
      <c r="F5148" s="304"/>
      <c r="G5148" s="304" t="s">
        <v>4405</v>
      </c>
      <c r="H5148" s="304" t="s">
        <v>3472</v>
      </c>
      <c r="I5148" s="291"/>
      <c r="J5148" s="291"/>
      <c r="K5148" s="291"/>
      <c r="L5148" s="291"/>
      <c r="M5148" s="291"/>
      <c r="S5148" s="364"/>
      <c r="Z5148" s="609" t="s">
        <v>1995</v>
      </c>
      <c r="AA5148" s="609"/>
    </row>
    <row r="5149" spans="1:27" ht="18">
      <c r="A5149" s="2714"/>
      <c r="B5149" s="371"/>
      <c r="C5149" s="371"/>
      <c r="D5149" s="371"/>
      <c r="E5149" s="2716" t="s">
        <v>2749</v>
      </c>
      <c r="F5149" s="294"/>
      <c r="G5149" s="2613" t="s">
        <v>47</v>
      </c>
      <c r="H5149" s="2614" t="s">
        <v>4242</v>
      </c>
      <c r="I5149" s="355" t="s">
        <v>5343</v>
      </c>
      <c r="J5149" s="291"/>
      <c r="K5149" s="291"/>
      <c r="L5149" s="291"/>
      <c r="M5149" s="291"/>
      <c r="S5149" s="364"/>
      <c r="Z5149" s="609" t="s">
        <v>1995</v>
      </c>
      <c r="AA5149" s="609"/>
    </row>
    <row r="5150" spans="1:27" ht="24">
      <c r="A5150" s="2714"/>
      <c r="B5150" s="371">
        <v>101</v>
      </c>
      <c r="C5150" s="371"/>
      <c r="D5150" s="2716">
        <f t="shared" ref="D5150:D5155" si="556">IF(OR(G5150="*",G5150="",G5150=0),0,COUNTIF($G$5150:$G$5155,G5150))</f>
        <v>1</v>
      </c>
      <c r="E5150" s="2721">
        <v>1</v>
      </c>
      <c r="F5150" s="294"/>
      <c r="G5150" s="380" t="s">
        <v>4406</v>
      </c>
      <c r="H5150" s="401"/>
      <c r="I5150" s="291"/>
      <c r="J5150" s="291"/>
      <c r="K5150" s="291"/>
      <c r="L5150" s="291"/>
      <c r="M5150" s="291"/>
      <c r="S5150" s="364"/>
      <c r="Z5150" s="609" t="s">
        <v>1995</v>
      </c>
      <c r="AA5150" s="609"/>
    </row>
    <row r="5151" spans="1:27" ht="24">
      <c r="A5151" s="2714"/>
      <c r="B5151" s="371">
        <v>102</v>
      </c>
      <c r="C5151" s="371"/>
      <c r="D5151" s="2716">
        <f t="shared" si="556"/>
        <v>1</v>
      </c>
      <c r="E5151" s="2721">
        <v>-1</v>
      </c>
      <c r="F5151" s="294"/>
      <c r="G5151" s="380" t="s">
        <v>4407</v>
      </c>
      <c r="H5151" s="401"/>
      <c r="I5151" s="291"/>
      <c r="J5151" s="291"/>
      <c r="K5151" s="291"/>
      <c r="L5151" s="291"/>
      <c r="M5151" s="291"/>
      <c r="S5151" s="364"/>
      <c r="Z5151" s="609" t="s">
        <v>1995</v>
      </c>
      <c r="AA5151" s="609"/>
    </row>
    <row r="5152" spans="1:27" ht="18">
      <c r="A5152" s="2714"/>
      <c r="B5152" s="371">
        <v>103</v>
      </c>
      <c r="C5152" s="371" t="s">
        <v>2791</v>
      </c>
      <c r="D5152" s="2716">
        <f t="shared" si="556"/>
        <v>0</v>
      </c>
      <c r="E5152" s="2721">
        <v>-1</v>
      </c>
      <c r="F5152" s="294"/>
      <c r="G5152" s="409" t="s">
        <v>2792</v>
      </c>
      <c r="H5152" s="401"/>
      <c r="I5152" s="291"/>
      <c r="J5152" s="291"/>
      <c r="K5152" s="291"/>
      <c r="L5152" s="291"/>
      <c r="M5152" s="291"/>
      <c r="S5152" s="364"/>
      <c r="Z5152" s="609" t="s">
        <v>1995</v>
      </c>
      <c r="AA5152" s="609"/>
    </row>
    <row r="5153" spans="1:27" ht="24">
      <c r="A5153" s="2714"/>
      <c r="B5153" s="371">
        <v>104</v>
      </c>
      <c r="C5153" s="371"/>
      <c r="D5153" s="2716">
        <f t="shared" si="556"/>
        <v>1</v>
      </c>
      <c r="E5153" s="2721">
        <v>1</v>
      </c>
      <c r="F5153" s="294"/>
      <c r="G5153" s="380" t="s">
        <v>4408</v>
      </c>
      <c r="H5153" s="401"/>
      <c r="I5153" s="291"/>
      <c r="J5153" s="291"/>
      <c r="K5153" s="291"/>
      <c r="L5153" s="291"/>
      <c r="M5153" s="291"/>
      <c r="S5153" s="364"/>
      <c r="Z5153" s="609" t="s">
        <v>1995</v>
      </c>
      <c r="AA5153" s="609"/>
    </row>
    <row r="5154" spans="1:27" ht="18">
      <c r="A5154" s="2714"/>
      <c r="B5154" s="371">
        <v>105</v>
      </c>
      <c r="C5154" s="371" t="s">
        <v>2791</v>
      </c>
      <c r="D5154" s="2716">
        <f t="shared" si="556"/>
        <v>0</v>
      </c>
      <c r="E5154" s="2721">
        <v>1</v>
      </c>
      <c r="F5154" s="294"/>
      <c r="G5154" s="409" t="s">
        <v>2792</v>
      </c>
      <c r="H5154" s="401"/>
      <c r="I5154" s="291"/>
      <c r="J5154" s="291"/>
      <c r="K5154" s="291"/>
      <c r="L5154" s="291"/>
      <c r="M5154" s="291"/>
      <c r="S5154" s="364"/>
      <c r="Z5154" s="609" t="s">
        <v>1995</v>
      </c>
      <c r="AA5154" s="609"/>
    </row>
    <row r="5155" spans="1:27" ht="18.75" thickBot="1">
      <c r="A5155" s="2714"/>
      <c r="B5155" s="371"/>
      <c r="C5155" s="371"/>
      <c r="D5155" s="2716">
        <f t="shared" si="556"/>
        <v>1</v>
      </c>
      <c r="E5155" s="2721" t="s">
        <v>3032</v>
      </c>
      <c r="F5155" s="294"/>
      <c r="G5155" s="2615" t="s">
        <v>4409</v>
      </c>
      <c r="H5155" s="2616">
        <f>SUMPRODUCT($E5149:$E5154,H5149:H5154)</f>
        <v>0</v>
      </c>
      <c r="I5155" s="291"/>
      <c r="J5155" s="291"/>
      <c r="K5155" s="291"/>
      <c r="L5155" s="291"/>
      <c r="M5155" s="291"/>
      <c r="S5155" s="364"/>
      <c r="Z5155" s="609" t="s">
        <v>1995</v>
      </c>
      <c r="AA5155" s="609"/>
    </row>
    <row r="5156" spans="1:27" ht="18">
      <c r="A5156" s="2714"/>
      <c r="B5156" s="371"/>
      <c r="C5156" s="371" t="s">
        <v>2755</v>
      </c>
      <c r="D5156" s="371"/>
      <c r="F5156" s="294"/>
      <c r="G5156" s="301"/>
      <c r="H5156" s="315"/>
      <c r="I5156" s="349"/>
      <c r="J5156" s="291"/>
      <c r="K5156" s="291"/>
      <c r="L5156" s="291"/>
      <c r="M5156" s="291"/>
      <c r="S5156" s="364"/>
      <c r="Z5156" s="609" t="s">
        <v>1995</v>
      </c>
      <c r="AA5156" s="609"/>
    </row>
    <row r="5157" spans="1:27" ht="24">
      <c r="A5157" s="2714" t="s">
        <v>2003</v>
      </c>
      <c r="B5157" s="371">
        <v>6</v>
      </c>
      <c r="C5157" s="371"/>
      <c r="D5157" s="2716" t="str">
        <f>VLOOKUP($A5157,Sheet_NoteList,2,0)</f>
        <v>现金及现金等价物的构成</v>
      </c>
      <c r="E5157" s="2716" t="s">
        <v>2742</v>
      </c>
      <c r="F5157" s="294"/>
      <c r="G5157" s="372" t="str">
        <f>"("&amp;B5157&amp;")"&amp;D5157</f>
        <v>(6)现金及现金等价物的构成</v>
      </c>
      <c r="H5157" s="1517" t="str">
        <f>$A5157</f>
        <v>7500e</v>
      </c>
      <c r="I5157" s="343" t="s">
        <v>2743</v>
      </c>
      <c r="J5157" s="301"/>
      <c r="K5157" s="3084"/>
      <c r="L5157" s="315"/>
      <c r="M5157" s="301"/>
      <c r="N5157" s="3084"/>
      <c r="O5157" s="315"/>
      <c r="P5157" s="301"/>
      <c r="Q5157" s="290" t="str">
        <f ca="1">IF($I5157="不适用","",IF(ROUND(SUM($H$5160:$I$5171),2)=0,"请输入",""))</f>
        <v>请输入</v>
      </c>
      <c r="S5157" s="364"/>
      <c r="Z5157" s="609" t="s">
        <v>1995</v>
      </c>
      <c r="AA5157" s="609"/>
    </row>
    <row r="5158" spans="1:27" ht="0.75" customHeight="1" thickBot="1">
      <c r="A5158" s="2714"/>
      <c r="B5158" s="371"/>
      <c r="C5158" s="371"/>
      <c r="D5158" s="371"/>
      <c r="F5158" s="371"/>
      <c r="G5158" s="371" t="s">
        <v>4410</v>
      </c>
      <c r="H5158" s="371" t="s">
        <v>3472</v>
      </c>
      <c r="I5158" s="371" t="s">
        <v>3473</v>
      </c>
      <c r="J5158" s="291"/>
      <c r="K5158" s="291"/>
      <c r="L5158" s="291"/>
      <c r="M5158" s="291"/>
      <c r="S5158" s="364"/>
      <c r="Z5158" s="609" t="s">
        <v>1995</v>
      </c>
      <c r="AA5158" s="609"/>
    </row>
    <row r="5159" spans="1:27" ht="18">
      <c r="A5159" s="2714"/>
      <c r="B5159" s="371"/>
      <c r="C5159" s="371"/>
      <c r="D5159" s="371"/>
      <c r="E5159" s="2716" t="s">
        <v>2749</v>
      </c>
      <c r="F5159" s="294"/>
      <c r="G5159" s="378" t="s">
        <v>47</v>
      </c>
      <c r="H5159" s="2473" t="str">
        <f>$V$2</f>
        <v>2019年12月31日</v>
      </c>
      <c r="I5159" s="1456" t="str">
        <f>$V$3</f>
        <v>2018年12月31日</v>
      </c>
      <c r="J5159" s="355" t="s">
        <v>5343</v>
      </c>
      <c r="K5159" s="291"/>
      <c r="L5159" s="291"/>
      <c r="M5159" s="291"/>
      <c r="S5159" s="364"/>
      <c r="Z5159" s="609" t="s">
        <v>1995</v>
      </c>
      <c r="AA5159" s="609"/>
    </row>
    <row r="5160" spans="1:27" ht="18">
      <c r="A5160" s="2714"/>
      <c r="B5160" s="371">
        <v>101</v>
      </c>
      <c r="C5160" s="371" t="s">
        <v>2793</v>
      </c>
      <c r="D5160" s="2716">
        <f t="shared" ref="D5160:D5171" si="557">IF(OR(G5160="*",G5160="",G5160=0),0,COUNTIF($G$5160:$G$5171,G5160))</f>
        <v>1</v>
      </c>
      <c r="E5160" s="2721">
        <v>1</v>
      </c>
      <c r="F5160" s="294"/>
      <c r="G5160" s="380" t="s">
        <v>4411</v>
      </c>
      <c r="H5160" s="561">
        <f ca="1">SUMIF($E$5160:$E$5171,$G5160,H$5160:H$5169)</f>
        <v>0</v>
      </c>
      <c r="I5160" s="562">
        <f ca="1">SUMIF($E$5160:$E$5171,$G5160,I$5160:I$5169)</f>
        <v>0</v>
      </c>
      <c r="J5160" s="291"/>
      <c r="K5160" s="291"/>
      <c r="L5160" s="291"/>
      <c r="M5160" s="291"/>
      <c r="S5160" s="364"/>
      <c r="Z5160" s="609" t="s">
        <v>1995</v>
      </c>
      <c r="AA5160" s="609"/>
    </row>
    <row r="5161" spans="1:27" ht="18">
      <c r="A5161" s="2714"/>
      <c r="B5161" s="371">
        <v>101.001</v>
      </c>
      <c r="C5161" s="371"/>
      <c r="D5161" s="2716">
        <f t="shared" si="557"/>
        <v>1</v>
      </c>
      <c r="E5161" s="2721" t="s">
        <v>4411</v>
      </c>
      <c r="F5161" s="294"/>
      <c r="G5161" s="380" t="s">
        <v>4412</v>
      </c>
      <c r="H5161" s="383"/>
      <c r="I5161" s="401"/>
      <c r="J5161" s="291"/>
      <c r="K5161" s="291"/>
      <c r="L5161" s="291"/>
      <c r="M5161" s="291"/>
      <c r="S5161" s="364"/>
      <c r="Z5161" s="609" t="s">
        <v>1995</v>
      </c>
      <c r="AA5161" s="609"/>
    </row>
    <row r="5162" spans="1:27" ht="18">
      <c r="A5162" s="2714"/>
      <c r="B5162" s="371">
        <v>101.002</v>
      </c>
      <c r="C5162" s="371"/>
      <c r="D5162" s="2716">
        <f t="shared" si="557"/>
        <v>1</v>
      </c>
      <c r="E5162" s="2721" t="s">
        <v>4411</v>
      </c>
      <c r="F5162" s="294"/>
      <c r="G5162" s="380" t="s">
        <v>4413</v>
      </c>
      <c r="H5162" s="383"/>
      <c r="I5162" s="401"/>
      <c r="J5162" s="291"/>
      <c r="K5162" s="291"/>
      <c r="L5162" s="291"/>
      <c r="M5162" s="291"/>
      <c r="S5162" s="364"/>
      <c r="Z5162" s="609" t="s">
        <v>1995</v>
      </c>
      <c r="AA5162" s="609"/>
    </row>
    <row r="5163" spans="1:27" ht="24">
      <c r="A5163" s="2714"/>
      <c r="B5163" s="371">
        <v>101.003</v>
      </c>
      <c r="C5163" s="371"/>
      <c r="D5163" s="2716">
        <f t="shared" si="557"/>
        <v>1</v>
      </c>
      <c r="E5163" s="2721" t="s">
        <v>4411</v>
      </c>
      <c r="F5163" s="294"/>
      <c r="G5163" s="380" t="s">
        <v>4414</v>
      </c>
      <c r="H5163" s="383"/>
      <c r="I5163" s="401"/>
      <c r="J5163" s="291"/>
      <c r="K5163" s="291"/>
      <c r="L5163" s="291"/>
      <c r="M5163" s="291"/>
      <c r="S5163" s="364"/>
      <c r="Z5163" s="609" t="s">
        <v>1995</v>
      </c>
      <c r="AA5163" s="609"/>
    </row>
    <row r="5164" spans="1:27" ht="24">
      <c r="A5164" s="2714"/>
      <c r="B5164" s="371">
        <v>101.004</v>
      </c>
      <c r="C5164" s="371"/>
      <c r="D5164" s="2716">
        <f t="shared" si="557"/>
        <v>1</v>
      </c>
      <c r="E5164" s="2721" t="s">
        <v>4411</v>
      </c>
      <c r="F5164" s="294"/>
      <c r="G5164" s="380" t="s">
        <v>4415</v>
      </c>
      <c r="H5164" s="383"/>
      <c r="I5164" s="401"/>
      <c r="J5164" s="291"/>
      <c r="K5164" s="291"/>
      <c r="L5164" s="291"/>
      <c r="M5164" s="291"/>
      <c r="S5164" s="364"/>
      <c r="Z5164" s="609" t="s">
        <v>1995</v>
      </c>
      <c r="AA5164" s="609"/>
    </row>
    <row r="5165" spans="1:27" ht="18">
      <c r="A5165" s="2714"/>
      <c r="B5165" s="371">
        <v>101.005</v>
      </c>
      <c r="C5165" s="371"/>
      <c r="D5165" s="2716">
        <f t="shared" si="557"/>
        <v>1</v>
      </c>
      <c r="E5165" s="2721" t="s">
        <v>4411</v>
      </c>
      <c r="F5165" s="294"/>
      <c r="G5165" s="380" t="s">
        <v>4416</v>
      </c>
      <c r="H5165" s="383"/>
      <c r="I5165" s="401"/>
      <c r="J5165" s="291"/>
      <c r="K5165" s="291"/>
      <c r="L5165" s="291"/>
      <c r="M5165" s="291"/>
      <c r="S5165" s="364"/>
      <c r="Z5165" s="609" t="s">
        <v>1995</v>
      </c>
      <c r="AA5165" s="609"/>
    </row>
    <row r="5166" spans="1:27" ht="18">
      <c r="A5166" s="2714"/>
      <c r="B5166" s="371">
        <v>101.006</v>
      </c>
      <c r="C5166" s="371"/>
      <c r="D5166" s="2716">
        <f t="shared" si="557"/>
        <v>1</v>
      </c>
      <c r="E5166" s="2721" t="s">
        <v>4411</v>
      </c>
      <c r="F5166" s="294"/>
      <c r="G5166" s="380" t="s">
        <v>4417</v>
      </c>
      <c r="H5166" s="383"/>
      <c r="I5166" s="401"/>
      <c r="J5166" s="291"/>
      <c r="K5166" s="291"/>
      <c r="L5166" s="291"/>
      <c r="M5166" s="291"/>
      <c r="S5166" s="364"/>
      <c r="Z5166" s="609" t="s">
        <v>1995</v>
      </c>
      <c r="AA5166" s="609"/>
    </row>
    <row r="5167" spans="1:27" ht="18">
      <c r="A5167" s="2714"/>
      <c r="B5167" s="371">
        <v>102</v>
      </c>
      <c r="C5167" s="371"/>
      <c r="D5167" s="2716">
        <f t="shared" si="557"/>
        <v>1</v>
      </c>
      <c r="E5167" s="2721">
        <v>0</v>
      </c>
      <c r="F5167" s="294"/>
      <c r="G5167" s="380" t="s">
        <v>4418</v>
      </c>
      <c r="H5167" s="383"/>
      <c r="I5167" s="401"/>
      <c r="J5167" s="291"/>
      <c r="K5167" s="291"/>
      <c r="L5167" s="291"/>
      <c r="M5167" s="291"/>
      <c r="S5167" s="364"/>
      <c r="Z5167" s="609" t="s">
        <v>1995</v>
      </c>
      <c r="AA5167" s="609"/>
    </row>
    <row r="5168" spans="1:27" ht="24">
      <c r="A5168" s="2714"/>
      <c r="B5168" s="371">
        <v>103</v>
      </c>
      <c r="C5168" s="371"/>
      <c r="D5168" s="2716">
        <f t="shared" si="557"/>
        <v>1</v>
      </c>
      <c r="E5168" s="2721">
        <v>0</v>
      </c>
      <c r="F5168" s="294"/>
      <c r="G5168" s="380" t="s">
        <v>4419</v>
      </c>
      <c r="H5168" s="383"/>
      <c r="I5168" s="401"/>
      <c r="J5168" s="291"/>
      <c r="K5168" s="291"/>
      <c r="L5168" s="291"/>
      <c r="M5168" s="291"/>
      <c r="S5168" s="364"/>
      <c r="Z5168" s="609" t="s">
        <v>1995</v>
      </c>
      <c r="AA5168" s="609"/>
    </row>
    <row r="5169" spans="1:27" ht="24">
      <c r="A5169" s="2714"/>
      <c r="B5169" s="371">
        <v>104</v>
      </c>
      <c r="C5169" s="371"/>
      <c r="D5169" s="2716">
        <f t="shared" si="557"/>
        <v>1</v>
      </c>
      <c r="E5169" s="2721">
        <v>0</v>
      </c>
      <c r="F5169" s="294"/>
      <c r="G5169" s="380" t="s">
        <v>4420</v>
      </c>
      <c r="H5169" s="561">
        <f ca="1">H5160+H5167</f>
        <v>0</v>
      </c>
      <c r="I5169" s="562">
        <f ca="1">I5160+I5167</f>
        <v>0</v>
      </c>
      <c r="J5169" s="291"/>
      <c r="K5169" s="291"/>
      <c r="L5169" s="291"/>
      <c r="M5169" s="291"/>
      <c r="S5169" s="364"/>
      <c r="Z5169" s="609" t="s">
        <v>1995</v>
      </c>
      <c r="AA5169" s="609"/>
    </row>
    <row r="5170" spans="1:27" ht="36">
      <c r="A5170" s="2714"/>
      <c r="B5170" s="371">
        <v>105</v>
      </c>
      <c r="C5170" s="371"/>
      <c r="D5170" s="2716">
        <f t="shared" si="557"/>
        <v>1</v>
      </c>
      <c r="E5170" s="2721">
        <v>0</v>
      </c>
      <c r="F5170" s="294"/>
      <c r="G5170" s="620" t="s">
        <v>4421</v>
      </c>
      <c r="H5170" s="621"/>
      <c r="I5170" s="622"/>
      <c r="J5170" s="291"/>
      <c r="K5170" s="291"/>
      <c r="L5170" s="291"/>
      <c r="M5170" s="291"/>
      <c r="S5170" s="364"/>
      <c r="Z5170" s="609" t="s">
        <v>1995</v>
      </c>
      <c r="AA5170" s="609"/>
    </row>
    <row r="5171" spans="1:27" ht="18.75" thickBot="1">
      <c r="A5171" s="2714"/>
      <c r="B5171" s="371"/>
      <c r="C5171" s="371"/>
      <c r="D5171" s="2716">
        <f t="shared" si="557"/>
        <v>0</v>
      </c>
      <c r="E5171" s="2721" t="s">
        <v>3595</v>
      </c>
      <c r="F5171" s="294"/>
      <c r="G5171" s="2682"/>
      <c r="H5171" s="2683"/>
      <c r="I5171" s="2684"/>
      <c r="J5171" s="291"/>
      <c r="K5171" s="291"/>
      <c r="L5171" s="291"/>
      <c r="M5171" s="291"/>
      <c r="S5171" s="364"/>
      <c r="Z5171" s="609" t="s">
        <v>1995</v>
      </c>
      <c r="AA5171" s="609"/>
    </row>
    <row r="5172" spans="1:27" ht="18">
      <c r="A5172" s="2714"/>
      <c r="B5172" s="371"/>
      <c r="C5172" s="371" t="s">
        <v>2755</v>
      </c>
      <c r="D5172" s="371"/>
      <c r="F5172" s="294"/>
      <c r="G5172" s="301"/>
      <c r="H5172" s="349"/>
      <c r="I5172" s="349"/>
      <c r="J5172" s="291"/>
      <c r="K5172" s="291"/>
      <c r="L5172" s="291"/>
      <c r="M5172" s="291"/>
      <c r="S5172" s="364"/>
      <c r="Z5172" s="609" t="s">
        <v>1995</v>
      </c>
      <c r="AA5172" s="609"/>
    </row>
    <row r="5173" spans="1:27" ht="24">
      <c r="A5173" s="2714" t="s">
        <v>2006</v>
      </c>
      <c r="B5173" s="371">
        <v>7</v>
      </c>
      <c r="C5173" s="371"/>
      <c r="D5173" s="2716" t="str">
        <f>VLOOKUP($A5173,Sheet_NoteList,2,0)</f>
        <v>货币资金与现金及现金等价物的调节</v>
      </c>
      <c r="E5173" s="2716" t="s">
        <v>6531</v>
      </c>
      <c r="F5173" s="294"/>
      <c r="G5173" s="372" t="str">
        <f>"("&amp;B5173&amp;")"&amp;D5173</f>
        <v>(7)货币资金与现金及现金等价物的调节</v>
      </c>
      <c r="H5173" s="1517" t="str">
        <f>$A5173</f>
        <v>7500f</v>
      </c>
      <c r="I5173" s="343" t="s">
        <v>5974</v>
      </c>
      <c r="J5173" s="301"/>
      <c r="K5173" s="3084"/>
      <c r="L5173" s="315"/>
      <c r="M5173" s="301"/>
      <c r="N5173" s="3084"/>
      <c r="O5173" s="315"/>
      <c r="P5173" s="301"/>
      <c r="S5173" s="364"/>
      <c r="Z5173" s="609" t="s">
        <v>1995</v>
      </c>
      <c r="AA5173" s="609"/>
    </row>
    <row r="5174" spans="1:27" ht="0.75" customHeight="1" thickBot="1">
      <c r="A5174" s="2714"/>
      <c r="B5174" s="371"/>
      <c r="C5174" s="371"/>
      <c r="D5174" s="371"/>
      <c r="E5174" s="586"/>
      <c r="F5174" s="586"/>
      <c r="G5174" s="586" t="s">
        <v>4422</v>
      </c>
      <c r="H5174" s="371" t="s">
        <v>3472</v>
      </c>
      <c r="I5174" s="291"/>
      <c r="J5174" s="291"/>
      <c r="K5174" s="291"/>
      <c r="L5174" s="291"/>
      <c r="M5174" s="291"/>
      <c r="S5174" s="364"/>
      <c r="Z5174" s="609" t="s">
        <v>1995</v>
      </c>
      <c r="AA5174" s="609"/>
    </row>
    <row r="5175" spans="1:27" ht="18">
      <c r="A5175" s="2714"/>
      <c r="B5175" s="371"/>
      <c r="C5175" s="371"/>
      <c r="D5175" s="371"/>
      <c r="E5175" s="586" t="s">
        <v>2749</v>
      </c>
      <c r="F5175" s="363"/>
      <c r="G5175" s="2458" t="s">
        <v>47</v>
      </c>
      <c r="H5175" s="2460" t="s">
        <v>2887</v>
      </c>
      <c r="I5175" s="343" t="s">
        <v>4423</v>
      </c>
      <c r="J5175" s="291"/>
      <c r="K5175" s="291"/>
      <c r="L5175" s="291"/>
      <c r="M5175" s="291"/>
      <c r="S5175" s="364"/>
      <c r="Z5175" s="609" t="s">
        <v>1995</v>
      </c>
      <c r="AA5175" s="609"/>
    </row>
    <row r="5176" spans="1:27" ht="18">
      <c r="A5176" s="2714"/>
      <c r="B5176" s="371">
        <v>101</v>
      </c>
      <c r="C5176" s="371"/>
      <c r="D5176" s="2716">
        <f t="shared" ref="D5176:D5181" si="558">IF(OR(G5176="*",G5176="",G5176=0),0,COUNTIF($G$5176:$G$5181,G5176))</f>
        <v>1</v>
      </c>
      <c r="E5176" s="2721">
        <v>1</v>
      </c>
      <c r="F5176" s="294"/>
      <c r="G5176" s="1474" t="s">
        <v>4424</v>
      </c>
      <c r="H5176" s="2296"/>
      <c r="I5176" s="579"/>
      <c r="J5176" s="291"/>
      <c r="K5176" s="291"/>
      <c r="L5176" s="291"/>
      <c r="M5176" s="291"/>
      <c r="S5176" s="364"/>
      <c r="Z5176" s="609" t="s">
        <v>1995</v>
      </c>
      <c r="AA5176" s="609"/>
    </row>
    <row r="5177" spans="1:27" ht="18">
      <c r="A5177" s="2714"/>
      <c r="B5177" s="371">
        <v>102</v>
      </c>
      <c r="C5177" s="371"/>
      <c r="D5177" s="2716">
        <f t="shared" si="558"/>
        <v>1</v>
      </c>
      <c r="E5177" s="2721">
        <v>-1</v>
      </c>
      <c r="F5177" s="294"/>
      <c r="G5177" s="1474" t="s">
        <v>4425</v>
      </c>
      <c r="H5177" s="2296"/>
      <c r="I5177" s="291"/>
      <c r="J5177" s="291"/>
      <c r="K5177" s="291"/>
      <c r="L5177" s="291"/>
      <c r="M5177" s="291"/>
      <c r="S5177" s="364"/>
      <c r="Z5177" s="609" t="s">
        <v>1995</v>
      </c>
      <c r="AA5177" s="609"/>
    </row>
    <row r="5178" spans="1:27" ht="18">
      <c r="A5178" s="2714"/>
      <c r="B5178" s="371">
        <v>103</v>
      </c>
      <c r="C5178" s="371" t="s">
        <v>2791</v>
      </c>
      <c r="D5178" s="2716">
        <f t="shared" si="558"/>
        <v>0</v>
      </c>
      <c r="E5178" s="2721">
        <v>-1</v>
      </c>
      <c r="F5178" s="294"/>
      <c r="G5178" s="2467" t="s">
        <v>2792</v>
      </c>
      <c r="H5178" s="2296"/>
      <c r="I5178" s="291"/>
      <c r="J5178" s="291"/>
      <c r="K5178" s="291"/>
      <c r="L5178" s="291"/>
      <c r="M5178" s="291"/>
      <c r="S5178" s="364"/>
      <c r="Z5178" s="609" t="s">
        <v>1995</v>
      </c>
      <c r="AA5178" s="609"/>
    </row>
    <row r="5179" spans="1:27" ht="24">
      <c r="A5179" s="2714"/>
      <c r="B5179" s="371">
        <v>104</v>
      </c>
      <c r="C5179" s="371"/>
      <c r="D5179" s="2716">
        <f t="shared" si="558"/>
        <v>1</v>
      </c>
      <c r="E5179" s="2721">
        <v>1</v>
      </c>
      <c r="F5179" s="294"/>
      <c r="G5179" s="1474" t="s">
        <v>4426</v>
      </c>
      <c r="H5179" s="2296"/>
      <c r="I5179" s="291"/>
      <c r="J5179" s="291"/>
      <c r="K5179" s="291"/>
      <c r="L5179" s="291"/>
      <c r="M5179" s="291"/>
      <c r="S5179" s="364"/>
      <c r="Z5179" s="609" t="s">
        <v>1995</v>
      </c>
      <c r="AA5179" s="609"/>
    </row>
    <row r="5180" spans="1:27" ht="18">
      <c r="A5180" s="2714"/>
      <c r="B5180" s="371">
        <v>105</v>
      </c>
      <c r="C5180" s="371" t="s">
        <v>2791</v>
      </c>
      <c r="D5180" s="2716">
        <f t="shared" si="558"/>
        <v>0</v>
      </c>
      <c r="E5180" s="2721">
        <v>1</v>
      </c>
      <c r="F5180" s="294"/>
      <c r="G5180" s="2467" t="s">
        <v>2792</v>
      </c>
      <c r="H5180" s="2296"/>
      <c r="I5180" s="291"/>
      <c r="J5180" s="291"/>
      <c r="K5180" s="291"/>
      <c r="L5180" s="291"/>
      <c r="M5180" s="291"/>
      <c r="S5180" s="364"/>
      <c r="Z5180" s="609" t="s">
        <v>1995</v>
      </c>
      <c r="AA5180" s="609"/>
    </row>
    <row r="5181" spans="1:27" ht="18.75" thickBot="1">
      <c r="A5181" s="2714"/>
      <c r="B5181" s="371"/>
      <c r="C5181" s="371"/>
      <c r="D5181" s="2716">
        <f t="shared" si="558"/>
        <v>1</v>
      </c>
      <c r="E5181" s="2721" t="s">
        <v>3032</v>
      </c>
      <c r="F5181" s="294"/>
      <c r="G5181" s="1529" t="s">
        <v>2272</v>
      </c>
      <c r="H5181" s="1528">
        <f>SUMPRODUCT($E5175:$E5180,H5175:H5180)</f>
        <v>0</v>
      </c>
      <c r="I5181" s="291"/>
      <c r="J5181" s="291"/>
      <c r="K5181" s="291"/>
      <c r="L5181" s="291"/>
      <c r="M5181" s="291"/>
      <c r="S5181" s="364"/>
      <c r="Z5181" s="609" t="s">
        <v>1995</v>
      </c>
      <c r="AA5181" s="609"/>
    </row>
    <row r="5182" spans="1:27" ht="18">
      <c r="A5182" s="2714"/>
      <c r="B5182" s="371"/>
      <c r="C5182" s="371" t="s">
        <v>2755</v>
      </c>
      <c r="D5182" s="371"/>
      <c r="F5182" s="294"/>
      <c r="G5182" s="301"/>
      <c r="H5182" s="315"/>
      <c r="I5182" s="291"/>
      <c r="J5182" s="291"/>
      <c r="K5182" s="291"/>
      <c r="L5182" s="291"/>
      <c r="M5182" s="291"/>
      <c r="S5182" s="364"/>
      <c r="Z5182" s="609" t="s">
        <v>1995</v>
      </c>
      <c r="AA5182" s="609"/>
    </row>
    <row r="5183" spans="1:27" ht="24">
      <c r="A5183" s="2714">
        <v>9314</v>
      </c>
      <c r="B5183" s="371">
        <v>80</v>
      </c>
      <c r="C5183" s="2716" t="str">
        <f>VLOOKUP($A5183,Sheet_Items,2,0)</f>
        <v>所有者权益变动表项目注释</v>
      </c>
      <c r="D5183" s="371"/>
      <c r="E5183" s="2716" t="s">
        <v>2739</v>
      </c>
      <c r="F5183" s="294"/>
      <c r="G5183" s="305" t="str">
        <f>B5183&amp;" "&amp;C5183</f>
        <v>80 所有者权益变动表项目注释</v>
      </c>
      <c r="H5183" s="306"/>
      <c r="I5183" s="306"/>
      <c r="J5183" s="306"/>
      <c r="K5183" s="539"/>
      <c r="L5183" s="342"/>
      <c r="M5183" s="306"/>
      <c r="N5183" s="539"/>
      <c r="O5183" s="306"/>
      <c r="P5183" s="301"/>
      <c r="S5183" s="364"/>
      <c r="Z5183" s="609" t="s">
        <v>2101</v>
      </c>
      <c r="AA5183" s="609"/>
    </row>
    <row r="5184" spans="1:27" ht="24">
      <c r="A5184" s="2714" t="s">
        <v>2100</v>
      </c>
      <c r="B5184" s="371">
        <v>1</v>
      </c>
      <c r="C5184" s="371"/>
      <c r="D5184" s="2716" t="str">
        <f>VLOOKUP($A5184,Sheet_NoteList,2,0)</f>
        <v>所有者权益变动表项目注释</v>
      </c>
      <c r="E5184" s="2716" t="s">
        <v>2742</v>
      </c>
      <c r="F5184" s="294"/>
      <c r="G5184" s="372" t="str">
        <f>"("&amp;B5184&amp;")"&amp;D5184</f>
        <v>(1)所有者权益变动表项目注释</v>
      </c>
      <c r="H5184" s="1517" t="str">
        <f>$A5184</f>
        <v>9314a</v>
      </c>
      <c r="I5184" s="343" t="s">
        <v>2743</v>
      </c>
      <c r="J5184" s="301"/>
      <c r="K5184" s="3084"/>
      <c r="L5184" s="315"/>
      <c r="M5184" s="301"/>
      <c r="N5184" s="3084"/>
      <c r="O5184" s="315"/>
      <c r="P5184" s="301"/>
      <c r="S5184" s="364"/>
      <c r="Z5184" s="609" t="s">
        <v>2101</v>
      </c>
      <c r="AA5184" s="609"/>
    </row>
    <row r="5185" spans="1:27" ht="0.75" customHeight="1" thickBot="1">
      <c r="A5185" s="2714"/>
      <c r="B5185" s="371"/>
      <c r="C5185" s="371"/>
      <c r="D5185" s="371"/>
      <c r="E5185" s="586"/>
      <c r="F5185" s="518"/>
      <c r="G5185" s="518" t="s">
        <v>4427</v>
      </c>
      <c r="H5185" s="304" t="s">
        <v>2849</v>
      </c>
      <c r="I5185" s="304" t="s">
        <v>3235</v>
      </c>
      <c r="M5185" s="291"/>
      <c r="N5185" s="291"/>
      <c r="O5185" s="291"/>
      <c r="P5185" s="291"/>
      <c r="S5185" s="364"/>
      <c r="Z5185" s="609" t="s">
        <v>2101</v>
      </c>
      <c r="AA5185" s="609"/>
    </row>
    <row r="5186" spans="1:27" ht="18">
      <c r="A5186" s="2714"/>
      <c r="B5186" s="371"/>
      <c r="C5186" s="371"/>
      <c r="D5186" s="371"/>
      <c r="E5186" s="586" t="s">
        <v>2749</v>
      </c>
      <c r="F5186" s="363"/>
      <c r="G5186" s="2570" t="s">
        <v>47</v>
      </c>
      <c r="H5186" s="2566" t="s">
        <v>2887</v>
      </c>
      <c r="I5186" s="2565" t="s">
        <v>2758</v>
      </c>
      <c r="J5186" s="355" t="s">
        <v>5344</v>
      </c>
      <c r="M5186" s="291"/>
      <c r="N5186" s="291"/>
      <c r="O5186" s="291"/>
      <c r="P5186" s="291"/>
      <c r="S5186" s="364"/>
      <c r="Z5186" s="609" t="s">
        <v>2101</v>
      </c>
      <c r="AA5186" s="609"/>
    </row>
    <row r="5187" spans="1:27" ht="24">
      <c r="A5187" s="2714"/>
      <c r="B5187" s="371">
        <v>101</v>
      </c>
      <c r="C5187" s="371" t="s">
        <v>2791</v>
      </c>
      <c r="D5187" s="2716">
        <f t="shared" ref="D5187:D5192" si="559">IF(OR(G5187="*",G5187="",G5187=0),0,COUNTIF($G$5187:$G$5192,G5187))</f>
        <v>1</v>
      </c>
      <c r="E5187" s="2721">
        <v>1</v>
      </c>
      <c r="F5187" s="294"/>
      <c r="G5187" s="2568" t="s">
        <v>4428</v>
      </c>
      <c r="H5187" s="2275"/>
      <c r="I5187" s="2276"/>
      <c r="J5187" s="355" t="s">
        <v>6141</v>
      </c>
      <c r="M5187" s="291"/>
      <c r="N5187" s="291"/>
      <c r="O5187" s="291"/>
      <c r="P5187" s="291"/>
      <c r="S5187" s="364"/>
      <c r="Z5187" s="609" t="s">
        <v>2101</v>
      </c>
      <c r="AA5187" s="609"/>
    </row>
    <row r="5188" spans="1:27" ht="18">
      <c r="A5188" s="2714"/>
      <c r="B5188" s="371">
        <v>102</v>
      </c>
      <c r="C5188" s="371" t="s">
        <v>2791</v>
      </c>
      <c r="D5188" s="2716">
        <f t="shared" si="559"/>
        <v>0</v>
      </c>
      <c r="E5188" s="2721">
        <v>1</v>
      </c>
      <c r="F5188" s="294"/>
      <c r="G5188" s="2568" t="s">
        <v>2792</v>
      </c>
      <c r="H5188" s="2275"/>
      <c r="I5188" s="2276"/>
      <c r="M5188" s="291"/>
      <c r="N5188" s="291"/>
      <c r="O5188" s="291"/>
      <c r="P5188" s="291"/>
      <c r="S5188" s="364"/>
      <c r="Z5188" s="609" t="s">
        <v>2101</v>
      </c>
      <c r="AA5188" s="609"/>
    </row>
    <row r="5189" spans="1:27" ht="18">
      <c r="A5189" s="2714"/>
      <c r="B5189" s="371">
        <v>103</v>
      </c>
      <c r="C5189" s="371" t="s">
        <v>2791</v>
      </c>
      <c r="D5189" s="2716">
        <f t="shared" si="559"/>
        <v>0</v>
      </c>
      <c r="E5189" s="2721">
        <v>1</v>
      </c>
      <c r="F5189" s="294"/>
      <c r="G5189" s="2568" t="s">
        <v>2792</v>
      </c>
      <c r="H5189" s="2275"/>
      <c r="I5189" s="2276"/>
      <c r="M5189" s="291"/>
      <c r="N5189" s="291"/>
      <c r="O5189" s="291"/>
      <c r="P5189" s="291"/>
      <c r="S5189" s="364"/>
      <c r="Z5189" s="609" t="s">
        <v>2101</v>
      </c>
      <c r="AA5189" s="609"/>
    </row>
    <row r="5190" spans="1:27" ht="18">
      <c r="A5190" s="2714"/>
      <c r="B5190" s="371">
        <v>104</v>
      </c>
      <c r="C5190" s="371" t="s">
        <v>2791</v>
      </c>
      <c r="D5190" s="2716">
        <f t="shared" si="559"/>
        <v>0</v>
      </c>
      <c r="E5190" s="2721">
        <v>1</v>
      </c>
      <c r="F5190" s="294"/>
      <c r="G5190" s="2568" t="s">
        <v>2792</v>
      </c>
      <c r="H5190" s="2275"/>
      <c r="I5190" s="2276"/>
      <c r="M5190" s="291"/>
      <c r="N5190" s="291"/>
      <c r="O5190" s="291"/>
      <c r="P5190" s="291"/>
      <c r="S5190" s="364"/>
      <c r="Z5190" s="609" t="s">
        <v>2101</v>
      </c>
      <c r="AA5190" s="609"/>
    </row>
    <row r="5191" spans="1:27" ht="18">
      <c r="A5191" s="2714"/>
      <c r="B5191" s="371">
        <v>105</v>
      </c>
      <c r="C5191" s="371" t="s">
        <v>2791</v>
      </c>
      <c r="D5191" s="2716">
        <f t="shared" si="559"/>
        <v>0</v>
      </c>
      <c r="E5191" s="2721">
        <v>1</v>
      </c>
      <c r="F5191" s="294"/>
      <c r="G5191" s="2568" t="s">
        <v>2792</v>
      </c>
      <c r="H5191" s="2275"/>
      <c r="I5191" s="2276"/>
      <c r="M5191" s="291"/>
      <c r="N5191" s="291"/>
      <c r="O5191" s="291"/>
      <c r="P5191" s="291"/>
      <c r="S5191" s="364"/>
      <c r="Z5191" s="609" t="s">
        <v>2101</v>
      </c>
      <c r="AA5191" s="609"/>
    </row>
    <row r="5192" spans="1:27" ht="18.75" thickBot="1">
      <c r="A5192" s="2714"/>
      <c r="B5192" s="371"/>
      <c r="C5192" s="371"/>
      <c r="D5192" s="2716">
        <f t="shared" si="559"/>
        <v>1</v>
      </c>
      <c r="E5192" s="2721" t="s">
        <v>3032</v>
      </c>
      <c r="F5192" s="294"/>
      <c r="G5192" s="1529" t="s">
        <v>2752</v>
      </c>
      <c r="H5192" s="1527">
        <f>SUMPRODUCT($E5186:$E5191,H5186:H5191)</f>
        <v>0</v>
      </c>
      <c r="I5192" s="2266"/>
      <c r="M5192" s="291"/>
      <c r="N5192" s="291"/>
      <c r="O5192" s="291"/>
      <c r="P5192" s="291"/>
      <c r="S5192" s="364"/>
      <c r="Z5192" s="609" t="s">
        <v>2101</v>
      </c>
      <c r="AA5192" s="609"/>
    </row>
    <row r="5193" spans="1:27" ht="18">
      <c r="A5193" s="2714"/>
      <c r="B5193" s="371"/>
      <c r="C5193" s="371" t="s">
        <v>2755</v>
      </c>
      <c r="D5193" s="371"/>
      <c r="F5193" s="294"/>
      <c r="G5193" s="301"/>
      <c r="H5193" s="315"/>
      <c r="I5193" s="393"/>
      <c r="J5193" s="349"/>
      <c r="K5193" s="349"/>
      <c r="L5193" s="350"/>
      <c r="M5193" s="291"/>
      <c r="N5193" s="291"/>
      <c r="O5193" s="291"/>
      <c r="P5193" s="291"/>
      <c r="S5193" s="364"/>
      <c r="Z5193" s="609" t="s">
        <v>2101</v>
      </c>
      <c r="AA5193" s="609"/>
    </row>
    <row r="5194" spans="1:27" ht="24">
      <c r="A5194" s="2714">
        <v>1997</v>
      </c>
      <c r="B5194" s="371">
        <v>81</v>
      </c>
      <c r="C5194" s="2716" t="str">
        <f>VLOOKUP($A5194,Sheet_Items,2,0)</f>
        <v>所有权或使用权受到限制的资产</v>
      </c>
      <c r="D5194" s="371"/>
      <c r="E5194" s="2716" t="s">
        <v>2739</v>
      </c>
      <c r="F5194" s="294"/>
      <c r="G5194" s="305" t="str">
        <f>B5194&amp;" "&amp;C5194</f>
        <v>81 所有权或使用权受到限制的资产</v>
      </c>
      <c r="H5194" s="306"/>
      <c r="I5194" s="306"/>
      <c r="J5194" s="306"/>
      <c r="K5194" s="539"/>
      <c r="L5194" s="342"/>
      <c r="M5194" s="306"/>
      <c r="N5194" s="539"/>
      <c r="O5194" s="306"/>
      <c r="P5194" s="301"/>
      <c r="S5194" s="364"/>
      <c r="Z5194" s="609" t="s">
        <v>4429</v>
      </c>
      <c r="AA5194" s="609"/>
    </row>
    <row r="5195" spans="1:27" ht="24">
      <c r="A5195" s="2714" t="s">
        <v>1351</v>
      </c>
      <c r="B5195" s="371">
        <v>1</v>
      </c>
      <c r="C5195" s="371"/>
      <c r="D5195" s="2716" t="str">
        <f>VLOOKUP($A5195,Sheet_NoteList,2,0)</f>
        <v>所有权或使用权受到限制的资产明细项目</v>
      </c>
      <c r="E5195" s="2716" t="s">
        <v>2742</v>
      </c>
      <c r="F5195" s="294"/>
      <c r="G5195" s="372" t="str">
        <f>"("&amp;B5195&amp;")"&amp;D5195</f>
        <v>(1)所有权或使用权受到限制的资产明细项目</v>
      </c>
      <c r="H5195" s="1517" t="str">
        <f>$A5195</f>
        <v>1997a</v>
      </c>
      <c r="I5195" s="343" t="s">
        <v>2743</v>
      </c>
      <c r="J5195" s="301"/>
      <c r="K5195" s="3084"/>
      <c r="L5195" s="315"/>
      <c r="M5195" s="301"/>
      <c r="N5195" s="3084"/>
      <c r="O5195" s="315"/>
      <c r="P5195" s="301"/>
      <c r="S5195" s="364"/>
      <c r="Z5195" s="609" t="s">
        <v>4429</v>
      </c>
      <c r="AA5195" s="609"/>
    </row>
    <row r="5196" spans="1:27" ht="0.75" customHeight="1" thickBot="1">
      <c r="A5196" s="2714"/>
      <c r="B5196" s="371"/>
      <c r="C5196" s="371"/>
      <c r="D5196" s="371"/>
      <c r="E5196" s="586"/>
      <c r="F5196" s="518"/>
      <c r="G5196" s="518" t="s">
        <v>4430</v>
      </c>
      <c r="H5196" s="304" t="s">
        <v>2849</v>
      </c>
      <c r="I5196" s="304" t="s">
        <v>4431</v>
      </c>
      <c r="M5196" s="291"/>
      <c r="N5196" s="291"/>
      <c r="O5196" s="291"/>
      <c r="P5196" s="291"/>
      <c r="S5196" s="364"/>
      <c r="Z5196" s="609" t="s">
        <v>4429</v>
      </c>
      <c r="AA5196" s="609"/>
    </row>
    <row r="5197" spans="1:27" ht="24">
      <c r="A5197" s="2714"/>
      <c r="B5197" s="371"/>
      <c r="C5197" s="371"/>
      <c r="D5197" s="371"/>
      <c r="E5197" s="586" t="s">
        <v>2749</v>
      </c>
      <c r="F5197" s="363"/>
      <c r="G5197" s="2457" t="s">
        <v>47</v>
      </c>
      <c r="H5197" s="2464" t="str">
        <f>$W$2&amp;"账面价值"</f>
        <v>2019年12月31日账面价值</v>
      </c>
      <c r="I5197" s="2469" t="s">
        <v>4432</v>
      </c>
      <c r="J5197" s="355" t="s">
        <v>5345</v>
      </c>
      <c r="M5197" s="291"/>
      <c r="N5197" s="291"/>
      <c r="O5197" s="291"/>
      <c r="P5197" s="291"/>
      <c r="S5197" s="364"/>
      <c r="Z5197" s="609" t="s">
        <v>4429</v>
      </c>
      <c r="AA5197" s="609"/>
    </row>
    <row r="5198" spans="1:27" ht="18">
      <c r="A5198" s="2714"/>
      <c r="B5198" s="371">
        <v>101</v>
      </c>
      <c r="C5198" s="371"/>
      <c r="D5198" s="2716">
        <f t="shared" ref="D5198:D5206" si="560">IF(OR(G5198="*",G5198="",G5198=0),0,COUNTIF($G$5198:$G$5206,G5198))</f>
        <v>1</v>
      </c>
      <c r="E5198" s="2721">
        <v>1</v>
      </c>
      <c r="F5198" s="294"/>
      <c r="G5198" s="1474" t="s">
        <v>10</v>
      </c>
      <c r="H5198" s="2275"/>
      <c r="I5198" s="2276"/>
      <c r="M5198" s="291"/>
      <c r="N5198" s="291"/>
      <c r="O5198" s="291"/>
      <c r="P5198" s="291"/>
      <c r="S5198" s="364"/>
      <c r="Z5198" s="609" t="s">
        <v>4429</v>
      </c>
      <c r="AA5198" s="609"/>
    </row>
    <row r="5199" spans="1:27" ht="18">
      <c r="A5199" s="2714"/>
      <c r="B5199" s="371">
        <v>102</v>
      </c>
      <c r="C5199" s="371"/>
      <c r="D5199" s="2716">
        <f t="shared" si="560"/>
        <v>1</v>
      </c>
      <c r="E5199" s="2721">
        <v>1</v>
      </c>
      <c r="F5199" s="294"/>
      <c r="G5199" s="1474" t="s">
        <v>109</v>
      </c>
      <c r="H5199" s="2275"/>
      <c r="I5199" s="2276"/>
      <c r="M5199" s="291"/>
      <c r="N5199" s="291"/>
      <c r="O5199" s="291"/>
      <c r="P5199" s="291"/>
      <c r="S5199" s="364"/>
      <c r="Z5199" s="609" t="s">
        <v>4429</v>
      </c>
      <c r="AA5199" s="609"/>
    </row>
    <row r="5200" spans="1:27" ht="18">
      <c r="A5200" s="2714"/>
      <c r="B5200" s="371">
        <v>103</v>
      </c>
      <c r="C5200" s="371"/>
      <c r="D5200" s="2716">
        <f t="shared" si="560"/>
        <v>1</v>
      </c>
      <c r="E5200" s="2721">
        <v>1</v>
      </c>
      <c r="F5200" s="294"/>
      <c r="G5200" s="1474" t="s">
        <v>229</v>
      </c>
      <c r="H5200" s="2275"/>
      <c r="I5200" s="2276"/>
      <c r="M5200" s="291"/>
      <c r="N5200" s="291"/>
      <c r="O5200" s="291"/>
      <c r="P5200" s="291"/>
      <c r="S5200" s="364"/>
      <c r="Z5200" s="609" t="s">
        <v>4429</v>
      </c>
      <c r="AA5200" s="609"/>
    </row>
    <row r="5201" spans="1:27" ht="18">
      <c r="A5201" s="2714"/>
      <c r="B5201" s="371">
        <v>104</v>
      </c>
      <c r="C5201" s="371"/>
      <c r="D5201" s="2716">
        <f t="shared" si="560"/>
        <v>1</v>
      </c>
      <c r="E5201" s="2721">
        <v>1</v>
      </c>
      <c r="F5201" s="294"/>
      <c r="G5201" s="1474" t="s">
        <v>337</v>
      </c>
      <c r="H5201" s="2275"/>
      <c r="I5201" s="2276"/>
      <c r="M5201" s="291"/>
      <c r="N5201" s="291"/>
      <c r="O5201" s="291"/>
      <c r="P5201" s="291"/>
      <c r="S5201" s="364"/>
      <c r="Z5201" s="609" t="s">
        <v>4429</v>
      </c>
      <c r="AA5201" s="609"/>
    </row>
    <row r="5202" spans="1:27" ht="18">
      <c r="A5202" s="2714"/>
      <c r="B5202" s="371">
        <v>105</v>
      </c>
      <c r="C5202" s="371"/>
      <c r="D5202" s="2716">
        <f t="shared" si="560"/>
        <v>1</v>
      </c>
      <c r="E5202" s="2721">
        <v>1</v>
      </c>
      <c r="F5202" s="294"/>
      <c r="G5202" s="1474" t="s">
        <v>396</v>
      </c>
      <c r="H5202" s="2275"/>
      <c r="I5202" s="2276"/>
      <c r="M5202" s="291"/>
      <c r="N5202" s="291"/>
      <c r="O5202" s="291"/>
      <c r="P5202" s="291"/>
      <c r="S5202" s="364"/>
      <c r="Z5202" s="609" t="s">
        <v>4429</v>
      </c>
      <c r="AA5202" s="609"/>
    </row>
    <row r="5203" spans="1:27" ht="18">
      <c r="A5203" s="2714"/>
      <c r="B5203" s="371">
        <v>106</v>
      </c>
      <c r="C5203" s="371" t="s">
        <v>2791</v>
      </c>
      <c r="D5203" s="2716">
        <f t="shared" si="560"/>
        <v>0</v>
      </c>
      <c r="E5203" s="2721">
        <v>1</v>
      </c>
      <c r="F5203" s="294"/>
      <c r="G5203" s="2467" t="s">
        <v>2792</v>
      </c>
      <c r="H5203" s="2275"/>
      <c r="I5203" s="2276"/>
      <c r="M5203" s="291"/>
      <c r="N5203" s="291"/>
      <c r="O5203" s="291"/>
      <c r="P5203" s="291"/>
      <c r="S5203" s="364"/>
      <c r="Z5203" s="609" t="s">
        <v>4429</v>
      </c>
      <c r="AA5203" s="609"/>
    </row>
    <row r="5204" spans="1:27" ht="18">
      <c r="A5204" s="2714"/>
      <c r="B5204" s="371">
        <v>107</v>
      </c>
      <c r="C5204" s="371" t="s">
        <v>2791</v>
      </c>
      <c r="D5204" s="2716">
        <f t="shared" si="560"/>
        <v>0</v>
      </c>
      <c r="E5204" s="2721">
        <v>1</v>
      </c>
      <c r="F5204" s="294"/>
      <c r="G5204" s="2467" t="s">
        <v>2792</v>
      </c>
      <c r="H5204" s="2275"/>
      <c r="I5204" s="2276"/>
      <c r="M5204" s="291"/>
      <c r="N5204" s="291"/>
      <c r="O5204" s="291"/>
      <c r="P5204" s="291"/>
      <c r="S5204" s="364"/>
      <c r="Z5204" s="609" t="s">
        <v>4429</v>
      </c>
      <c r="AA5204" s="609"/>
    </row>
    <row r="5205" spans="1:27" ht="18">
      <c r="A5205" s="2714"/>
      <c r="B5205" s="371">
        <v>108</v>
      </c>
      <c r="C5205" s="371" t="s">
        <v>2791</v>
      </c>
      <c r="D5205" s="2716">
        <f t="shared" si="560"/>
        <v>0</v>
      </c>
      <c r="E5205" s="2721">
        <v>1</v>
      </c>
      <c r="F5205" s="294"/>
      <c r="G5205" s="2467" t="s">
        <v>2792</v>
      </c>
      <c r="H5205" s="2275"/>
      <c r="I5205" s="2276"/>
      <c r="M5205" s="291"/>
      <c r="N5205" s="291"/>
      <c r="O5205" s="291"/>
      <c r="P5205" s="291"/>
      <c r="S5205" s="364"/>
      <c r="Z5205" s="609" t="s">
        <v>4429</v>
      </c>
      <c r="AA5205" s="609"/>
    </row>
    <row r="5206" spans="1:27" ht="18.75" thickBot="1">
      <c r="A5206" s="2714"/>
      <c r="B5206" s="371"/>
      <c r="C5206" s="371"/>
      <c r="D5206" s="2716">
        <f t="shared" si="560"/>
        <v>1</v>
      </c>
      <c r="E5206" s="2721" t="s">
        <v>3032</v>
      </c>
      <c r="F5206" s="294"/>
      <c r="G5206" s="374" t="s">
        <v>2752</v>
      </c>
      <c r="H5206" s="1478">
        <f>SUMPRODUCT($E5197:$E5205,H5197:H5205)</f>
        <v>0</v>
      </c>
      <c r="I5206" s="2260"/>
      <c r="M5206" s="291"/>
      <c r="N5206" s="291"/>
      <c r="O5206" s="291"/>
      <c r="P5206" s="291"/>
      <c r="S5206" s="364"/>
      <c r="Z5206" s="609" t="s">
        <v>4429</v>
      </c>
      <c r="AA5206" s="609"/>
    </row>
    <row r="5207" spans="1:27" ht="18">
      <c r="A5207" s="2714"/>
      <c r="B5207" s="371"/>
      <c r="C5207" s="371" t="s">
        <v>2755</v>
      </c>
      <c r="D5207" s="371"/>
      <c r="F5207" s="294"/>
      <c r="G5207" s="301"/>
      <c r="H5207" s="315"/>
      <c r="I5207" s="393"/>
      <c r="J5207" s="349"/>
      <c r="K5207" s="349"/>
      <c r="L5207" s="350"/>
      <c r="M5207" s="291"/>
      <c r="N5207" s="291"/>
      <c r="O5207" s="291"/>
      <c r="P5207" s="291"/>
      <c r="S5207" s="364"/>
      <c r="Z5207" s="609" t="s">
        <v>4429</v>
      </c>
      <c r="AA5207" s="609"/>
    </row>
    <row r="5208" spans="1:27" ht="18">
      <c r="A5208" s="2714">
        <v>1704</v>
      </c>
      <c r="B5208" s="371">
        <v>82</v>
      </c>
      <c r="C5208" s="2716" t="str">
        <f>VLOOKUP($A5208,Sheet_Items,2,0)</f>
        <v>外币货币性项目</v>
      </c>
      <c r="D5208" s="371"/>
      <c r="E5208" s="2716" t="s">
        <v>2739</v>
      </c>
      <c r="F5208" s="294"/>
      <c r="G5208" s="305" t="str">
        <f>B5208&amp;" "&amp;C5208</f>
        <v>82 外币货币性项目</v>
      </c>
      <c r="H5208" s="306"/>
      <c r="I5208" s="306"/>
      <c r="J5208" s="306"/>
      <c r="K5208" s="539"/>
      <c r="L5208" s="342"/>
      <c r="M5208" s="306"/>
      <c r="N5208" s="539"/>
      <c r="O5208" s="306"/>
      <c r="P5208" s="301"/>
      <c r="S5208" s="364"/>
      <c r="Z5208" s="609" t="s">
        <v>4433</v>
      </c>
      <c r="AA5208" s="609"/>
    </row>
    <row r="5209" spans="1:27" ht="18">
      <c r="A5209" s="2714" t="s">
        <v>1347</v>
      </c>
      <c r="B5209" s="371">
        <v>1</v>
      </c>
      <c r="C5209" s="371"/>
      <c r="D5209" s="2716" t="str">
        <f>VLOOKUP($A5209,Sheet_NoteList,2,0)</f>
        <v>外币货币性项目明细</v>
      </c>
      <c r="E5209" s="2716" t="s">
        <v>2742</v>
      </c>
      <c r="F5209" s="294"/>
      <c r="G5209" s="307" t="str">
        <f>"("&amp;B5209&amp;")"&amp;D5209</f>
        <v>(1)外币货币性项目明细</v>
      </c>
      <c r="H5209" s="1517" t="str">
        <f>$A5209</f>
        <v>1704a</v>
      </c>
      <c r="I5209" s="343" t="s">
        <v>2743</v>
      </c>
      <c r="J5209" s="301"/>
      <c r="K5209" s="3084"/>
      <c r="L5209" s="315"/>
      <c r="M5209" s="301"/>
      <c r="N5209" s="3084"/>
      <c r="O5209" s="315"/>
      <c r="P5209" s="301"/>
      <c r="S5209" s="364"/>
      <c r="Z5209" s="609" t="s">
        <v>4433</v>
      </c>
      <c r="AA5209" s="609"/>
    </row>
    <row r="5210" spans="1:27" ht="0.75" customHeight="1" thickBot="1">
      <c r="A5210" s="2714"/>
      <c r="B5210" s="371"/>
      <c r="C5210" s="371"/>
      <c r="D5210" s="371"/>
      <c r="F5210" s="371"/>
      <c r="G5210" s="371" t="s">
        <v>4434</v>
      </c>
      <c r="H5210" s="371" t="s">
        <v>3073</v>
      </c>
      <c r="I5210" s="371" t="s">
        <v>3074</v>
      </c>
      <c r="J5210" s="371" t="s">
        <v>3075</v>
      </c>
      <c r="M5210" s="291"/>
      <c r="N5210" s="291"/>
      <c r="O5210" s="291"/>
      <c r="P5210" s="291"/>
      <c r="S5210" s="364"/>
      <c r="Z5210" s="609" t="s">
        <v>4433</v>
      </c>
      <c r="AA5210" s="609"/>
    </row>
    <row r="5211" spans="1:27" ht="24">
      <c r="A5211" s="2714"/>
      <c r="B5211" s="371"/>
      <c r="C5211" s="371"/>
      <c r="D5211" s="371"/>
      <c r="E5211" s="2716" t="s">
        <v>2749</v>
      </c>
      <c r="F5211" s="294"/>
      <c r="G5211" s="2482" t="s">
        <v>47</v>
      </c>
      <c r="H5211" s="2483" t="str">
        <f>$W$2&amp;"外币余额"</f>
        <v>2019年12月31日外币余额</v>
      </c>
      <c r="I5211" s="2483" t="s">
        <v>3077</v>
      </c>
      <c r="J5211" s="2484" t="str">
        <f>$W$2&amp;"折算人民币余额"</f>
        <v>2019年12月31日折算人民币余额</v>
      </c>
      <c r="K5211" s="355" t="s">
        <v>5346</v>
      </c>
      <c r="M5211" s="291"/>
      <c r="N5211" s="291"/>
      <c r="O5211" s="291"/>
      <c r="P5211" s="291"/>
      <c r="S5211" s="364"/>
      <c r="Z5211" s="609" t="s">
        <v>4433</v>
      </c>
      <c r="AA5211" s="609"/>
    </row>
    <row r="5212" spans="1:27" ht="18">
      <c r="A5212" s="2714"/>
      <c r="B5212" s="371">
        <v>101</v>
      </c>
      <c r="C5212" s="371"/>
      <c r="D5212" s="2716">
        <f t="shared" ref="D5212:D5243" si="561">IF(OR(G5212="*",G5212="",G5212=0),0,COUNTIF($G$5212:$G$5273,G5212))</f>
        <v>1</v>
      </c>
      <c r="E5212" s="2721" t="s">
        <v>41</v>
      </c>
      <c r="F5212" s="294"/>
      <c r="G5212" s="308" t="s">
        <v>5261</v>
      </c>
      <c r="H5212" s="309"/>
      <c r="I5212" s="360"/>
      <c r="J5212" s="346"/>
      <c r="K5212" s="1587" t="s">
        <v>45</v>
      </c>
      <c r="M5212" s="291"/>
      <c r="N5212" s="291"/>
      <c r="O5212" s="291"/>
      <c r="P5212" s="291"/>
      <c r="S5212" s="364"/>
      <c r="Z5212" s="609" t="s">
        <v>4433</v>
      </c>
      <c r="AA5212" s="609"/>
    </row>
    <row r="5213" spans="1:27" ht="18">
      <c r="A5213" s="2714"/>
      <c r="B5213" s="371">
        <v>102</v>
      </c>
      <c r="C5213" s="371" t="s">
        <v>2791</v>
      </c>
      <c r="D5213" s="2716">
        <f t="shared" si="561"/>
        <v>1</v>
      </c>
      <c r="E5213" s="2721">
        <v>1</v>
      </c>
      <c r="F5213" s="294"/>
      <c r="G5213" s="1497" t="str">
        <f>"其中："&amp;G5212&amp;"（美元）"</f>
        <v>其中：货币资金（美元）</v>
      </c>
      <c r="H5213" s="309"/>
      <c r="I5213" s="360"/>
      <c r="J5213" s="346"/>
      <c r="M5213" s="291"/>
      <c r="N5213" s="291"/>
      <c r="O5213" s="291"/>
      <c r="P5213" s="291"/>
      <c r="S5213" s="364"/>
      <c r="Z5213" s="609" t="s">
        <v>4433</v>
      </c>
      <c r="AA5213" s="609"/>
    </row>
    <row r="5214" spans="1:27" ht="18">
      <c r="A5214" s="2714"/>
      <c r="B5214" s="371">
        <v>103</v>
      </c>
      <c r="C5214" s="371" t="s">
        <v>2791</v>
      </c>
      <c r="D5214" s="2716">
        <f t="shared" si="561"/>
        <v>1</v>
      </c>
      <c r="E5214" s="2721">
        <v>1</v>
      </c>
      <c r="F5214" s="294"/>
      <c r="G5214" s="1497" t="str">
        <f>G5212&amp;"（欧元）"</f>
        <v>货币资金（欧元）</v>
      </c>
      <c r="H5214" s="309"/>
      <c r="I5214" s="360"/>
      <c r="J5214" s="346"/>
      <c r="M5214" s="291"/>
      <c r="N5214" s="291"/>
      <c r="O5214" s="291"/>
      <c r="P5214" s="291"/>
      <c r="S5214" s="364"/>
      <c r="Z5214" s="609" t="s">
        <v>4433</v>
      </c>
      <c r="AA5214" s="609"/>
    </row>
    <row r="5215" spans="1:27" ht="18">
      <c r="A5215" s="2714"/>
      <c r="B5215" s="371">
        <v>104</v>
      </c>
      <c r="C5215" s="371" t="s">
        <v>2791</v>
      </c>
      <c r="D5215" s="2716">
        <f t="shared" si="561"/>
        <v>1</v>
      </c>
      <c r="E5215" s="2721">
        <v>1</v>
      </c>
      <c r="F5215" s="294"/>
      <c r="G5215" s="1497" t="str">
        <f>G5212&amp;"（港币）"</f>
        <v>货币资金（港币）</v>
      </c>
      <c r="H5215" s="309"/>
      <c r="I5215" s="360"/>
      <c r="J5215" s="346"/>
      <c r="M5215" s="291"/>
      <c r="N5215" s="291"/>
      <c r="O5215" s="291"/>
      <c r="P5215" s="291"/>
      <c r="S5215" s="364"/>
      <c r="Z5215" s="609" t="s">
        <v>4433</v>
      </c>
      <c r="AA5215" s="609"/>
    </row>
    <row r="5216" spans="1:27" ht="18">
      <c r="A5216" s="2714"/>
      <c r="B5216" s="371">
        <v>105</v>
      </c>
      <c r="C5216" s="371" t="s">
        <v>2791</v>
      </c>
      <c r="D5216" s="2716">
        <f t="shared" si="561"/>
        <v>0</v>
      </c>
      <c r="E5216" s="2721">
        <v>1</v>
      </c>
      <c r="F5216" s="294"/>
      <c r="G5216" s="1504" t="s">
        <v>2792</v>
      </c>
      <c r="H5216" s="309"/>
      <c r="I5216" s="360"/>
      <c r="J5216" s="346"/>
      <c r="M5216" s="291"/>
      <c r="N5216" s="291"/>
      <c r="O5216" s="291"/>
      <c r="P5216" s="291"/>
      <c r="S5216" s="364"/>
      <c r="Z5216" s="609" t="s">
        <v>4433</v>
      </c>
      <c r="AA5216" s="609"/>
    </row>
    <row r="5217" spans="1:27" ht="18">
      <c r="A5217" s="2714"/>
      <c r="B5217" s="371">
        <v>106</v>
      </c>
      <c r="C5217" s="371"/>
      <c r="D5217" s="2716">
        <f t="shared" si="561"/>
        <v>1</v>
      </c>
      <c r="E5217" s="2721" t="s">
        <v>41</v>
      </c>
      <c r="F5217" s="294"/>
      <c r="G5217" s="308" t="s">
        <v>5254</v>
      </c>
      <c r="H5217" s="309"/>
      <c r="I5217" s="360"/>
      <c r="J5217" s="346"/>
      <c r="K5217" s="1587" t="s">
        <v>5585</v>
      </c>
      <c r="M5217" s="291"/>
      <c r="N5217" s="291"/>
      <c r="O5217" s="291"/>
      <c r="P5217" s="291"/>
      <c r="S5217" s="364"/>
      <c r="Z5217" s="609" t="s">
        <v>4433</v>
      </c>
      <c r="AA5217" s="609"/>
    </row>
    <row r="5218" spans="1:27" ht="18">
      <c r="A5218" s="2714"/>
      <c r="B5218" s="371">
        <v>107</v>
      </c>
      <c r="C5218" s="371" t="s">
        <v>2791</v>
      </c>
      <c r="D5218" s="2716">
        <f t="shared" si="561"/>
        <v>1</v>
      </c>
      <c r="E5218" s="2721">
        <v>1</v>
      </c>
      <c r="F5218" s="294"/>
      <c r="G5218" s="1636" t="str">
        <f>"其中："&amp;G5217&amp;"（美元）"</f>
        <v>其中：应收票据（美元）</v>
      </c>
      <c r="H5218" s="309"/>
      <c r="I5218" s="360"/>
      <c r="J5218" s="346"/>
      <c r="M5218" s="291"/>
      <c r="N5218" s="291"/>
      <c r="O5218" s="291"/>
      <c r="P5218" s="291"/>
      <c r="S5218" s="364"/>
      <c r="Z5218" s="609" t="s">
        <v>4433</v>
      </c>
      <c r="AA5218" s="609"/>
    </row>
    <row r="5219" spans="1:27" ht="18">
      <c r="A5219" s="2714"/>
      <c r="B5219" s="371">
        <v>108</v>
      </c>
      <c r="C5219" s="371" t="s">
        <v>2791</v>
      </c>
      <c r="D5219" s="2716">
        <f t="shared" si="561"/>
        <v>1</v>
      </c>
      <c r="E5219" s="2721">
        <v>1</v>
      </c>
      <c r="F5219" s="294"/>
      <c r="G5219" s="1636" t="str">
        <f>G5217&amp;"（欧元）"</f>
        <v>应收票据（欧元）</v>
      </c>
      <c r="H5219" s="309"/>
      <c r="I5219" s="360"/>
      <c r="J5219" s="346"/>
      <c r="M5219" s="291"/>
      <c r="N5219" s="291"/>
      <c r="O5219" s="291"/>
      <c r="P5219" s="291"/>
      <c r="S5219" s="364"/>
      <c r="Z5219" s="609" t="s">
        <v>4433</v>
      </c>
      <c r="AA5219" s="609"/>
    </row>
    <row r="5220" spans="1:27" ht="18">
      <c r="A5220" s="2714"/>
      <c r="B5220" s="371">
        <v>109</v>
      </c>
      <c r="C5220" s="371" t="s">
        <v>2791</v>
      </c>
      <c r="D5220" s="2716">
        <f t="shared" si="561"/>
        <v>1</v>
      </c>
      <c r="E5220" s="2721">
        <v>1</v>
      </c>
      <c r="F5220" s="294"/>
      <c r="G5220" s="1636" t="str">
        <f>G5217&amp;"（港币）"</f>
        <v>应收票据（港币）</v>
      </c>
      <c r="H5220" s="309"/>
      <c r="I5220" s="1638"/>
      <c r="J5220" s="346"/>
      <c r="M5220" s="291"/>
      <c r="N5220" s="291"/>
      <c r="O5220" s="291"/>
      <c r="P5220" s="291"/>
      <c r="S5220" s="364"/>
      <c r="Z5220" s="609" t="s">
        <v>4433</v>
      </c>
      <c r="AA5220" s="609"/>
    </row>
    <row r="5221" spans="1:27" ht="18">
      <c r="A5221" s="2714"/>
      <c r="B5221" s="371">
        <v>110</v>
      </c>
      <c r="C5221" s="371" t="s">
        <v>2791</v>
      </c>
      <c r="D5221" s="2716">
        <f t="shared" si="561"/>
        <v>0</v>
      </c>
      <c r="E5221" s="2721">
        <v>1</v>
      </c>
      <c r="F5221" s="294"/>
      <c r="G5221" s="1504" t="s">
        <v>2792</v>
      </c>
      <c r="H5221" s="309"/>
      <c r="I5221" s="360"/>
      <c r="J5221" s="346"/>
      <c r="M5221" s="291"/>
      <c r="N5221" s="291"/>
      <c r="O5221" s="291"/>
      <c r="P5221" s="291"/>
      <c r="S5221" s="364"/>
      <c r="Z5221" s="609" t="s">
        <v>4433</v>
      </c>
      <c r="AA5221" s="609"/>
    </row>
    <row r="5222" spans="1:27" ht="18">
      <c r="A5222" s="2714"/>
      <c r="B5222" s="371">
        <v>111</v>
      </c>
      <c r="C5222" s="371"/>
      <c r="D5222" s="2716">
        <f t="shared" si="561"/>
        <v>1</v>
      </c>
      <c r="E5222" s="2721" t="s">
        <v>41</v>
      </c>
      <c r="F5222" s="294"/>
      <c r="G5222" s="308" t="s">
        <v>5262</v>
      </c>
      <c r="H5222" s="309"/>
      <c r="I5222" s="360"/>
      <c r="J5222" s="346"/>
      <c r="K5222" s="1587" t="s">
        <v>419</v>
      </c>
      <c r="M5222" s="291"/>
      <c r="N5222" s="291"/>
      <c r="O5222" s="291"/>
      <c r="P5222" s="291"/>
      <c r="S5222" s="364"/>
      <c r="Z5222" s="609" t="s">
        <v>4433</v>
      </c>
      <c r="AA5222" s="609"/>
    </row>
    <row r="5223" spans="1:27" ht="18">
      <c r="A5223" s="2714"/>
      <c r="B5223" s="371">
        <v>112</v>
      </c>
      <c r="C5223" s="371" t="s">
        <v>2791</v>
      </c>
      <c r="D5223" s="2716">
        <f t="shared" si="561"/>
        <v>1</v>
      </c>
      <c r="E5223" s="2721">
        <v>1</v>
      </c>
      <c r="F5223" s="294"/>
      <c r="G5223" s="1497" t="str">
        <f>"其中："&amp;G5222&amp;"（美元）"</f>
        <v>其中：应收账款（美元）</v>
      </c>
      <c r="H5223" s="309"/>
      <c r="I5223" s="360"/>
      <c r="J5223" s="346"/>
      <c r="M5223" s="291"/>
      <c r="N5223" s="291"/>
      <c r="O5223" s="291"/>
      <c r="P5223" s="291"/>
      <c r="S5223" s="364"/>
      <c r="Z5223" s="609" t="s">
        <v>4433</v>
      </c>
      <c r="AA5223" s="609"/>
    </row>
    <row r="5224" spans="1:27" ht="18">
      <c r="A5224" s="2714"/>
      <c r="B5224" s="371">
        <v>113</v>
      </c>
      <c r="C5224" s="371" t="s">
        <v>2791</v>
      </c>
      <c r="D5224" s="2716">
        <f t="shared" si="561"/>
        <v>1</v>
      </c>
      <c r="E5224" s="2721">
        <v>1</v>
      </c>
      <c r="F5224" s="294"/>
      <c r="G5224" s="1497" t="str">
        <f>G5222&amp;"（欧元）"</f>
        <v>应收账款（欧元）</v>
      </c>
      <c r="H5224" s="309"/>
      <c r="I5224" s="360"/>
      <c r="J5224" s="346"/>
      <c r="M5224" s="291"/>
      <c r="N5224" s="291"/>
      <c r="O5224" s="291"/>
      <c r="P5224" s="291"/>
      <c r="S5224" s="364"/>
      <c r="Z5224" s="609" t="s">
        <v>4433</v>
      </c>
      <c r="AA5224" s="609"/>
    </row>
    <row r="5225" spans="1:27" ht="18">
      <c r="A5225" s="2714"/>
      <c r="B5225" s="371">
        <v>114</v>
      </c>
      <c r="C5225" s="371" t="s">
        <v>2791</v>
      </c>
      <c r="D5225" s="2716">
        <f t="shared" si="561"/>
        <v>1</v>
      </c>
      <c r="E5225" s="2721">
        <v>1</v>
      </c>
      <c r="F5225" s="294"/>
      <c r="G5225" s="1497" t="str">
        <f>G5222&amp;"（港币）"</f>
        <v>应收账款（港币）</v>
      </c>
      <c r="H5225" s="309"/>
      <c r="I5225" s="360"/>
      <c r="J5225" s="346"/>
      <c r="M5225" s="291"/>
      <c r="N5225" s="291"/>
      <c r="O5225" s="291"/>
      <c r="P5225" s="291"/>
      <c r="S5225" s="364"/>
      <c r="Z5225" s="609" t="s">
        <v>4433</v>
      </c>
      <c r="AA5225" s="609"/>
    </row>
    <row r="5226" spans="1:27" ht="18">
      <c r="A5226" s="2714"/>
      <c r="B5226" s="371">
        <v>115</v>
      </c>
      <c r="C5226" s="371" t="s">
        <v>2791</v>
      </c>
      <c r="D5226" s="2716">
        <f t="shared" si="561"/>
        <v>0</v>
      </c>
      <c r="E5226" s="2721">
        <v>1</v>
      </c>
      <c r="F5226" s="294"/>
      <c r="G5226" s="1504" t="s">
        <v>2792</v>
      </c>
      <c r="H5226" s="309"/>
      <c r="I5226" s="360"/>
      <c r="J5226" s="346"/>
      <c r="M5226" s="291"/>
      <c r="N5226" s="291"/>
      <c r="O5226" s="291"/>
      <c r="P5226" s="291"/>
      <c r="S5226" s="364"/>
      <c r="Z5226" s="609" t="s">
        <v>4433</v>
      </c>
      <c r="AA5226" s="609"/>
    </row>
    <row r="5227" spans="1:27" ht="18">
      <c r="A5227" s="2714"/>
      <c r="B5227" s="371">
        <v>116</v>
      </c>
      <c r="C5227" s="371"/>
      <c r="D5227" s="2716">
        <f t="shared" si="561"/>
        <v>1</v>
      </c>
      <c r="E5227" s="2721" t="s">
        <v>41</v>
      </c>
      <c r="F5227" s="294"/>
      <c r="G5227" s="308" t="s">
        <v>5615</v>
      </c>
      <c r="H5227" s="309"/>
      <c r="I5227" s="360"/>
      <c r="J5227" s="346"/>
      <c r="K5227" s="1587" t="s">
        <v>629</v>
      </c>
      <c r="M5227" s="291"/>
      <c r="N5227" s="291"/>
      <c r="O5227" s="291"/>
      <c r="P5227" s="291"/>
      <c r="S5227" s="364"/>
      <c r="Z5227" s="609" t="s">
        <v>4433</v>
      </c>
      <c r="AA5227" s="609"/>
    </row>
    <row r="5228" spans="1:27" ht="18">
      <c r="A5228" s="2714"/>
      <c r="B5228" s="371">
        <v>117</v>
      </c>
      <c r="C5228" s="371" t="s">
        <v>2791</v>
      </c>
      <c r="D5228" s="2716">
        <f t="shared" si="561"/>
        <v>1</v>
      </c>
      <c r="E5228" s="2721">
        <v>1</v>
      </c>
      <c r="F5228" s="294"/>
      <c r="G5228" s="1497" t="str">
        <f>"其中："&amp;G5227&amp;"（美元）"</f>
        <v>其中：其他应收款（美元）</v>
      </c>
      <c r="H5228" s="309"/>
      <c r="I5228" s="360"/>
      <c r="J5228" s="346"/>
      <c r="M5228" s="291"/>
      <c r="N5228" s="291"/>
      <c r="O5228" s="291"/>
      <c r="P5228" s="291"/>
      <c r="S5228" s="364"/>
      <c r="Z5228" s="609" t="s">
        <v>4433</v>
      </c>
      <c r="AA5228" s="609"/>
    </row>
    <row r="5229" spans="1:27" ht="18">
      <c r="A5229" s="2714"/>
      <c r="B5229" s="371">
        <v>118</v>
      </c>
      <c r="C5229" s="371" t="s">
        <v>2791</v>
      </c>
      <c r="D5229" s="2716">
        <f t="shared" si="561"/>
        <v>1</v>
      </c>
      <c r="E5229" s="2721">
        <v>1</v>
      </c>
      <c r="F5229" s="294"/>
      <c r="G5229" s="1497" t="str">
        <f>G5227&amp;"（欧元）"</f>
        <v>其他应收款（欧元）</v>
      </c>
      <c r="H5229" s="309"/>
      <c r="I5229" s="360"/>
      <c r="J5229" s="346"/>
      <c r="M5229" s="291"/>
      <c r="N5229" s="291"/>
      <c r="O5229" s="291"/>
      <c r="P5229" s="291"/>
      <c r="S5229" s="364"/>
      <c r="Z5229" s="609" t="s">
        <v>4433</v>
      </c>
      <c r="AA5229" s="609"/>
    </row>
    <row r="5230" spans="1:27" ht="18">
      <c r="A5230" s="2714"/>
      <c r="B5230" s="371">
        <v>119</v>
      </c>
      <c r="C5230" s="371" t="s">
        <v>2791</v>
      </c>
      <c r="D5230" s="2716">
        <f t="shared" si="561"/>
        <v>1</v>
      </c>
      <c r="E5230" s="2721">
        <v>1</v>
      </c>
      <c r="F5230" s="294"/>
      <c r="G5230" s="1497" t="str">
        <f>G5227&amp;"（港币）"</f>
        <v>其他应收款（港币）</v>
      </c>
      <c r="H5230" s="309"/>
      <c r="I5230" s="360"/>
      <c r="J5230" s="346"/>
      <c r="M5230" s="291"/>
      <c r="N5230" s="291"/>
      <c r="O5230" s="291"/>
      <c r="P5230" s="291"/>
      <c r="S5230" s="364"/>
      <c r="Z5230" s="609" t="s">
        <v>4433</v>
      </c>
      <c r="AA5230" s="609"/>
    </row>
    <row r="5231" spans="1:27" ht="18">
      <c r="A5231" s="2714"/>
      <c r="B5231" s="371">
        <v>120</v>
      </c>
      <c r="C5231" s="371" t="s">
        <v>2791</v>
      </c>
      <c r="D5231" s="2716">
        <f t="shared" si="561"/>
        <v>0</v>
      </c>
      <c r="E5231" s="2721">
        <v>1</v>
      </c>
      <c r="F5231" s="294"/>
      <c r="G5231" s="1504" t="s">
        <v>2792</v>
      </c>
      <c r="H5231" s="309"/>
      <c r="I5231" s="360"/>
      <c r="J5231" s="346"/>
      <c r="M5231" s="291"/>
      <c r="N5231" s="291"/>
      <c r="O5231" s="291"/>
      <c r="P5231" s="291"/>
      <c r="S5231" s="364"/>
      <c r="Z5231" s="609" t="s">
        <v>4433</v>
      </c>
      <c r="AA5231" s="609"/>
    </row>
    <row r="5232" spans="1:27" ht="18">
      <c r="A5232" s="2714"/>
      <c r="B5232" s="371">
        <v>121</v>
      </c>
      <c r="C5232" s="371"/>
      <c r="D5232" s="2716">
        <f t="shared" si="561"/>
        <v>1</v>
      </c>
      <c r="E5232" s="2721" t="s">
        <v>41</v>
      </c>
      <c r="F5232" s="294"/>
      <c r="G5232" s="308" t="s">
        <v>5255</v>
      </c>
      <c r="H5232" s="2329">
        <v>0</v>
      </c>
      <c r="I5232" s="360"/>
      <c r="J5232" s="2694">
        <v>0</v>
      </c>
      <c r="K5232" s="1587" t="s">
        <v>5587</v>
      </c>
      <c r="M5232" s="291"/>
      <c r="N5232" s="291"/>
      <c r="O5232" s="291"/>
      <c r="P5232" s="291"/>
      <c r="S5232" s="364"/>
      <c r="Z5232" s="609" t="s">
        <v>4433</v>
      </c>
      <c r="AA5232" s="609"/>
    </row>
    <row r="5233" spans="1:27" ht="24">
      <c r="A5233" s="2714"/>
      <c r="B5233" s="371">
        <v>122</v>
      </c>
      <c r="C5233" s="371" t="s">
        <v>2791</v>
      </c>
      <c r="D5233" s="2716">
        <f t="shared" si="561"/>
        <v>1</v>
      </c>
      <c r="E5233" s="2721">
        <v>1</v>
      </c>
      <c r="F5233" s="294"/>
      <c r="G5233" s="1497" t="str">
        <f>"其中："&amp;G5232&amp;"（美元）"</f>
        <v>其中：持有至到期投资（美元）</v>
      </c>
      <c r="H5233" s="2329">
        <v>0</v>
      </c>
      <c r="I5233" s="360"/>
      <c r="J5233" s="2695">
        <v>0</v>
      </c>
      <c r="M5233" s="291"/>
      <c r="N5233" s="291"/>
      <c r="O5233" s="291"/>
      <c r="P5233" s="291"/>
      <c r="S5233" s="364"/>
      <c r="Z5233" s="609" t="s">
        <v>4433</v>
      </c>
      <c r="AA5233" s="609"/>
    </row>
    <row r="5234" spans="1:27" ht="18">
      <c r="A5234" s="2714"/>
      <c r="B5234" s="371">
        <v>123</v>
      </c>
      <c r="C5234" s="371" t="s">
        <v>2791</v>
      </c>
      <c r="D5234" s="2716">
        <f t="shared" si="561"/>
        <v>1</v>
      </c>
      <c r="E5234" s="2721">
        <v>1</v>
      </c>
      <c r="F5234" s="294"/>
      <c r="G5234" s="1497" t="str">
        <f>G5232&amp;"（欧元）"</f>
        <v>持有至到期投资（欧元）</v>
      </c>
      <c r="H5234" s="2329">
        <v>0</v>
      </c>
      <c r="I5234" s="360"/>
      <c r="J5234" s="2695">
        <v>0</v>
      </c>
      <c r="M5234" s="291"/>
      <c r="N5234" s="291"/>
      <c r="O5234" s="291"/>
      <c r="P5234" s="291"/>
      <c r="S5234" s="364"/>
      <c r="Z5234" s="609" t="s">
        <v>4433</v>
      </c>
      <c r="AA5234" s="609"/>
    </row>
    <row r="5235" spans="1:27" ht="18">
      <c r="A5235" s="2714"/>
      <c r="B5235" s="371">
        <v>124</v>
      </c>
      <c r="C5235" s="371" t="s">
        <v>6532</v>
      </c>
      <c r="D5235" s="2716">
        <f t="shared" si="561"/>
        <v>1</v>
      </c>
      <c r="E5235" s="2721">
        <v>1</v>
      </c>
      <c r="F5235" s="294"/>
      <c r="G5235" s="1497" t="str">
        <f>G5232&amp;"（港币）"</f>
        <v>持有至到期投资（港币）</v>
      </c>
      <c r="H5235" s="2329">
        <v>0</v>
      </c>
      <c r="I5235" s="360"/>
      <c r="J5235" s="2695">
        <v>0</v>
      </c>
      <c r="M5235" s="291"/>
      <c r="N5235" s="291"/>
      <c r="O5235" s="291"/>
      <c r="P5235" s="291"/>
      <c r="S5235" s="364"/>
      <c r="Z5235" s="609" t="s">
        <v>4433</v>
      </c>
      <c r="AA5235" s="609"/>
    </row>
    <row r="5236" spans="1:27" ht="18">
      <c r="A5236" s="2714"/>
      <c r="B5236" s="371">
        <v>125</v>
      </c>
      <c r="C5236" s="371" t="s">
        <v>2791</v>
      </c>
      <c r="D5236" s="2716">
        <f t="shared" si="561"/>
        <v>0</v>
      </c>
      <c r="E5236" s="2721">
        <v>1</v>
      </c>
      <c r="F5236" s="294"/>
      <c r="G5236" s="1504" t="s">
        <v>2792</v>
      </c>
      <c r="H5236" s="2329">
        <v>0</v>
      </c>
      <c r="I5236" s="360"/>
      <c r="J5236" s="2696">
        <v>0</v>
      </c>
      <c r="M5236" s="291"/>
      <c r="N5236" s="291"/>
      <c r="O5236" s="291"/>
      <c r="P5236" s="291"/>
      <c r="S5236" s="364"/>
      <c r="Z5236" s="609" t="s">
        <v>4433</v>
      </c>
      <c r="AA5236" s="609"/>
    </row>
    <row r="5237" spans="1:27" ht="18">
      <c r="A5237" s="2714"/>
      <c r="B5237" s="371">
        <v>126</v>
      </c>
      <c r="C5237" s="371"/>
      <c r="D5237" s="2716">
        <f t="shared" si="561"/>
        <v>1</v>
      </c>
      <c r="E5237" s="2721" t="s">
        <v>41</v>
      </c>
      <c r="F5237" s="294"/>
      <c r="G5237" s="2589" t="s">
        <v>6177</v>
      </c>
      <c r="H5237" s="309"/>
      <c r="I5237" s="360"/>
      <c r="J5237" s="346"/>
      <c r="K5237" s="1587" t="s">
        <v>977</v>
      </c>
      <c r="M5237" s="291"/>
      <c r="N5237" s="291"/>
      <c r="O5237" s="291"/>
      <c r="P5237" s="291"/>
      <c r="S5237" s="364"/>
      <c r="Z5237" s="609" t="s">
        <v>4433</v>
      </c>
      <c r="AA5237" s="609"/>
    </row>
    <row r="5238" spans="1:27" ht="18">
      <c r="A5238" s="2714"/>
      <c r="B5238" s="371">
        <v>127</v>
      </c>
      <c r="C5238" s="371" t="s">
        <v>2791</v>
      </c>
      <c r="D5238" s="2716">
        <f t="shared" si="561"/>
        <v>1</v>
      </c>
      <c r="E5238" s="2721">
        <v>1</v>
      </c>
      <c r="F5238" s="294"/>
      <c r="G5238" s="1504" t="str">
        <f>"其中："&amp;G5237&amp;"（美元）"</f>
        <v>其中：长期应收款（美元）</v>
      </c>
      <c r="H5238" s="309"/>
      <c r="I5238" s="360"/>
      <c r="J5238" s="346"/>
      <c r="M5238" s="291"/>
      <c r="N5238" s="291"/>
      <c r="O5238" s="291"/>
      <c r="P5238" s="291"/>
      <c r="S5238" s="364"/>
      <c r="Z5238" s="609" t="s">
        <v>4433</v>
      </c>
      <c r="AA5238" s="609"/>
    </row>
    <row r="5239" spans="1:27" ht="18">
      <c r="A5239" s="2714"/>
      <c r="B5239" s="371">
        <v>128</v>
      </c>
      <c r="C5239" s="371" t="s">
        <v>2791</v>
      </c>
      <c r="D5239" s="2716">
        <f t="shared" si="561"/>
        <v>1</v>
      </c>
      <c r="E5239" s="2721">
        <v>1</v>
      </c>
      <c r="F5239" s="294"/>
      <c r="G5239" s="1504" t="str">
        <f>G5237&amp;"（欧元）"</f>
        <v>长期应收款（欧元）</v>
      </c>
      <c r="H5239" s="309"/>
      <c r="I5239" s="360"/>
      <c r="J5239" s="346"/>
      <c r="M5239" s="291"/>
      <c r="N5239" s="291"/>
      <c r="O5239" s="291"/>
      <c r="P5239" s="291"/>
      <c r="S5239" s="364"/>
      <c r="Z5239" s="609" t="s">
        <v>4433</v>
      </c>
      <c r="AA5239" s="609"/>
    </row>
    <row r="5240" spans="1:27" ht="18">
      <c r="A5240" s="2714"/>
      <c r="B5240" s="371">
        <v>129</v>
      </c>
      <c r="C5240" s="371" t="s">
        <v>2791</v>
      </c>
      <c r="D5240" s="2716">
        <f t="shared" si="561"/>
        <v>1</v>
      </c>
      <c r="E5240" s="2721">
        <v>1</v>
      </c>
      <c r="F5240" s="294"/>
      <c r="G5240" s="1504" t="str">
        <f>G5237&amp;"（港币）"</f>
        <v>长期应收款（港币）</v>
      </c>
      <c r="H5240" s="309"/>
      <c r="I5240" s="360"/>
      <c r="J5240" s="346"/>
      <c r="M5240" s="291"/>
      <c r="N5240" s="291"/>
      <c r="O5240" s="291"/>
      <c r="P5240" s="291"/>
      <c r="S5240" s="364"/>
      <c r="Z5240" s="609" t="s">
        <v>4433</v>
      </c>
      <c r="AA5240" s="609"/>
    </row>
    <row r="5241" spans="1:27" ht="18">
      <c r="A5241" s="2714"/>
      <c r="B5241" s="371">
        <v>130</v>
      </c>
      <c r="C5241" s="371" t="s">
        <v>2791</v>
      </c>
      <c r="D5241" s="2716">
        <f t="shared" si="561"/>
        <v>0</v>
      </c>
      <c r="E5241" s="2721">
        <v>1</v>
      </c>
      <c r="F5241" s="294"/>
      <c r="G5241" s="1504" t="s">
        <v>2792</v>
      </c>
      <c r="H5241" s="309"/>
      <c r="I5241" s="360"/>
      <c r="J5241" s="346"/>
      <c r="M5241" s="291"/>
      <c r="N5241" s="291"/>
      <c r="O5241" s="291"/>
      <c r="P5241" s="291"/>
      <c r="S5241" s="364"/>
      <c r="Z5241" s="609" t="s">
        <v>4433</v>
      </c>
      <c r="AA5241" s="609"/>
    </row>
    <row r="5242" spans="1:27" ht="18">
      <c r="A5242" s="2714"/>
      <c r="B5242" s="371">
        <v>132</v>
      </c>
      <c r="C5242" s="371"/>
      <c r="D5242" s="2716">
        <f t="shared" si="561"/>
        <v>1</v>
      </c>
      <c r="E5242" s="2721" t="s">
        <v>41</v>
      </c>
      <c r="F5242" s="294"/>
      <c r="G5242" s="308" t="s">
        <v>5256</v>
      </c>
      <c r="H5242" s="309"/>
      <c r="I5242" s="360"/>
      <c r="J5242" s="346"/>
      <c r="K5242" s="1587" t="s">
        <v>1437</v>
      </c>
      <c r="M5242" s="291"/>
      <c r="N5242" s="291"/>
      <c r="O5242" s="291"/>
      <c r="P5242" s="291"/>
      <c r="S5242" s="364"/>
      <c r="Z5242" s="609" t="s">
        <v>4433</v>
      </c>
      <c r="AA5242" s="609"/>
    </row>
    <row r="5243" spans="1:27" ht="18">
      <c r="A5243" s="2714"/>
      <c r="B5243" s="371">
        <v>133</v>
      </c>
      <c r="C5243" s="371" t="s">
        <v>2791</v>
      </c>
      <c r="D5243" s="2716">
        <f t="shared" si="561"/>
        <v>1</v>
      </c>
      <c r="E5243" s="2721">
        <v>1</v>
      </c>
      <c r="F5243" s="294"/>
      <c r="G5243" s="1497" t="str">
        <f>"其中："&amp;G5242&amp;"（美元）"</f>
        <v>其中：应付账款（美元）</v>
      </c>
      <c r="H5243" s="309"/>
      <c r="I5243" s="360"/>
      <c r="J5243" s="346"/>
      <c r="M5243" s="291"/>
      <c r="N5243" s="291"/>
      <c r="O5243" s="291"/>
      <c r="P5243" s="291"/>
      <c r="S5243" s="364"/>
      <c r="Z5243" s="609" t="s">
        <v>4433</v>
      </c>
      <c r="AA5243" s="609"/>
    </row>
    <row r="5244" spans="1:27" ht="18">
      <c r="A5244" s="2714"/>
      <c r="B5244" s="371">
        <v>134</v>
      </c>
      <c r="C5244" s="371" t="s">
        <v>2791</v>
      </c>
      <c r="D5244" s="2716">
        <f t="shared" ref="D5244:D5273" si="562">IF(OR(G5244="*",G5244="",G5244=0),0,COUNTIF($G$5212:$G$5273,G5244))</f>
        <v>1</v>
      </c>
      <c r="E5244" s="2721">
        <v>1</v>
      </c>
      <c r="F5244" s="294"/>
      <c r="G5244" s="1497" t="str">
        <f>G5242&amp;"（欧元）"</f>
        <v>应付账款（欧元）</v>
      </c>
      <c r="H5244" s="309"/>
      <c r="I5244" s="360"/>
      <c r="J5244" s="346"/>
      <c r="M5244" s="291"/>
      <c r="N5244" s="291"/>
      <c r="O5244" s="291"/>
      <c r="P5244" s="291"/>
      <c r="S5244" s="364"/>
      <c r="Z5244" s="609" t="s">
        <v>4433</v>
      </c>
      <c r="AA5244" s="609"/>
    </row>
    <row r="5245" spans="1:27" ht="18">
      <c r="A5245" s="2714"/>
      <c r="B5245" s="371">
        <v>135</v>
      </c>
      <c r="C5245" s="371" t="s">
        <v>2791</v>
      </c>
      <c r="D5245" s="2716">
        <f t="shared" si="562"/>
        <v>1</v>
      </c>
      <c r="E5245" s="2721">
        <v>1</v>
      </c>
      <c r="F5245" s="294"/>
      <c r="G5245" s="1497" t="str">
        <f>G5242&amp;"（港币）"</f>
        <v>应付账款（港币）</v>
      </c>
      <c r="H5245" s="309"/>
      <c r="I5245" s="360"/>
      <c r="J5245" s="346"/>
      <c r="M5245" s="291"/>
      <c r="N5245" s="291"/>
      <c r="O5245" s="291"/>
      <c r="P5245" s="291"/>
      <c r="S5245" s="364"/>
      <c r="Z5245" s="609" t="s">
        <v>4433</v>
      </c>
      <c r="AA5245" s="609"/>
    </row>
    <row r="5246" spans="1:27" ht="18">
      <c r="A5246" s="2714"/>
      <c r="B5246" s="371">
        <v>136</v>
      </c>
      <c r="C5246" s="371" t="s">
        <v>2791</v>
      </c>
      <c r="D5246" s="2716">
        <f t="shared" si="562"/>
        <v>0</v>
      </c>
      <c r="E5246" s="2721">
        <v>1</v>
      </c>
      <c r="F5246" s="294"/>
      <c r="G5246" s="1504" t="s">
        <v>2792</v>
      </c>
      <c r="H5246" s="309"/>
      <c r="I5246" s="360"/>
      <c r="J5246" s="346"/>
      <c r="M5246" s="291"/>
      <c r="N5246" s="291"/>
      <c r="O5246" s="291"/>
      <c r="P5246" s="291"/>
      <c r="S5246" s="364"/>
      <c r="Z5246" s="609" t="s">
        <v>4433</v>
      </c>
      <c r="AA5246" s="609"/>
    </row>
    <row r="5247" spans="1:27" ht="18">
      <c r="A5247" s="2714"/>
      <c r="B5247" s="371">
        <v>137</v>
      </c>
      <c r="C5247" s="371"/>
      <c r="D5247" s="2716">
        <f t="shared" si="562"/>
        <v>1</v>
      </c>
      <c r="E5247" s="2721" t="s">
        <v>41</v>
      </c>
      <c r="F5247" s="294"/>
      <c r="G5247" s="308" t="s">
        <v>5257</v>
      </c>
      <c r="H5247" s="309"/>
      <c r="I5247" s="360"/>
      <c r="J5247" s="346"/>
      <c r="K5247" s="1587" t="s">
        <v>1584</v>
      </c>
      <c r="M5247" s="291"/>
      <c r="N5247" s="291"/>
      <c r="O5247" s="291"/>
      <c r="P5247" s="291"/>
      <c r="S5247" s="364"/>
      <c r="Z5247" s="609" t="s">
        <v>4433</v>
      </c>
      <c r="AA5247" s="609"/>
    </row>
    <row r="5248" spans="1:27" ht="18">
      <c r="A5248" s="2714"/>
      <c r="B5248" s="371">
        <v>138</v>
      </c>
      <c r="C5248" s="371" t="s">
        <v>2791</v>
      </c>
      <c r="D5248" s="2716">
        <f t="shared" si="562"/>
        <v>1</v>
      </c>
      <c r="E5248" s="2721">
        <v>1</v>
      </c>
      <c r="F5248" s="294"/>
      <c r="G5248" s="1497" t="str">
        <f>"其中："&amp;G5247&amp;"（美元）"</f>
        <v>其中：其他应付款（美元）</v>
      </c>
      <c r="H5248" s="309"/>
      <c r="I5248" s="360"/>
      <c r="J5248" s="346"/>
      <c r="M5248" s="291"/>
      <c r="N5248" s="291"/>
      <c r="O5248" s="291"/>
      <c r="P5248" s="291"/>
      <c r="S5248" s="364"/>
      <c r="Z5248" s="609" t="s">
        <v>4433</v>
      </c>
      <c r="AA5248" s="609"/>
    </row>
    <row r="5249" spans="1:27" ht="18">
      <c r="A5249" s="2714"/>
      <c r="B5249" s="371">
        <v>139</v>
      </c>
      <c r="C5249" s="371" t="s">
        <v>2791</v>
      </c>
      <c r="D5249" s="2716">
        <f t="shared" si="562"/>
        <v>1</v>
      </c>
      <c r="E5249" s="2721">
        <v>1</v>
      </c>
      <c r="F5249" s="294"/>
      <c r="G5249" s="1497" t="str">
        <f>G5247&amp;"（欧元）"</f>
        <v>其他应付款（欧元）</v>
      </c>
      <c r="H5249" s="309"/>
      <c r="I5249" s="360"/>
      <c r="J5249" s="346"/>
      <c r="M5249" s="291"/>
      <c r="N5249" s="291"/>
      <c r="O5249" s="291"/>
      <c r="P5249" s="291"/>
      <c r="S5249" s="364"/>
      <c r="Z5249" s="609" t="s">
        <v>4433</v>
      </c>
      <c r="AA5249" s="609"/>
    </row>
    <row r="5250" spans="1:27" ht="18">
      <c r="A5250" s="2714"/>
      <c r="B5250" s="371">
        <v>140</v>
      </c>
      <c r="C5250" s="371" t="s">
        <v>2791</v>
      </c>
      <c r="D5250" s="2716">
        <f t="shared" si="562"/>
        <v>1</v>
      </c>
      <c r="E5250" s="2721">
        <v>1</v>
      </c>
      <c r="F5250" s="294"/>
      <c r="G5250" s="1497" t="str">
        <f>G5247&amp;"（港币）"</f>
        <v>其他应付款（港币）</v>
      </c>
      <c r="H5250" s="309"/>
      <c r="I5250" s="360"/>
      <c r="J5250" s="346"/>
      <c r="M5250" s="291"/>
      <c r="N5250" s="291"/>
      <c r="O5250" s="291"/>
      <c r="P5250" s="291"/>
      <c r="S5250" s="364"/>
      <c r="Z5250" s="609" t="s">
        <v>4433</v>
      </c>
      <c r="AA5250" s="609"/>
    </row>
    <row r="5251" spans="1:27" ht="18">
      <c r="A5251" s="2714"/>
      <c r="B5251" s="371">
        <v>141</v>
      </c>
      <c r="C5251" s="371" t="s">
        <v>2791</v>
      </c>
      <c r="D5251" s="2716">
        <f t="shared" si="562"/>
        <v>0</v>
      </c>
      <c r="E5251" s="2721">
        <v>1</v>
      </c>
      <c r="F5251" s="294"/>
      <c r="G5251" s="1504" t="s">
        <v>2792</v>
      </c>
      <c r="H5251" s="309"/>
      <c r="I5251" s="360"/>
      <c r="J5251" s="346"/>
      <c r="M5251" s="291"/>
      <c r="N5251" s="291"/>
      <c r="O5251" s="291"/>
      <c r="P5251" s="291"/>
      <c r="S5251" s="364"/>
      <c r="Z5251" s="609" t="s">
        <v>4433</v>
      </c>
      <c r="AA5251" s="609"/>
    </row>
    <row r="5252" spans="1:27" ht="18">
      <c r="A5252" s="2714"/>
      <c r="B5252" s="371">
        <v>142</v>
      </c>
      <c r="C5252" s="371"/>
      <c r="D5252" s="2716">
        <f t="shared" si="562"/>
        <v>1</v>
      </c>
      <c r="E5252" s="2721" t="s">
        <v>41</v>
      </c>
      <c r="F5252" s="294"/>
      <c r="G5252" s="308" t="s">
        <v>5258</v>
      </c>
      <c r="H5252" s="309"/>
      <c r="I5252" s="360"/>
      <c r="J5252" s="346"/>
      <c r="K5252" s="1587" t="s">
        <v>1385</v>
      </c>
      <c r="M5252" s="291"/>
      <c r="N5252" s="291"/>
      <c r="O5252" s="291"/>
      <c r="P5252" s="291"/>
      <c r="S5252" s="364"/>
      <c r="Z5252" s="609" t="s">
        <v>4433</v>
      </c>
      <c r="AA5252" s="609"/>
    </row>
    <row r="5253" spans="1:27" ht="18">
      <c r="A5253" s="2714"/>
      <c r="B5253" s="371">
        <v>143</v>
      </c>
      <c r="C5253" s="371" t="s">
        <v>2791</v>
      </c>
      <c r="D5253" s="2716">
        <f t="shared" si="562"/>
        <v>1</v>
      </c>
      <c r="E5253" s="2721">
        <v>1</v>
      </c>
      <c r="F5253" s="294"/>
      <c r="G5253" s="1497" t="str">
        <f>"其中："&amp;G5252&amp;"（美元）"</f>
        <v>其中：短期借款（美元）</v>
      </c>
      <c r="H5253" s="309"/>
      <c r="I5253" s="360"/>
      <c r="J5253" s="346"/>
      <c r="M5253" s="291"/>
      <c r="N5253" s="291"/>
      <c r="O5253" s="291"/>
      <c r="P5253" s="291"/>
      <c r="S5253" s="364"/>
      <c r="Z5253" s="609" t="s">
        <v>4433</v>
      </c>
      <c r="AA5253" s="609"/>
    </row>
    <row r="5254" spans="1:27" ht="18">
      <c r="A5254" s="2714"/>
      <c r="B5254" s="371">
        <v>144</v>
      </c>
      <c r="C5254" s="371" t="s">
        <v>2791</v>
      </c>
      <c r="D5254" s="2716">
        <f t="shared" si="562"/>
        <v>1</v>
      </c>
      <c r="E5254" s="2721">
        <v>1</v>
      </c>
      <c r="F5254" s="294"/>
      <c r="G5254" s="1497" t="str">
        <f>G5252&amp;"（欧元）"</f>
        <v>短期借款（欧元）</v>
      </c>
      <c r="H5254" s="309"/>
      <c r="I5254" s="360"/>
      <c r="J5254" s="346"/>
      <c r="M5254" s="291"/>
      <c r="N5254" s="291"/>
      <c r="O5254" s="291"/>
      <c r="P5254" s="291"/>
      <c r="S5254" s="364"/>
      <c r="Z5254" s="609" t="s">
        <v>4433</v>
      </c>
      <c r="AA5254" s="609"/>
    </row>
    <row r="5255" spans="1:27" ht="18">
      <c r="A5255" s="2714"/>
      <c r="B5255" s="371">
        <v>145</v>
      </c>
      <c r="C5255" s="371" t="s">
        <v>2791</v>
      </c>
      <c r="D5255" s="2716">
        <f t="shared" si="562"/>
        <v>1</v>
      </c>
      <c r="E5255" s="2721">
        <v>1</v>
      </c>
      <c r="F5255" s="294"/>
      <c r="G5255" s="1497" t="str">
        <f>G5252&amp;"（港币）"</f>
        <v>短期借款（港币）</v>
      </c>
      <c r="H5255" s="309"/>
      <c r="I5255" s="360"/>
      <c r="J5255" s="346"/>
      <c r="M5255" s="291"/>
      <c r="N5255" s="291"/>
      <c r="O5255" s="291"/>
      <c r="P5255" s="291"/>
      <c r="S5255" s="364"/>
      <c r="Z5255" s="609" t="s">
        <v>4433</v>
      </c>
      <c r="AA5255" s="609"/>
    </row>
    <row r="5256" spans="1:27" ht="18">
      <c r="A5256" s="2714"/>
      <c r="B5256" s="371">
        <v>146</v>
      </c>
      <c r="C5256" s="371" t="s">
        <v>6532</v>
      </c>
      <c r="D5256" s="2716">
        <f t="shared" si="562"/>
        <v>0</v>
      </c>
      <c r="E5256" s="2721">
        <v>1</v>
      </c>
      <c r="F5256" s="294"/>
      <c r="G5256" s="1504" t="s">
        <v>2792</v>
      </c>
      <c r="H5256" s="309"/>
      <c r="I5256" s="360"/>
      <c r="J5256" s="346"/>
      <c r="M5256" s="291"/>
      <c r="N5256" s="291"/>
      <c r="O5256" s="291"/>
      <c r="P5256" s="291"/>
      <c r="S5256" s="364"/>
      <c r="Z5256" s="609" t="s">
        <v>4433</v>
      </c>
      <c r="AA5256" s="609"/>
    </row>
    <row r="5257" spans="1:27" ht="18">
      <c r="A5257" s="2714"/>
      <c r="B5257" s="371">
        <v>147</v>
      </c>
      <c r="C5257" s="371"/>
      <c r="D5257" s="2716">
        <f t="shared" si="562"/>
        <v>1</v>
      </c>
      <c r="E5257" s="2721" t="s">
        <v>41</v>
      </c>
      <c r="F5257" s="294"/>
      <c r="G5257" s="308" t="s">
        <v>5259</v>
      </c>
      <c r="H5257" s="309"/>
      <c r="I5257" s="360"/>
      <c r="J5257" s="346"/>
      <c r="K5257" s="1587" t="s">
        <v>5589</v>
      </c>
      <c r="M5257" s="291"/>
      <c r="N5257" s="291"/>
      <c r="O5257" s="291"/>
      <c r="P5257" s="291"/>
      <c r="S5257" s="364"/>
      <c r="Z5257" s="609" t="s">
        <v>4433</v>
      </c>
      <c r="AA5257" s="609"/>
    </row>
    <row r="5258" spans="1:27" ht="18">
      <c r="A5258" s="2714"/>
      <c r="B5258" s="371">
        <v>148</v>
      </c>
      <c r="C5258" s="371" t="s">
        <v>2791</v>
      </c>
      <c r="D5258" s="2716">
        <f t="shared" si="562"/>
        <v>1</v>
      </c>
      <c r="E5258" s="2721">
        <v>1</v>
      </c>
      <c r="F5258" s="294"/>
      <c r="G5258" s="1497" t="str">
        <f>"其中："&amp;G5257&amp;"（美元）"</f>
        <v>其中：应付债券（美元）</v>
      </c>
      <c r="H5258" s="309"/>
      <c r="I5258" s="360"/>
      <c r="J5258" s="346"/>
      <c r="M5258" s="291"/>
      <c r="N5258" s="291"/>
      <c r="O5258" s="291"/>
      <c r="P5258" s="291"/>
      <c r="S5258" s="364"/>
      <c r="Z5258" s="609" t="s">
        <v>4433</v>
      </c>
      <c r="AA5258" s="609"/>
    </row>
    <row r="5259" spans="1:27" ht="18">
      <c r="A5259" s="2714"/>
      <c r="B5259" s="371">
        <v>149</v>
      </c>
      <c r="C5259" s="371" t="s">
        <v>2791</v>
      </c>
      <c r="D5259" s="2716">
        <f t="shared" si="562"/>
        <v>1</v>
      </c>
      <c r="E5259" s="2721">
        <v>1</v>
      </c>
      <c r="F5259" s="294"/>
      <c r="G5259" s="1497" t="str">
        <f>G5257&amp;"（欧元）"</f>
        <v>应付债券（欧元）</v>
      </c>
      <c r="H5259" s="309"/>
      <c r="I5259" s="360"/>
      <c r="J5259" s="346"/>
      <c r="M5259" s="291"/>
      <c r="N5259" s="291"/>
      <c r="O5259" s="291"/>
      <c r="P5259" s="291"/>
      <c r="S5259" s="364"/>
      <c r="Z5259" s="609" t="s">
        <v>4433</v>
      </c>
      <c r="AA5259" s="609"/>
    </row>
    <row r="5260" spans="1:27" ht="18">
      <c r="A5260" s="2714"/>
      <c r="B5260" s="371">
        <v>150</v>
      </c>
      <c r="C5260" s="371" t="s">
        <v>2791</v>
      </c>
      <c r="D5260" s="2716">
        <f t="shared" si="562"/>
        <v>1</v>
      </c>
      <c r="E5260" s="2721">
        <v>1</v>
      </c>
      <c r="F5260" s="294"/>
      <c r="G5260" s="1497" t="str">
        <f>G5257&amp;"（港币）"</f>
        <v>应付债券（港币）</v>
      </c>
      <c r="H5260" s="309"/>
      <c r="I5260" s="360"/>
      <c r="J5260" s="346"/>
      <c r="M5260" s="291"/>
      <c r="N5260" s="291"/>
      <c r="O5260" s="291"/>
      <c r="P5260" s="291"/>
      <c r="S5260" s="364"/>
      <c r="Z5260" s="609" t="s">
        <v>4433</v>
      </c>
      <c r="AA5260" s="609"/>
    </row>
    <row r="5261" spans="1:27" ht="18">
      <c r="A5261" s="2714"/>
      <c r="B5261" s="371">
        <v>151</v>
      </c>
      <c r="C5261" s="371" t="s">
        <v>2791</v>
      </c>
      <c r="D5261" s="2716">
        <f t="shared" si="562"/>
        <v>0</v>
      </c>
      <c r="E5261" s="2721">
        <v>1</v>
      </c>
      <c r="F5261" s="294"/>
      <c r="G5261" s="1504" t="s">
        <v>2792</v>
      </c>
      <c r="H5261" s="309"/>
      <c r="I5261" s="360"/>
      <c r="J5261" s="346"/>
      <c r="M5261" s="291"/>
      <c r="N5261" s="291"/>
      <c r="O5261" s="291"/>
      <c r="P5261" s="291"/>
      <c r="S5261" s="364"/>
      <c r="Z5261" s="609" t="s">
        <v>4433</v>
      </c>
      <c r="AA5261" s="609"/>
    </row>
    <row r="5262" spans="1:27" ht="18">
      <c r="A5262" s="2714"/>
      <c r="B5262" s="371">
        <v>152</v>
      </c>
      <c r="C5262" s="371"/>
      <c r="D5262" s="2716">
        <f t="shared" si="562"/>
        <v>1</v>
      </c>
      <c r="E5262" s="2721" t="s">
        <v>41</v>
      </c>
      <c r="F5262" s="294"/>
      <c r="G5262" s="1505" t="s">
        <v>546</v>
      </c>
      <c r="H5262" s="309"/>
      <c r="I5262" s="360"/>
      <c r="J5262" s="346"/>
      <c r="K5262" s="1587" t="s">
        <v>1657</v>
      </c>
      <c r="M5262" s="291"/>
      <c r="N5262" s="291"/>
      <c r="O5262" s="291"/>
      <c r="P5262" s="291"/>
      <c r="S5262" s="364"/>
      <c r="Z5262" s="609" t="s">
        <v>4433</v>
      </c>
      <c r="AA5262" s="609"/>
    </row>
    <row r="5263" spans="1:27" ht="18">
      <c r="A5263" s="2714"/>
      <c r="B5263" s="371">
        <v>153</v>
      </c>
      <c r="C5263" s="371" t="s">
        <v>2791</v>
      </c>
      <c r="D5263" s="2716">
        <f t="shared" si="562"/>
        <v>1</v>
      </c>
      <c r="E5263" s="2721">
        <v>1</v>
      </c>
      <c r="F5263" s="294"/>
      <c r="G5263" s="1497" t="str">
        <f>"其中："&amp;G5262&amp;"（美元）"</f>
        <v>其中：长期借款（美元）</v>
      </c>
      <c r="H5263" s="309"/>
      <c r="I5263" s="360"/>
      <c r="J5263" s="346"/>
      <c r="M5263" s="291"/>
      <c r="N5263" s="291"/>
      <c r="O5263" s="291"/>
      <c r="P5263" s="291"/>
      <c r="S5263" s="364"/>
      <c r="Z5263" s="609" t="s">
        <v>4433</v>
      </c>
      <c r="AA5263" s="609"/>
    </row>
    <row r="5264" spans="1:27" ht="18">
      <c r="A5264" s="2714"/>
      <c r="B5264" s="371">
        <v>154</v>
      </c>
      <c r="C5264" s="371" t="s">
        <v>2791</v>
      </c>
      <c r="D5264" s="2716">
        <f t="shared" si="562"/>
        <v>1</v>
      </c>
      <c r="E5264" s="2721">
        <v>1</v>
      </c>
      <c r="F5264" s="294"/>
      <c r="G5264" s="1497" t="str">
        <f>G5262&amp;"（欧元）"</f>
        <v>长期借款（欧元）</v>
      </c>
      <c r="H5264" s="309"/>
      <c r="I5264" s="360"/>
      <c r="J5264" s="346"/>
      <c r="M5264" s="291"/>
      <c r="N5264" s="291"/>
      <c r="O5264" s="291"/>
      <c r="P5264" s="291"/>
      <c r="S5264" s="364"/>
      <c r="Z5264" s="609" t="s">
        <v>4433</v>
      </c>
      <c r="AA5264" s="609"/>
    </row>
    <row r="5265" spans="1:27" ht="18">
      <c r="A5265" s="2714"/>
      <c r="B5265" s="371">
        <v>155</v>
      </c>
      <c r="C5265" s="371" t="s">
        <v>2791</v>
      </c>
      <c r="D5265" s="2716">
        <f t="shared" si="562"/>
        <v>1</v>
      </c>
      <c r="E5265" s="2721">
        <v>1</v>
      </c>
      <c r="F5265" s="294"/>
      <c r="G5265" s="1497" t="str">
        <f>G5262&amp;"（港币）"</f>
        <v>长期借款（港币）</v>
      </c>
      <c r="H5265" s="309"/>
      <c r="I5265" s="360"/>
      <c r="J5265" s="346"/>
      <c r="M5265" s="291"/>
      <c r="N5265" s="291"/>
      <c r="O5265" s="291"/>
      <c r="P5265" s="291"/>
      <c r="S5265" s="364"/>
      <c r="Z5265" s="609" t="s">
        <v>4433</v>
      </c>
      <c r="AA5265" s="609"/>
    </row>
    <row r="5266" spans="1:27" ht="18">
      <c r="A5266" s="2714"/>
      <c r="B5266" s="371">
        <v>156</v>
      </c>
      <c r="C5266" s="371" t="s">
        <v>2791</v>
      </c>
      <c r="D5266" s="2716">
        <f t="shared" si="562"/>
        <v>0</v>
      </c>
      <c r="E5266" s="2721">
        <v>1</v>
      </c>
      <c r="F5266" s="294"/>
      <c r="G5266" s="1504" t="s">
        <v>2792</v>
      </c>
      <c r="H5266" s="309"/>
      <c r="I5266" s="360"/>
      <c r="J5266" s="346"/>
      <c r="M5266" s="291"/>
      <c r="N5266" s="291"/>
      <c r="O5266" s="291"/>
      <c r="P5266" s="291"/>
      <c r="S5266" s="364"/>
      <c r="Z5266" s="609" t="s">
        <v>4433</v>
      </c>
      <c r="AA5266" s="609"/>
    </row>
    <row r="5267" spans="1:27" ht="18">
      <c r="A5267" s="2714"/>
      <c r="B5267" s="371">
        <v>157</v>
      </c>
      <c r="C5267" s="371"/>
      <c r="D5267" s="2716">
        <f t="shared" si="562"/>
        <v>1</v>
      </c>
      <c r="E5267" s="2721" t="s">
        <v>41</v>
      </c>
      <c r="F5267" s="294"/>
      <c r="G5267" s="308" t="s">
        <v>5260</v>
      </c>
      <c r="H5267" s="309"/>
      <c r="I5267" s="360"/>
      <c r="J5267" s="346"/>
      <c r="K5267" s="1587" t="s">
        <v>1692</v>
      </c>
      <c r="M5267" s="291"/>
      <c r="N5267" s="291"/>
      <c r="O5267" s="291"/>
      <c r="P5267" s="291"/>
      <c r="S5267" s="364"/>
      <c r="Z5267" s="609" t="s">
        <v>4433</v>
      </c>
      <c r="AA5267" s="609"/>
    </row>
    <row r="5268" spans="1:27" ht="18">
      <c r="A5268" s="2714"/>
      <c r="B5268" s="371">
        <v>158</v>
      </c>
      <c r="C5268" s="371" t="s">
        <v>2791</v>
      </c>
      <c r="D5268" s="2716">
        <f t="shared" si="562"/>
        <v>1</v>
      </c>
      <c r="E5268" s="2721">
        <v>1</v>
      </c>
      <c r="F5268" s="294"/>
      <c r="G5268" s="1497" t="str">
        <f>"其中："&amp;G5267&amp;"（美元）"</f>
        <v>其中：长期应付款（美元）</v>
      </c>
      <c r="H5268" s="309"/>
      <c r="I5268" s="360"/>
      <c r="J5268" s="346"/>
      <c r="M5268" s="291"/>
      <c r="N5268" s="291"/>
      <c r="O5268" s="291"/>
      <c r="P5268" s="291"/>
      <c r="S5268" s="364"/>
      <c r="Z5268" s="609" t="s">
        <v>4433</v>
      </c>
      <c r="AA5268" s="609"/>
    </row>
    <row r="5269" spans="1:27" ht="18">
      <c r="A5269" s="2714"/>
      <c r="B5269" s="371">
        <v>159</v>
      </c>
      <c r="C5269" s="371" t="s">
        <v>2791</v>
      </c>
      <c r="D5269" s="2716">
        <f t="shared" si="562"/>
        <v>1</v>
      </c>
      <c r="E5269" s="2721">
        <v>1</v>
      </c>
      <c r="F5269" s="294"/>
      <c r="G5269" s="1497" t="str">
        <f>G5267&amp;"（欧元）"</f>
        <v>长期应付款（欧元）</v>
      </c>
      <c r="H5269" s="309"/>
      <c r="I5269" s="360"/>
      <c r="J5269" s="346"/>
      <c r="M5269" s="291"/>
      <c r="N5269" s="291"/>
      <c r="O5269" s="291"/>
      <c r="P5269" s="291"/>
      <c r="S5269" s="364"/>
      <c r="Z5269" s="609" t="s">
        <v>4433</v>
      </c>
      <c r="AA5269" s="609"/>
    </row>
    <row r="5270" spans="1:27" ht="18">
      <c r="A5270" s="2714"/>
      <c r="B5270" s="371">
        <v>160</v>
      </c>
      <c r="C5270" s="371" t="s">
        <v>2791</v>
      </c>
      <c r="D5270" s="2716">
        <f t="shared" si="562"/>
        <v>1</v>
      </c>
      <c r="E5270" s="2721">
        <v>1</v>
      </c>
      <c r="F5270" s="294"/>
      <c r="G5270" s="1497" t="str">
        <f>G5267&amp;"（港币）"</f>
        <v>长期应付款（港币）</v>
      </c>
      <c r="H5270" s="309"/>
      <c r="I5270" s="360"/>
      <c r="J5270" s="346"/>
      <c r="M5270" s="291"/>
      <c r="N5270" s="291"/>
      <c r="O5270" s="291"/>
      <c r="P5270" s="291"/>
      <c r="S5270" s="364"/>
      <c r="Z5270" s="609" t="s">
        <v>4433</v>
      </c>
      <c r="AA5270" s="609"/>
    </row>
    <row r="5271" spans="1:27" ht="18">
      <c r="A5271" s="2714"/>
      <c r="B5271" s="371">
        <v>161</v>
      </c>
      <c r="C5271" s="371" t="s">
        <v>2791</v>
      </c>
      <c r="D5271" s="2716">
        <f t="shared" si="562"/>
        <v>0</v>
      </c>
      <c r="E5271" s="2721">
        <v>1</v>
      </c>
      <c r="F5271" s="294"/>
      <c r="G5271" s="1504" t="s">
        <v>2792</v>
      </c>
      <c r="H5271" s="309"/>
      <c r="I5271" s="360"/>
      <c r="J5271" s="346"/>
      <c r="M5271" s="291"/>
      <c r="N5271" s="291"/>
      <c r="O5271" s="291"/>
      <c r="P5271" s="291"/>
      <c r="S5271" s="364"/>
      <c r="Z5271" s="609" t="s">
        <v>4433</v>
      </c>
      <c r="AA5271" s="609"/>
    </row>
    <row r="5272" spans="1:27" ht="18">
      <c r="A5272" s="2714"/>
      <c r="B5272" s="371">
        <v>162</v>
      </c>
      <c r="C5272" s="371" t="s">
        <v>6532</v>
      </c>
      <c r="D5272" s="2716">
        <f t="shared" si="562"/>
        <v>0</v>
      </c>
      <c r="E5272" s="2721">
        <v>1</v>
      </c>
      <c r="F5272" s="294"/>
      <c r="G5272" s="1497" t="s">
        <v>2792</v>
      </c>
      <c r="H5272" s="309"/>
      <c r="I5272" s="360"/>
      <c r="J5272" s="346"/>
      <c r="M5272" s="291"/>
      <c r="N5272" s="291"/>
      <c r="O5272" s="291"/>
      <c r="P5272" s="291"/>
      <c r="S5272" s="364"/>
      <c r="Z5272" s="609" t="s">
        <v>4433</v>
      </c>
      <c r="AA5272" s="609"/>
    </row>
    <row r="5273" spans="1:27" ht="18.75" thickBot="1">
      <c r="A5273" s="2714"/>
      <c r="B5273" s="371"/>
      <c r="C5273" s="371"/>
      <c r="D5273" s="2716">
        <f t="shared" si="562"/>
        <v>0</v>
      </c>
      <c r="E5273" s="2721" t="s">
        <v>6567</v>
      </c>
      <c r="F5273" s="294"/>
      <c r="G5273" s="2429"/>
      <c r="H5273" s="2485"/>
      <c r="I5273" s="2486"/>
      <c r="J5273" s="2487"/>
      <c r="M5273" s="291"/>
      <c r="N5273" s="291"/>
      <c r="O5273" s="291"/>
      <c r="P5273" s="291"/>
      <c r="S5273" s="364"/>
      <c r="Z5273" s="609" t="s">
        <v>4433</v>
      </c>
      <c r="AA5273" s="609"/>
    </row>
    <row r="5274" spans="1:27" ht="18">
      <c r="A5274" s="2714"/>
      <c r="B5274" s="371"/>
      <c r="C5274" s="371" t="s">
        <v>2755</v>
      </c>
      <c r="D5274" s="371"/>
      <c r="F5274" s="294"/>
      <c r="G5274" s="301"/>
      <c r="H5274" s="315"/>
      <c r="I5274" s="393"/>
      <c r="J5274" s="315"/>
      <c r="K5274" s="349"/>
      <c r="L5274" s="350"/>
      <c r="M5274" s="291"/>
      <c r="N5274" s="291"/>
      <c r="O5274" s="291"/>
      <c r="P5274" s="291"/>
      <c r="S5274" s="364"/>
      <c r="Z5274" s="609" t="s">
        <v>4433</v>
      </c>
      <c r="AA5274" s="609"/>
    </row>
    <row r="5275" spans="1:27" ht="17.25">
      <c r="A5275" s="2715">
        <v>9371</v>
      </c>
      <c r="B5275" s="371">
        <v>84</v>
      </c>
      <c r="C5275" s="2716" t="str">
        <f>VLOOKUP($A5275,Sheet_Items,2,0)</f>
        <v>政府补助</v>
      </c>
      <c r="D5275" s="371"/>
      <c r="E5275" s="2716" t="s">
        <v>2739</v>
      </c>
      <c r="F5275" s="371"/>
      <c r="G5275" s="305" t="str">
        <f>B5275&amp;" "&amp;C5275</f>
        <v>84 政府补助</v>
      </c>
      <c r="H5275" s="306"/>
      <c r="I5275" s="306"/>
      <c r="J5275" s="306"/>
      <c r="K5275" s="341"/>
      <c r="L5275" s="342"/>
      <c r="M5275" s="306"/>
      <c r="N5275" s="341"/>
      <c r="O5275" s="342"/>
      <c r="P5275" s="301"/>
      <c r="S5275" s="364"/>
      <c r="Z5275" s="609" t="s">
        <v>2158</v>
      </c>
      <c r="AA5275" s="609" t="s">
        <v>19</v>
      </c>
    </row>
    <row r="5276" spans="1:27" ht="18">
      <c r="A5276" s="2714" t="s">
        <v>2156</v>
      </c>
      <c r="B5276" s="371">
        <v>1</v>
      </c>
      <c r="C5276" s="371"/>
      <c r="D5276" s="2716" t="str">
        <f>VLOOKUP($A5276,Sheet_NoteList,2,0)</f>
        <v>与资产相关的政府补助</v>
      </c>
      <c r="E5276" s="2716" t="s">
        <v>2742</v>
      </c>
      <c r="F5276" s="293"/>
      <c r="G5276" s="372" t="str">
        <f>"("&amp;B5276&amp;")"&amp;D5276</f>
        <v>(1)与资产相关的政府补助</v>
      </c>
      <c r="H5276" s="1517" t="str">
        <f>$A5276</f>
        <v>9371h</v>
      </c>
      <c r="I5276" s="343" t="s">
        <v>2743</v>
      </c>
      <c r="J5276" s="301" t="s">
        <v>2744</v>
      </c>
      <c r="K5276" s="2210">
        <f>J5289</f>
        <v>0</v>
      </c>
      <c r="L5276" s="349"/>
      <c r="M5276" s="301" t="s">
        <v>2745</v>
      </c>
      <c r="N5276" s="2210">
        <f>K5289</f>
        <v>0</v>
      </c>
      <c r="O5276" s="349"/>
      <c r="P5276" s="301"/>
      <c r="S5276" s="364"/>
      <c r="Z5276" s="609" t="s">
        <v>2158</v>
      </c>
      <c r="AA5276" s="609" t="s">
        <v>19</v>
      </c>
    </row>
    <row r="5277" spans="1:27" ht="0.75" customHeight="1">
      <c r="A5277" s="2714"/>
      <c r="B5277" s="371"/>
      <c r="C5277" s="371"/>
      <c r="D5277" s="2716"/>
      <c r="F5277" s="371"/>
      <c r="G5277" s="405" t="s">
        <v>4648</v>
      </c>
      <c r="H5277" s="371" t="s">
        <v>2747</v>
      </c>
      <c r="I5277" s="371" t="s">
        <v>2821</v>
      </c>
      <c r="J5277" s="371" t="s">
        <v>2948</v>
      </c>
      <c r="K5277" s="371" t="s">
        <v>3359</v>
      </c>
      <c r="L5277" s="547" t="s">
        <v>4649</v>
      </c>
      <c r="M5277" s="433"/>
      <c r="N5277" s="428"/>
      <c r="O5277" s="428"/>
      <c r="P5277" s="433"/>
      <c r="Q5277" s="442"/>
      <c r="R5277" s="443"/>
      <c r="S5277" s="364"/>
      <c r="Z5277" s="609" t="s">
        <v>2158</v>
      </c>
      <c r="AA5277" s="609" t="s">
        <v>19</v>
      </c>
    </row>
    <row r="5278" spans="1:27" ht="0.75" customHeight="1" thickBot="1">
      <c r="A5278" s="2714"/>
      <c r="B5278" s="371"/>
      <c r="C5278" s="371"/>
      <c r="D5278" s="2716"/>
      <c r="F5278" s="371"/>
      <c r="G5278" s="405"/>
      <c r="H5278" s="371" t="s">
        <v>4650</v>
      </c>
      <c r="I5278" s="371" t="s">
        <v>4651</v>
      </c>
      <c r="J5278" s="371" t="s">
        <v>4652</v>
      </c>
      <c r="K5278" s="547" t="s">
        <v>4653</v>
      </c>
      <c r="L5278" s="547" t="s">
        <v>4654</v>
      </c>
      <c r="M5278" s="433"/>
      <c r="N5278" s="428"/>
      <c r="O5278" s="428"/>
      <c r="P5278" s="433"/>
      <c r="Q5278" s="442"/>
      <c r="R5278" s="443"/>
      <c r="S5278" s="364"/>
      <c r="Z5278" s="609" t="s">
        <v>2158</v>
      </c>
      <c r="AA5278" s="609" t="s">
        <v>19</v>
      </c>
    </row>
    <row r="5279" spans="1:27" ht="25.5" customHeight="1">
      <c r="A5279" s="2714"/>
      <c r="B5279" s="371"/>
      <c r="C5279" s="371"/>
      <c r="D5279" s="2716"/>
      <c r="E5279" s="2716" t="s">
        <v>2749</v>
      </c>
      <c r="F5279" s="293"/>
      <c r="G5279" s="3320" t="s">
        <v>5494</v>
      </c>
      <c r="H5279" s="3254" t="s">
        <v>2887</v>
      </c>
      <c r="I5279" s="3254" t="s">
        <v>4655</v>
      </c>
      <c r="J5279" s="3254" t="s">
        <v>4656</v>
      </c>
      <c r="K5279" s="3254"/>
      <c r="L5279" s="3297" t="s">
        <v>4657</v>
      </c>
      <c r="M5279" s="2672" t="s">
        <v>5347</v>
      </c>
      <c r="N5279" s="428"/>
      <c r="O5279" s="428"/>
      <c r="P5279" s="433"/>
      <c r="Q5279" s="442"/>
      <c r="R5279" s="443"/>
      <c r="S5279" s="364"/>
      <c r="Z5279" s="609" t="s">
        <v>2158</v>
      </c>
      <c r="AA5279" s="609" t="s">
        <v>19</v>
      </c>
    </row>
    <row r="5280" spans="1:27" ht="28.5" customHeight="1">
      <c r="A5280" s="2714"/>
      <c r="B5280" s="371"/>
      <c r="C5280" s="371"/>
      <c r="D5280" s="2716"/>
      <c r="E5280" s="2716" t="s">
        <v>2749</v>
      </c>
      <c r="F5280" s="293"/>
      <c r="G5280" s="3321"/>
      <c r="H5280" s="3307"/>
      <c r="I5280" s="3307"/>
      <c r="J5280" s="408" t="str">
        <f>$V$4</f>
        <v>2019年度</v>
      </c>
      <c r="K5280" s="420" t="str">
        <f>$V$5</f>
        <v>2018年度</v>
      </c>
      <c r="L5280" s="3298"/>
      <c r="M5280" s="1511"/>
      <c r="N5280" s="434"/>
      <c r="O5280" s="434"/>
      <c r="P5280" s="1511"/>
      <c r="Q5280" s="442"/>
      <c r="R5280" s="443"/>
      <c r="S5280" s="364"/>
      <c r="Z5280" s="609" t="s">
        <v>2158</v>
      </c>
      <c r="AA5280" s="609" t="s">
        <v>19</v>
      </c>
    </row>
    <row r="5281" spans="1:27" ht="18">
      <c r="A5281" s="2714"/>
      <c r="B5281" s="371">
        <v>101</v>
      </c>
      <c r="C5281" s="371" t="s">
        <v>2791</v>
      </c>
      <c r="D5281" s="2716">
        <f t="shared" ref="D5281:D5289" si="563">IF(OR(G5281="*",G5281="",G5281=0),0,COUNTIF($G$5281:$G$5289,G5281))</f>
        <v>0</v>
      </c>
      <c r="E5281" s="2721">
        <v>1</v>
      </c>
      <c r="F5281" s="293"/>
      <c r="G5281" s="319" t="s">
        <v>2792</v>
      </c>
      <c r="H5281" s="309"/>
      <c r="I5281" s="430"/>
      <c r="J5281" s="309"/>
      <c r="K5281" s="320"/>
      <c r="L5281" s="388"/>
      <c r="M5281" s="2672" t="s">
        <v>6365</v>
      </c>
      <c r="N5281" s="2674" t="s">
        <v>6364</v>
      </c>
      <c r="O5281" s="437"/>
      <c r="P5281" s="438"/>
      <c r="Q5281" s="442"/>
      <c r="R5281" s="443"/>
      <c r="S5281" s="364"/>
      <c r="Z5281" s="609" t="s">
        <v>2158</v>
      </c>
      <c r="AA5281" s="609" t="s">
        <v>19</v>
      </c>
    </row>
    <row r="5282" spans="1:27" ht="18">
      <c r="A5282" s="2714"/>
      <c r="B5282" s="371">
        <v>102</v>
      </c>
      <c r="C5282" s="371" t="s">
        <v>2791</v>
      </c>
      <c r="D5282" s="2716">
        <f t="shared" si="563"/>
        <v>0</v>
      </c>
      <c r="E5282" s="2721">
        <v>1</v>
      </c>
      <c r="F5282" s="293"/>
      <c r="G5282" s="319" t="s">
        <v>2792</v>
      </c>
      <c r="H5282" s="309"/>
      <c r="I5282" s="430"/>
      <c r="J5282" s="309"/>
      <c r="K5282" s="320"/>
      <c r="L5282" s="388"/>
      <c r="M5282" s="438"/>
      <c r="N5282" s="2674" t="s">
        <v>1935</v>
      </c>
      <c r="O5282" s="437"/>
      <c r="P5282" s="438"/>
      <c r="Q5282" s="442"/>
      <c r="R5282" s="443"/>
      <c r="S5282" s="364"/>
      <c r="Z5282" s="609" t="s">
        <v>2158</v>
      </c>
      <c r="AA5282" s="609" t="s">
        <v>19</v>
      </c>
    </row>
    <row r="5283" spans="1:27" ht="18">
      <c r="A5283" s="2714"/>
      <c r="B5283" s="371">
        <v>103</v>
      </c>
      <c r="C5283" s="371" t="s">
        <v>2791</v>
      </c>
      <c r="D5283" s="2716">
        <f t="shared" si="563"/>
        <v>0</v>
      </c>
      <c r="E5283" s="2721">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4"/>
      <c r="B5284" s="371">
        <v>104</v>
      </c>
      <c r="C5284" s="371" t="s">
        <v>2791</v>
      </c>
      <c r="D5284" s="2716">
        <f t="shared" si="563"/>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4"/>
      <c r="B5285" s="371">
        <v>105</v>
      </c>
      <c r="C5285" s="371" t="s">
        <v>2791</v>
      </c>
      <c r="D5285" s="2716">
        <f t="shared" si="563"/>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106</v>
      </c>
      <c r="C5286" s="371" t="s">
        <v>2791</v>
      </c>
      <c r="D5286" s="2716">
        <f t="shared" si="563"/>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107</v>
      </c>
      <c r="C5287" s="371" t="s">
        <v>2791</v>
      </c>
      <c r="D5287" s="2716">
        <f t="shared" si="563"/>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
      <c r="A5288" s="2714"/>
      <c r="B5288" s="371">
        <v>108</v>
      </c>
      <c r="C5288" s="371" t="s">
        <v>2791</v>
      </c>
      <c r="D5288" s="2716">
        <f t="shared" si="563"/>
        <v>0</v>
      </c>
      <c r="E5288" s="2721">
        <v>1</v>
      </c>
      <c r="F5288" s="293"/>
      <c r="G5288" s="319" t="s">
        <v>2792</v>
      </c>
      <c r="H5288" s="309"/>
      <c r="I5288" s="430"/>
      <c r="J5288" s="309"/>
      <c r="K5288" s="320"/>
      <c r="L5288" s="388"/>
      <c r="M5288" s="438"/>
      <c r="N5288" s="439"/>
      <c r="O5288" s="437"/>
      <c r="P5288" s="438"/>
      <c r="Q5288" s="442"/>
      <c r="R5288" s="443"/>
      <c r="S5288" s="364"/>
      <c r="Z5288" s="609" t="s">
        <v>2158</v>
      </c>
      <c r="AA5288" s="609" t="s">
        <v>19</v>
      </c>
    </row>
    <row r="5289" spans="1:27" ht="18.75" thickBot="1">
      <c r="A5289" s="2714"/>
      <c r="B5289" s="371"/>
      <c r="C5289" s="371"/>
      <c r="D5289" s="2716">
        <f t="shared" si="563"/>
        <v>1</v>
      </c>
      <c r="E5289" s="2721" t="s">
        <v>2751</v>
      </c>
      <c r="F5289" s="293"/>
      <c r="G5289" s="374" t="s">
        <v>5493</v>
      </c>
      <c r="H5289" s="375">
        <f>SUMPRODUCT($E5280:$E5288,H5280:H5288)</f>
        <v>0</v>
      </c>
      <c r="I5289" s="551">
        <f>SUMPRODUCT($E5280:$E5288,I5280:I5288)</f>
        <v>0</v>
      </c>
      <c r="J5289" s="375">
        <f>SUMPRODUCT($E5280:$E5288,J5280:J5288)</f>
        <v>0</v>
      </c>
      <c r="K5289" s="375">
        <f>SUMPRODUCT($E5280:$E5288,K5280:K5288)</f>
        <v>0</v>
      </c>
      <c r="L5289" s="550"/>
      <c r="M5289" s="440"/>
      <c r="N5289" s="439"/>
      <c r="O5289" s="437"/>
      <c r="P5289" s="440"/>
      <c r="Q5289" s="442"/>
      <c r="R5289" s="443"/>
      <c r="S5289" s="364"/>
      <c r="Z5289" s="609" t="s">
        <v>2158</v>
      </c>
      <c r="AA5289" s="609" t="s">
        <v>19</v>
      </c>
    </row>
    <row r="5290" spans="1:27" ht="18">
      <c r="A5290" s="2714"/>
      <c r="B5290" s="371"/>
      <c r="C5290" s="371" t="s">
        <v>2755</v>
      </c>
      <c r="D5290" s="2716"/>
      <c r="F5290" s="293"/>
      <c r="G5290" s="376"/>
      <c r="H5290" s="315"/>
      <c r="I5290" s="432"/>
      <c r="J5290" s="315"/>
      <c r="K5290" s="423"/>
      <c r="L5290" s="393"/>
      <c r="M5290" s="425"/>
      <c r="N5290" s="426"/>
      <c r="O5290" s="427"/>
      <c r="P5290" s="425"/>
      <c r="Q5290" s="442"/>
      <c r="R5290" s="443"/>
      <c r="S5290" s="364"/>
      <c r="Z5290" s="609" t="s">
        <v>2158</v>
      </c>
      <c r="AA5290" s="609" t="s">
        <v>19</v>
      </c>
    </row>
    <row r="5291" spans="1:27" ht="18">
      <c r="A5291" s="2714" t="s">
        <v>2176</v>
      </c>
      <c r="B5291" s="371">
        <v>2</v>
      </c>
      <c r="C5291" s="371"/>
      <c r="D5291" s="2716" t="str">
        <f>VLOOKUP($A5291,Sheet_NoteList,2,0)</f>
        <v>与收益相关的政府补助</v>
      </c>
      <c r="E5291" s="2716" t="s">
        <v>2742</v>
      </c>
      <c r="F5291" s="293"/>
      <c r="G5291" s="372" t="str">
        <f>"("&amp;B5291&amp;")"&amp;D5291</f>
        <v>(2)与收益相关的政府补助</v>
      </c>
      <c r="H5291" s="1517" t="str">
        <f>$A5291</f>
        <v>9371i</v>
      </c>
      <c r="I5291" s="343" t="s">
        <v>2743</v>
      </c>
      <c r="J5291" s="301" t="s">
        <v>2744</v>
      </c>
      <c r="K5291" s="2210">
        <f>J5304</f>
        <v>0</v>
      </c>
      <c r="L5291" s="349"/>
      <c r="M5291" s="301" t="s">
        <v>2745</v>
      </c>
      <c r="N5291" s="2210">
        <f>K5304</f>
        <v>0</v>
      </c>
      <c r="O5291" s="349"/>
      <c r="P5291" s="301"/>
      <c r="S5291" s="364"/>
      <c r="Z5291" s="609" t="s">
        <v>2158</v>
      </c>
      <c r="AA5291" s="609" t="s">
        <v>19</v>
      </c>
    </row>
    <row r="5292" spans="1:27" ht="0.75" customHeight="1">
      <c r="A5292" s="2714"/>
      <c r="B5292" s="371"/>
      <c r="C5292" s="371"/>
      <c r="D5292" s="2716"/>
      <c r="F5292" s="371"/>
      <c r="G5292" s="405" t="s">
        <v>4658</v>
      </c>
      <c r="H5292" s="371" t="s">
        <v>2747</v>
      </c>
      <c r="I5292" s="371" t="s">
        <v>2821</v>
      </c>
      <c r="J5292" s="371" t="s">
        <v>2948</v>
      </c>
      <c r="K5292" s="547" t="s">
        <v>3034</v>
      </c>
      <c r="L5292" s="547" t="s">
        <v>4649</v>
      </c>
      <c r="M5292" s="433"/>
      <c r="N5292" s="428"/>
      <c r="O5292" s="428"/>
      <c r="P5292" s="433"/>
      <c r="Q5292" s="442"/>
      <c r="R5292" s="443"/>
      <c r="S5292" s="364"/>
      <c r="Z5292" s="609" t="s">
        <v>2158</v>
      </c>
      <c r="AA5292" s="609" t="s">
        <v>19</v>
      </c>
    </row>
    <row r="5293" spans="1:27" ht="0.75" customHeight="1" thickBot="1">
      <c r="A5293" s="2714"/>
      <c r="B5293" s="371"/>
      <c r="C5293" s="371"/>
      <c r="D5293" s="2716"/>
      <c r="F5293" s="371"/>
      <c r="G5293" s="405"/>
      <c r="H5293" s="371" t="s">
        <v>4650</v>
      </c>
      <c r="I5293" s="371" t="s">
        <v>4651</v>
      </c>
      <c r="J5293" s="371" t="s">
        <v>4652</v>
      </c>
      <c r="K5293" s="547" t="s">
        <v>4653</v>
      </c>
      <c r="L5293" s="547" t="s">
        <v>4654</v>
      </c>
      <c r="M5293" s="433"/>
      <c r="N5293" s="428"/>
      <c r="O5293" s="428"/>
      <c r="P5293" s="433"/>
      <c r="Q5293" s="442"/>
      <c r="R5293" s="443"/>
      <c r="S5293" s="364"/>
      <c r="Z5293" s="609" t="s">
        <v>2158</v>
      </c>
      <c r="AA5293" s="609" t="s">
        <v>19</v>
      </c>
    </row>
    <row r="5294" spans="1:27" ht="25.5" customHeight="1">
      <c r="A5294" s="2714"/>
      <c r="B5294" s="371"/>
      <c r="C5294" s="371"/>
      <c r="D5294" s="2716"/>
      <c r="E5294" s="2716" t="s">
        <v>2749</v>
      </c>
      <c r="F5294" s="293"/>
      <c r="G5294" s="3320" t="s">
        <v>5494</v>
      </c>
      <c r="H5294" s="3254" t="s">
        <v>2887</v>
      </c>
      <c r="I5294" s="3254" t="s">
        <v>4655</v>
      </c>
      <c r="J5294" s="3254" t="s">
        <v>4656</v>
      </c>
      <c r="K5294" s="3254"/>
      <c r="L5294" s="3297" t="s">
        <v>4657</v>
      </c>
      <c r="M5294" s="355" t="s">
        <v>5347</v>
      </c>
      <c r="N5294" s="428"/>
      <c r="O5294" s="428"/>
      <c r="P5294" s="433"/>
      <c r="Q5294" s="442"/>
      <c r="R5294" s="443"/>
      <c r="S5294" s="364"/>
      <c r="Z5294" s="609" t="s">
        <v>2158</v>
      </c>
      <c r="AA5294" s="609" t="s">
        <v>19</v>
      </c>
    </row>
    <row r="5295" spans="1:27" ht="26.25" customHeight="1">
      <c r="A5295" s="2714"/>
      <c r="B5295" s="371"/>
      <c r="C5295" s="371"/>
      <c r="D5295" s="2716"/>
      <c r="E5295" s="2716" t="s">
        <v>2749</v>
      </c>
      <c r="F5295" s="293"/>
      <c r="G5295" s="3321"/>
      <c r="H5295" s="3307"/>
      <c r="I5295" s="3307"/>
      <c r="J5295" s="408" t="str">
        <f>$V$4</f>
        <v>2019年度</v>
      </c>
      <c r="K5295" s="2239" t="str">
        <f>$V$5</f>
        <v>2018年度</v>
      </c>
      <c r="L5295" s="3298"/>
      <c r="M5295" s="435"/>
      <c r="N5295" s="434"/>
      <c r="O5295" s="434"/>
      <c r="P5295" s="435"/>
      <c r="Q5295" s="442"/>
      <c r="R5295" s="443"/>
      <c r="S5295" s="364"/>
      <c r="Z5295" s="609" t="s">
        <v>2158</v>
      </c>
      <c r="AA5295" s="609" t="s">
        <v>19</v>
      </c>
    </row>
    <row r="5296" spans="1:27" ht="18">
      <c r="A5296" s="2714"/>
      <c r="B5296" s="371">
        <v>101</v>
      </c>
      <c r="C5296" s="371" t="s">
        <v>2791</v>
      </c>
      <c r="D5296" s="2716">
        <f t="shared" ref="D5296:D5304" si="564">IF(OR(G5296="*",G5296="",G5296=0),0,COUNTIF($G$5296:$G$5304,G5296))</f>
        <v>0</v>
      </c>
      <c r="E5296" s="2721">
        <v>1</v>
      </c>
      <c r="F5296" s="293"/>
      <c r="G5296" s="319" t="s">
        <v>2792</v>
      </c>
      <c r="H5296" s="309"/>
      <c r="I5296" s="430"/>
      <c r="J5296" s="309"/>
      <c r="K5296" s="320"/>
      <c r="L5296" s="388"/>
      <c r="M5296" s="2672" t="s">
        <v>6365</v>
      </c>
      <c r="N5296" s="2674" t="s">
        <v>6364</v>
      </c>
      <c r="O5296" s="437"/>
      <c r="P5296" s="438"/>
      <c r="Q5296" s="442"/>
      <c r="R5296" s="443"/>
      <c r="S5296" s="364"/>
      <c r="Z5296" s="609" t="s">
        <v>2158</v>
      </c>
      <c r="AA5296" s="609" t="s">
        <v>19</v>
      </c>
    </row>
    <row r="5297" spans="1:27" ht="18">
      <c r="A5297" s="2714"/>
      <c r="B5297" s="371">
        <v>102</v>
      </c>
      <c r="C5297" s="371" t="s">
        <v>2791</v>
      </c>
      <c r="D5297" s="2716">
        <f t="shared" si="564"/>
        <v>0</v>
      </c>
      <c r="E5297" s="2721">
        <v>1</v>
      </c>
      <c r="F5297" s="293"/>
      <c r="G5297" s="319" t="s">
        <v>2792</v>
      </c>
      <c r="H5297" s="309"/>
      <c r="I5297" s="430"/>
      <c r="J5297" s="309"/>
      <c r="K5297" s="320"/>
      <c r="L5297" s="388"/>
      <c r="M5297" s="438"/>
      <c r="N5297" s="2674" t="s">
        <v>1935</v>
      </c>
      <c r="O5297" s="437"/>
      <c r="P5297" s="438"/>
      <c r="Q5297" s="442"/>
      <c r="R5297" s="443"/>
      <c r="S5297" s="364"/>
      <c r="Z5297" s="609" t="s">
        <v>2158</v>
      </c>
      <c r="AA5297" s="609" t="s">
        <v>19</v>
      </c>
    </row>
    <row r="5298" spans="1:27" ht="18">
      <c r="A5298" s="2714"/>
      <c r="B5298" s="371">
        <v>103</v>
      </c>
      <c r="C5298" s="371" t="s">
        <v>2791</v>
      </c>
      <c r="D5298" s="2716">
        <f t="shared" si="564"/>
        <v>0</v>
      </c>
      <c r="E5298" s="2721">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4"/>
      <c r="B5299" s="371">
        <v>104</v>
      </c>
      <c r="C5299" s="371" t="s">
        <v>2791</v>
      </c>
      <c r="D5299" s="2716">
        <f t="shared" si="564"/>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4"/>
      <c r="B5300" s="371">
        <v>105</v>
      </c>
      <c r="C5300" s="371" t="s">
        <v>2791</v>
      </c>
      <c r="D5300" s="2716">
        <f t="shared" si="564"/>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106</v>
      </c>
      <c r="C5301" s="371" t="s">
        <v>2791</v>
      </c>
      <c r="D5301" s="2716">
        <f t="shared" si="564"/>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107</v>
      </c>
      <c r="C5302" s="371" t="s">
        <v>2791</v>
      </c>
      <c r="D5302" s="2716">
        <f t="shared" si="564"/>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
      <c r="A5303" s="2714"/>
      <c r="B5303" s="371">
        <v>108</v>
      </c>
      <c r="C5303" s="371" t="s">
        <v>2791</v>
      </c>
      <c r="D5303" s="2716">
        <f t="shared" si="564"/>
        <v>0</v>
      </c>
      <c r="E5303" s="2721">
        <v>1</v>
      </c>
      <c r="F5303" s="293"/>
      <c r="G5303" s="319" t="s">
        <v>2792</v>
      </c>
      <c r="H5303" s="309"/>
      <c r="I5303" s="430"/>
      <c r="J5303" s="309"/>
      <c r="K5303" s="320"/>
      <c r="L5303" s="388"/>
      <c r="M5303" s="438"/>
      <c r="N5303" s="439"/>
      <c r="O5303" s="437"/>
      <c r="P5303" s="438"/>
      <c r="Q5303" s="442"/>
      <c r="R5303" s="443"/>
      <c r="S5303" s="364"/>
      <c r="Z5303" s="609" t="s">
        <v>2158</v>
      </c>
      <c r="AA5303" s="609" t="s">
        <v>19</v>
      </c>
    </row>
    <row r="5304" spans="1:27" ht="18.75" thickBot="1">
      <c r="A5304" s="2714"/>
      <c r="B5304" s="371"/>
      <c r="C5304" s="371"/>
      <c r="D5304" s="2716">
        <f t="shared" si="564"/>
        <v>1</v>
      </c>
      <c r="E5304" s="2721" t="s">
        <v>2751</v>
      </c>
      <c r="F5304" s="293"/>
      <c r="G5304" s="374" t="s">
        <v>2752</v>
      </c>
      <c r="H5304" s="375">
        <f>SUMPRODUCT($E5295:$E5303,H5295:H5303)</f>
        <v>0</v>
      </c>
      <c r="I5304" s="551">
        <f>SUMPRODUCT($E5295:$E5303,I5295:I5303)</f>
        <v>0</v>
      </c>
      <c r="J5304" s="375">
        <f>SUMPRODUCT($E5295:$E5303,J5295:J5303)</f>
        <v>0</v>
      </c>
      <c r="K5304" s="2325">
        <f>SUMPRODUCT($E5295:$E5303,K5295:K5303)</f>
        <v>0</v>
      </c>
      <c r="L5304" s="550"/>
      <c r="M5304" s="440"/>
      <c r="N5304" s="439"/>
      <c r="O5304" s="437"/>
      <c r="P5304" s="440"/>
      <c r="Q5304" s="442"/>
      <c r="R5304" s="443"/>
      <c r="S5304" s="364"/>
      <c r="Z5304" s="609" t="s">
        <v>2158</v>
      </c>
      <c r="AA5304" s="609" t="s">
        <v>19</v>
      </c>
    </row>
    <row r="5305" spans="1:27" ht="18">
      <c r="A5305" s="2714"/>
      <c r="B5305" s="371"/>
      <c r="C5305" s="371" t="s">
        <v>2755</v>
      </c>
      <c r="D5305" s="2716"/>
      <c r="F5305" s="293"/>
      <c r="G5305" s="376"/>
      <c r="H5305" s="315"/>
      <c r="I5305" s="432"/>
      <c r="J5305" s="315"/>
      <c r="K5305" s="423"/>
      <c r="L5305" s="393"/>
      <c r="M5305" s="425"/>
      <c r="N5305" s="426"/>
      <c r="O5305" s="427"/>
      <c r="P5305" s="425"/>
      <c r="Q5305" s="442"/>
      <c r="R5305" s="443"/>
      <c r="S5305" s="364"/>
      <c r="Z5305" s="609" t="s">
        <v>2158</v>
      </c>
      <c r="AA5305" s="609" t="s">
        <v>19</v>
      </c>
    </row>
    <row r="5306" spans="1:27" ht="18">
      <c r="A5306" s="2714" t="s">
        <v>2178</v>
      </c>
      <c r="B5306" s="371">
        <v>3</v>
      </c>
      <c r="C5306" s="371"/>
      <c r="D5306" s="2716" t="str">
        <f>VLOOKUP($A5306,Sheet_NoteList,2,0)</f>
        <v>政府补助退回情况</v>
      </c>
      <c r="E5306" s="2716" t="s">
        <v>2742</v>
      </c>
      <c r="F5306" s="293"/>
      <c r="G5306" s="372" t="str">
        <f>"("&amp;B5306&amp;")"&amp;D5306</f>
        <v>(3)政府补助退回情况</v>
      </c>
      <c r="H5306" s="1517" t="str">
        <f>$A5306</f>
        <v>9371j</v>
      </c>
      <c r="I5306" s="343" t="s">
        <v>2743</v>
      </c>
      <c r="J5306" s="301" t="s">
        <v>2744</v>
      </c>
      <c r="K5306" s="2210">
        <f>H5317</f>
        <v>0</v>
      </c>
      <c r="L5306" s="349"/>
      <c r="M5306" s="301" t="s">
        <v>2745</v>
      </c>
      <c r="N5306" s="2210">
        <f>I5317</f>
        <v>0</v>
      </c>
      <c r="O5306" s="349"/>
      <c r="P5306" s="301"/>
      <c r="S5306" s="364"/>
      <c r="Z5306" s="609" t="s">
        <v>2158</v>
      </c>
      <c r="AA5306" s="609" t="s">
        <v>19</v>
      </c>
    </row>
    <row r="5307" spans="1:27" ht="0.75" customHeight="1" thickBot="1">
      <c r="A5307" s="2714"/>
      <c r="B5307" s="371"/>
      <c r="C5307" s="371"/>
      <c r="D5307" s="2716"/>
      <c r="F5307" s="371"/>
      <c r="G5307" s="405" t="s">
        <v>4659</v>
      </c>
      <c r="H5307" s="371" t="s">
        <v>2747</v>
      </c>
      <c r="I5307" s="371" t="s">
        <v>2821</v>
      </c>
      <c r="J5307" s="433"/>
      <c r="K5307" s="428"/>
      <c r="L5307" s="428"/>
      <c r="M5307" s="433"/>
      <c r="N5307" s="428"/>
      <c r="O5307" s="428"/>
      <c r="P5307" s="433"/>
      <c r="Q5307" s="442"/>
      <c r="R5307" s="443"/>
      <c r="S5307" s="364"/>
      <c r="Z5307" s="609" t="s">
        <v>2158</v>
      </c>
      <c r="AA5307" s="609" t="s">
        <v>19</v>
      </c>
    </row>
    <row r="5308" spans="1:27" ht="18">
      <c r="A5308" s="2714"/>
      <c r="B5308" s="371"/>
      <c r="C5308" s="371"/>
      <c r="D5308" s="2716"/>
      <c r="E5308" s="2716" t="s">
        <v>2749</v>
      </c>
      <c r="F5308" s="293"/>
      <c r="G5308" s="373" t="s">
        <v>47</v>
      </c>
      <c r="H5308" s="406" t="s">
        <v>2887</v>
      </c>
      <c r="I5308" s="417" t="s">
        <v>4660</v>
      </c>
      <c r="J5308" s="355" t="s">
        <v>5347</v>
      </c>
      <c r="K5308" s="434"/>
      <c r="L5308" s="434"/>
      <c r="M5308" s="435"/>
      <c r="N5308" s="434"/>
      <c r="O5308" s="434"/>
      <c r="P5308" s="435"/>
      <c r="Q5308" s="442"/>
      <c r="R5308" s="443"/>
      <c r="S5308" s="364"/>
      <c r="Z5308" s="609" t="s">
        <v>2158</v>
      </c>
      <c r="AA5308" s="609" t="s">
        <v>19</v>
      </c>
    </row>
    <row r="5309" spans="1:27" ht="18">
      <c r="A5309" s="2714"/>
      <c r="B5309" s="371">
        <v>101</v>
      </c>
      <c r="C5309" s="371" t="s">
        <v>2791</v>
      </c>
      <c r="D5309" s="2716">
        <f t="shared" ref="D5309:D5317" si="565">IF(OR(G5309="*",G5309="",G5309=0),0,COUNTIF($G$5309:$G$5317,G5309))</f>
        <v>0</v>
      </c>
      <c r="E5309" s="2721">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4"/>
      <c r="B5310" s="371">
        <v>102</v>
      </c>
      <c r="C5310" s="371" t="s">
        <v>2791</v>
      </c>
      <c r="D5310" s="2716">
        <f t="shared" si="565"/>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4"/>
      <c r="B5311" s="371">
        <v>103</v>
      </c>
      <c r="C5311" s="371" t="s">
        <v>2791</v>
      </c>
      <c r="D5311" s="2716">
        <f t="shared" si="565"/>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104</v>
      </c>
      <c r="C5312" s="371" t="s">
        <v>2791</v>
      </c>
      <c r="D5312" s="2716">
        <f t="shared" si="565"/>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105</v>
      </c>
      <c r="C5313" s="371" t="s">
        <v>2791</v>
      </c>
      <c r="D5313" s="2716">
        <f t="shared" si="565"/>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106</v>
      </c>
      <c r="C5314" s="371" t="s">
        <v>2791</v>
      </c>
      <c r="D5314" s="2716">
        <f t="shared" si="565"/>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107</v>
      </c>
      <c r="C5315" s="371" t="s">
        <v>2791</v>
      </c>
      <c r="D5315" s="2716">
        <f t="shared" si="565"/>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
      <c r="A5316" s="2714"/>
      <c r="B5316" s="371">
        <v>108</v>
      </c>
      <c r="C5316" s="371" t="s">
        <v>2791</v>
      </c>
      <c r="D5316" s="2716">
        <f t="shared" si="565"/>
        <v>0</v>
      </c>
      <c r="E5316" s="2721">
        <v>1</v>
      </c>
      <c r="F5316" s="293"/>
      <c r="G5316" s="319" t="s">
        <v>2792</v>
      </c>
      <c r="H5316" s="309"/>
      <c r="I5316" s="444"/>
      <c r="J5316" s="438"/>
      <c r="K5316" s="439"/>
      <c r="L5316" s="437"/>
      <c r="M5316" s="438"/>
      <c r="N5316" s="439"/>
      <c r="O5316" s="437"/>
      <c r="P5316" s="438"/>
      <c r="Q5316" s="442"/>
      <c r="R5316" s="443"/>
      <c r="S5316" s="364"/>
      <c r="Z5316" s="609" t="s">
        <v>2158</v>
      </c>
      <c r="AA5316" s="609" t="s">
        <v>19</v>
      </c>
    </row>
    <row r="5317" spans="1:27" ht="18.75" thickBot="1">
      <c r="A5317" s="2714"/>
      <c r="B5317" s="371"/>
      <c r="C5317" s="371"/>
      <c r="D5317" s="2716">
        <f t="shared" si="565"/>
        <v>1</v>
      </c>
      <c r="E5317" s="2721" t="s">
        <v>2751</v>
      </c>
      <c r="F5317" s="293"/>
      <c r="G5317" s="374" t="s">
        <v>2752</v>
      </c>
      <c r="H5317" s="375">
        <f>SUMPRODUCT($E5308:$E5316,H5308:H5316)</f>
        <v>0</v>
      </c>
      <c r="I5317" s="552">
        <f>SUMPRODUCT($E5308:$E5316,I5308:I5316)</f>
        <v>0</v>
      </c>
      <c r="J5317" s="440"/>
      <c r="K5317" s="439"/>
      <c r="L5317" s="437"/>
      <c r="M5317" s="440"/>
      <c r="N5317" s="439"/>
      <c r="O5317" s="437"/>
      <c r="P5317" s="440"/>
      <c r="Q5317" s="442"/>
      <c r="R5317" s="443"/>
      <c r="S5317" s="364"/>
      <c r="Z5317" s="609" t="s">
        <v>2158</v>
      </c>
      <c r="AA5317" s="609" t="s">
        <v>19</v>
      </c>
    </row>
    <row r="5318" spans="1:27" ht="18">
      <c r="A5318" s="2714"/>
      <c r="B5318" s="371"/>
      <c r="C5318" s="371" t="s">
        <v>2755</v>
      </c>
      <c r="D5318" s="2716"/>
      <c r="F5318" s="293"/>
      <c r="G5318" s="376"/>
      <c r="H5318" s="315"/>
      <c r="I5318" s="432"/>
      <c r="J5318" s="425"/>
      <c r="K5318" s="426"/>
      <c r="L5318" s="427"/>
      <c r="M5318" s="425"/>
      <c r="N5318" s="426"/>
      <c r="O5318" s="427"/>
      <c r="P5318" s="425"/>
      <c r="Q5318" s="442"/>
      <c r="R5318" s="443"/>
      <c r="S5318" s="364"/>
      <c r="Z5318" s="609" t="s">
        <v>2158</v>
      </c>
      <c r="AA5318" s="609" t="s">
        <v>19</v>
      </c>
    </row>
    <row r="5319" spans="1:27" ht="18">
      <c r="A5319" s="2714">
        <v>9325</v>
      </c>
      <c r="B5319" s="371" t="s">
        <v>6568</v>
      </c>
      <c r="C5319" s="2716" t="str">
        <f>VLOOKUP($A5319,Sheet_Items,2,0)</f>
        <v>与金融工具相关的风险</v>
      </c>
      <c r="D5319" s="371"/>
      <c r="E5319" s="2716" t="s">
        <v>2739</v>
      </c>
      <c r="F5319" s="294"/>
      <c r="G5319" s="305" t="str">
        <f>B5319&amp;" "&amp;C5319</f>
        <v>八 与金融工具相关的风险</v>
      </c>
      <c r="H5319" s="306"/>
      <c r="I5319" s="306"/>
      <c r="J5319" s="306"/>
      <c r="K5319" s="539"/>
      <c r="L5319" s="342"/>
      <c r="M5319" s="306"/>
      <c r="N5319" s="539"/>
      <c r="O5319" s="306"/>
      <c r="P5319" s="301"/>
      <c r="S5319" s="364"/>
      <c r="Z5319" s="609" t="s">
        <v>2105</v>
      </c>
      <c r="AA5319" s="609"/>
    </row>
    <row r="5320" spans="1:27" ht="24">
      <c r="A5320" s="2714" t="s">
        <v>2111</v>
      </c>
      <c r="B5320" s="371">
        <v>1</v>
      </c>
      <c r="C5320" s="371"/>
      <c r="D5320" s="2716" t="str">
        <f>VLOOKUP($A5320,Sheet_NoteList,2,0)</f>
        <v>本期末金融负债到期期限</v>
      </c>
      <c r="E5320" s="2716" t="s">
        <v>2742</v>
      </c>
      <c r="F5320" s="293"/>
      <c r="G5320" s="372" t="str">
        <f>"("&amp;B5320&amp;")"&amp;D5320</f>
        <v>(1)本期末金融负债到期期限</v>
      </c>
      <c r="H5320" s="1517" t="str">
        <f>$A5320</f>
        <v>9325g</v>
      </c>
      <c r="I5320" s="343" t="s">
        <v>2743</v>
      </c>
      <c r="J5320" s="301" t="s">
        <v>2744</v>
      </c>
      <c r="K5320" s="2210">
        <f>H5335</f>
        <v>0</v>
      </c>
      <c r="L5320" s="349"/>
      <c r="M5320" s="301" t="s">
        <v>2745</v>
      </c>
      <c r="N5320" s="2210">
        <f>I5335</f>
        <v>0</v>
      </c>
      <c r="O5320" s="349"/>
      <c r="P5320" s="301"/>
      <c r="S5320" s="364"/>
      <c r="Z5320" s="609" t="s">
        <v>2105</v>
      </c>
      <c r="AA5320" s="609" t="s">
        <v>19</v>
      </c>
    </row>
    <row r="5321" spans="1:27" ht="0.75" customHeight="1">
      <c r="A5321" s="2714"/>
      <c r="B5321" s="371"/>
      <c r="C5321" s="371"/>
      <c r="D5321" s="2716"/>
      <c r="F5321" s="371"/>
      <c r="G5321" s="405" t="s">
        <v>4485</v>
      </c>
      <c r="H5321" s="371" t="s">
        <v>2747</v>
      </c>
      <c r="I5321" s="371" t="s">
        <v>2748</v>
      </c>
      <c r="J5321" s="371" t="s">
        <v>2948</v>
      </c>
      <c r="K5321" s="547" t="s">
        <v>3034</v>
      </c>
      <c r="L5321" s="547" t="s">
        <v>3035</v>
      </c>
      <c r="M5321" s="433"/>
      <c r="N5321" s="428"/>
      <c r="O5321" s="428"/>
      <c r="P5321" s="433"/>
      <c r="Q5321" s="442"/>
      <c r="R5321" s="443"/>
      <c r="S5321" s="364"/>
      <c r="Z5321" s="609" t="s">
        <v>2105</v>
      </c>
      <c r="AA5321" s="609" t="s">
        <v>19</v>
      </c>
    </row>
    <row r="5322" spans="1:27" ht="0.75" customHeight="1" thickBot="1">
      <c r="A5322" s="2714"/>
      <c r="B5322" s="371"/>
      <c r="C5322" s="371"/>
      <c r="D5322" s="2716"/>
      <c r="F5322" s="371"/>
      <c r="G5322" s="405"/>
      <c r="H5322" s="371" t="s">
        <v>4486</v>
      </c>
      <c r="I5322" s="371" t="s">
        <v>4487</v>
      </c>
      <c r="J5322" s="371" t="s">
        <v>4488</v>
      </c>
      <c r="K5322" s="547" t="s">
        <v>4489</v>
      </c>
      <c r="L5322" s="547" t="s">
        <v>4490</v>
      </c>
      <c r="M5322" s="433"/>
      <c r="N5322" s="428"/>
      <c r="O5322" s="428"/>
      <c r="P5322" s="433"/>
      <c r="Q5322" s="442"/>
      <c r="R5322" s="443"/>
      <c r="S5322" s="364"/>
      <c r="Z5322" s="609" t="s">
        <v>2105</v>
      </c>
      <c r="AA5322" s="609" t="s">
        <v>19</v>
      </c>
    </row>
    <row r="5323" spans="1:27" ht="18" customHeight="1" thickTop="1">
      <c r="A5323" s="2714"/>
      <c r="B5323" s="371"/>
      <c r="C5323" s="371"/>
      <c r="D5323" s="2716"/>
      <c r="E5323" s="2716" t="s">
        <v>2749</v>
      </c>
      <c r="F5323" s="293"/>
      <c r="G5323" s="3253" t="s">
        <v>47</v>
      </c>
      <c r="H5323" s="3344" t="str">
        <f>$V$2</f>
        <v>2019年12月31日</v>
      </c>
      <c r="I5323" s="3345"/>
      <c r="J5323" s="3345"/>
      <c r="K5323" s="3345"/>
      <c r="L5323" s="3345"/>
      <c r="M5323" s="355" t="s">
        <v>5348</v>
      </c>
      <c r="N5323" s="1536" t="s">
        <v>5541</v>
      </c>
      <c r="O5323" s="1536" t="s">
        <v>5542</v>
      </c>
      <c r="P5323" s="433"/>
      <c r="Q5323" s="442"/>
      <c r="R5323" s="443"/>
      <c r="S5323" s="364"/>
      <c r="Z5323" s="609" t="s">
        <v>2105</v>
      </c>
      <c r="AA5323" s="609" t="s">
        <v>19</v>
      </c>
    </row>
    <row r="5324" spans="1:27" ht="18">
      <c r="A5324" s="2714"/>
      <c r="B5324" s="371"/>
      <c r="C5324" s="371"/>
      <c r="D5324" s="2716"/>
      <c r="E5324" s="2716" t="s">
        <v>2749</v>
      </c>
      <c r="F5324" s="293"/>
      <c r="G5324" s="3292"/>
      <c r="H5324" s="2490" t="s">
        <v>4491</v>
      </c>
      <c r="I5324" s="2490" t="s">
        <v>4492</v>
      </c>
      <c r="J5324" s="2490" t="s">
        <v>2962</v>
      </c>
      <c r="K5324" s="2491" t="s">
        <v>2963</v>
      </c>
      <c r="L5324" s="2492" t="s">
        <v>3108</v>
      </c>
      <c r="M5324" s="435"/>
      <c r="N5324" s="1611"/>
      <c r="O5324" s="1611"/>
      <c r="P5324" s="435"/>
      <c r="Q5324" s="442"/>
      <c r="R5324" s="443"/>
      <c r="S5324" s="364"/>
      <c r="Z5324" s="609" t="s">
        <v>2105</v>
      </c>
      <c r="AA5324" s="609" t="s">
        <v>19</v>
      </c>
    </row>
    <row r="5325" spans="1:27" ht="18">
      <c r="A5325" s="2714"/>
      <c r="B5325" s="371">
        <v>101</v>
      </c>
      <c r="C5325" s="371"/>
      <c r="D5325" s="2716">
        <f t="shared" ref="D5325:D5335" si="566">IF(OR(G5325="*",G5325="",G5325=0),0,COUNTIF($G$5325:$G$5335,G5325))</f>
        <v>1</v>
      </c>
      <c r="E5325" s="2721">
        <v>1</v>
      </c>
      <c r="F5325" s="293"/>
      <c r="G5325" s="308" t="s">
        <v>454</v>
      </c>
      <c r="H5325" s="309"/>
      <c r="I5325" s="422"/>
      <c r="J5325" s="309"/>
      <c r="K5325" s="320"/>
      <c r="L5325" s="346"/>
      <c r="M5325" s="438"/>
      <c r="N5325" s="1588">
        <f ca="1">HYPERLINK("#'"&amp;$G$1&amp;"'!"&amp;ADDRESS(ROW(Notes!H3327),COLUMN(Notes!H3327),4),H3327)</f>
        <v>0</v>
      </c>
      <c r="O5325" s="1544">
        <f ca="1">N5325-SUM(H5325:L5325)</f>
        <v>0</v>
      </c>
      <c r="P5325" s="438"/>
      <c r="Q5325" s="442"/>
      <c r="R5325" s="443"/>
      <c r="S5325" s="364"/>
      <c r="Z5325" s="609" t="s">
        <v>2105</v>
      </c>
      <c r="AA5325" s="609" t="s">
        <v>19</v>
      </c>
    </row>
    <row r="5326" spans="1:27" ht="18">
      <c r="A5326" s="2714"/>
      <c r="B5326" s="371">
        <v>102</v>
      </c>
      <c r="C5326" s="371"/>
      <c r="D5326" s="2716">
        <f t="shared" si="566"/>
        <v>1</v>
      </c>
      <c r="E5326" s="2721">
        <v>1</v>
      </c>
      <c r="F5326" s="293"/>
      <c r="G5326" s="308" t="s">
        <v>462</v>
      </c>
      <c r="H5326" s="309"/>
      <c r="I5326" s="422"/>
      <c r="J5326" s="309"/>
      <c r="K5326" s="320"/>
      <c r="L5326" s="346"/>
      <c r="M5326" s="438"/>
      <c r="N5326" s="1588">
        <f ca="1">HYPERLINK("#'"&amp;$G$1&amp;"'!"&amp;ADDRESS(ROW(Notes!K3392),COLUMN(Notes!K3392),4),K3392)</f>
        <v>0</v>
      </c>
      <c r="O5326" s="1544">
        <f t="shared" ref="O5326:O5333" ca="1" si="567">N5326-SUM(H5326:L5326)</f>
        <v>0</v>
      </c>
      <c r="P5326" s="438"/>
      <c r="Q5326" s="442"/>
      <c r="R5326" s="443"/>
      <c r="S5326" s="364"/>
      <c r="Z5326" s="609" t="s">
        <v>2105</v>
      </c>
      <c r="AA5326" s="609" t="s">
        <v>19</v>
      </c>
    </row>
    <row r="5327" spans="1:27" ht="18">
      <c r="A5327" s="2714"/>
      <c r="B5327" s="371">
        <v>103</v>
      </c>
      <c r="C5327" s="371"/>
      <c r="D5327" s="2716">
        <f t="shared" si="566"/>
        <v>1</v>
      </c>
      <c r="E5327" s="2721">
        <v>1</v>
      </c>
      <c r="F5327" s="293"/>
      <c r="G5327" s="308" t="s">
        <v>471</v>
      </c>
      <c r="H5327" s="309"/>
      <c r="I5327" s="422"/>
      <c r="J5327" s="309"/>
      <c r="K5327" s="320"/>
      <c r="L5327" s="346"/>
      <c r="M5327" s="438"/>
      <c r="N5327" s="1588">
        <f ca="1">HYPERLINK("#'"&amp;$G$1&amp;"'!"&amp;ADDRESS(ROW(Notes!H3439),COLUMN(Notes!H3439),4),H3439)</f>
        <v>0</v>
      </c>
      <c r="O5327" s="1544">
        <f t="shared" ca="1" si="567"/>
        <v>0</v>
      </c>
      <c r="P5327" s="438"/>
      <c r="Q5327" s="442"/>
      <c r="R5327" s="443"/>
      <c r="S5327" s="364"/>
      <c r="Z5327" s="609" t="s">
        <v>2105</v>
      </c>
      <c r="AA5327" s="609" t="s">
        <v>19</v>
      </c>
    </row>
    <row r="5328" spans="1:27" ht="18">
      <c r="A5328" s="2714"/>
      <c r="B5328" s="371">
        <v>104</v>
      </c>
      <c r="C5328" s="371"/>
      <c r="D5328" s="2716">
        <f t="shared" si="566"/>
        <v>1</v>
      </c>
      <c r="E5328" s="2721">
        <v>1</v>
      </c>
      <c r="F5328" s="293"/>
      <c r="G5328" s="308" t="s">
        <v>476</v>
      </c>
      <c r="H5328" s="309"/>
      <c r="I5328" s="422"/>
      <c r="J5328" s="309"/>
      <c r="K5328" s="320"/>
      <c r="L5328" s="346"/>
      <c r="M5328" s="438"/>
      <c r="N5328" s="1588">
        <f ca="1">HYPERLINK("#'"&amp;$G$1&amp;"'!"&amp;ADDRESS(ROW(Notes!H3452),COLUMN(Notes!H3452),4),H3452)</f>
        <v>0</v>
      </c>
      <c r="O5328" s="1544">
        <f t="shared" ca="1" si="567"/>
        <v>0</v>
      </c>
      <c r="P5328" s="438"/>
      <c r="Q5328" s="442"/>
      <c r="R5328" s="443"/>
      <c r="S5328" s="364"/>
      <c r="Z5328" s="609" t="s">
        <v>2105</v>
      </c>
      <c r="AA5328" s="609" t="s">
        <v>19</v>
      </c>
    </row>
    <row r="5329" spans="1:27" ht="18">
      <c r="A5329" s="2714"/>
      <c r="B5329" s="371">
        <v>105</v>
      </c>
      <c r="C5329" s="371"/>
      <c r="D5329" s="2716">
        <f t="shared" si="566"/>
        <v>1</v>
      </c>
      <c r="E5329" s="2721">
        <v>1</v>
      </c>
      <c r="F5329" s="293"/>
      <c r="G5329" s="308" t="s">
        <v>499</v>
      </c>
      <c r="H5329" s="309"/>
      <c r="I5329" s="422"/>
      <c r="J5329" s="309"/>
      <c r="K5329" s="320"/>
      <c r="L5329" s="346"/>
      <c r="M5329" s="438"/>
      <c r="N5329" s="1588">
        <f ca="1">HYPERLINK("#'"&amp;$G$1&amp;"'!"&amp;ADDRESS(ROW(Notes!H3788),COLUMN(Notes!H3788),4),H3788)</f>
        <v>0</v>
      </c>
      <c r="O5329" s="1544">
        <f t="shared" ca="1" si="567"/>
        <v>0</v>
      </c>
      <c r="P5329" s="438"/>
      <c r="Q5329" s="442"/>
      <c r="R5329" s="443"/>
      <c r="S5329" s="364"/>
      <c r="Z5329" s="609" t="s">
        <v>2105</v>
      </c>
      <c r="AA5329" s="609" t="s">
        <v>19</v>
      </c>
    </row>
    <row r="5330" spans="1:27" ht="18">
      <c r="A5330" s="2714"/>
      <c r="B5330" s="371">
        <v>106</v>
      </c>
      <c r="C5330" s="371"/>
      <c r="D5330" s="2716">
        <f t="shared" si="566"/>
        <v>1</v>
      </c>
      <c r="E5330" s="2721">
        <v>1</v>
      </c>
      <c r="F5330" s="293"/>
      <c r="G5330" s="308" t="s">
        <v>513</v>
      </c>
      <c r="H5330" s="309"/>
      <c r="I5330" s="422"/>
      <c r="J5330" s="309"/>
      <c r="K5330" s="320"/>
      <c r="L5330" s="346"/>
      <c r="M5330" s="438"/>
      <c r="N5330" s="1588">
        <f ca="1">HYPERLINK("#'"&amp;$G$1&amp;"'!"&amp;ADDRESS(ROW(Notes!H3837),COLUMN(Notes!H3837),4),H3837)</f>
        <v>4224459.3600000003</v>
      </c>
      <c r="O5330" s="1544">
        <f t="shared" ca="1" si="567"/>
        <v>4224459.3600000003</v>
      </c>
      <c r="P5330" s="438"/>
      <c r="Q5330" s="442"/>
      <c r="R5330" s="443"/>
      <c r="S5330" s="364"/>
      <c r="Z5330" s="609" t="s">
        <v>2105</v>
      </c>
      <c r="AA5330" s="609" t="s">
        <v>19</v>
      </c>
    </row>
    <row r="5331" spans="1:27" ht="18">
      <c r="A5331" s="2714"/>
      <c r="B5331" s="371">
        <v>107</v>
      </c>
      <c r="C5331" s="371"/>
      <c r="D5331" s="2716">
        <f t="shared" si="566"/>
        <v>1</v>
      </c>
      <c r="E5331" s="2721">
        <v>1</v>
      </c>
      <c r="F5331" s="293"/>
      <c r="G5331" s="308" t="s">
        <v>546</v>
      </c>
      <c r="H5331" s="309"/>
      <c r="I5331" s="422"/>
      <c r="J5331" s="309"/>
      <c r="K5331" s="320"/>
      <c r="L5331" s="346"/>
      <c r="M5331" s="438"/>
      <c r="N5331" s="1588">
        <f ca="1">HYPERLINK("#'"&amp;$G$1&amp;"'!"&amp;ADDRESS(ROW(Notes!H4008),COLUMN(Notes!H4008),4),H4008)</f>
        <v>0</v>
      </c>
      <c r="O5331" s="1544">
        <f t="shared" ca="1" si="567"/>
        <v>0</v>
      </c>
      <c r="P5331" s="438"/>
      <c r="Q5331" s="442"/>
      <c r="R5331" s="443"/>
      <c r="S5331" s="364"/>
      <c r="Z5331" s="609" t="s">
        <v>2105</v>
      </c>
      <c r="AA5331" s="609" t="s">
        <v>19</v>
      </c>
    </row>
    <row r="5332" spans="1:27" ht="18">
      <c r="A5332" s="2714"/>
      <c r="B5332" s="371">
        <v>108</v>
      </c>
      <c r="C5332" s="371"/>
      <c r="D5332" s="2716">
        <f t="shared" si="566"/>
        <v>1</v>
      </c>
      <c r="E5332" s="2721">
        <v>1</v>
      </c>
      <c r="F5332" s="293"/>
      <c r="G5332" s="308" t="s">
        <v>550</v>
      </c>
      <c r="H5332" s="309"/>
      <c r="I5332" s="422"/>
      <c r="J5332" s="309"/>
      <c r="K5332" s="320"/>
      <c r="L5332" s="346"/>
      <c r="M5332" s="438"/>
      <c r="N5332" s="1588">
        <f ca="1">HYPERLINK("#'"&amp;$G$1&amp;"'!"&amp;ADDRESS(ROW(Notes!H4059),COLUMN(Notes!H4059),4),H4059)</f>
        <v>0</v>
      </c>
      <c r="O5332" s="1544">
        <f t="shared" ca="1" si="567"/>
        <v>0</v>
      </c>
      <c r="P5332" s="438"/>
      <c r="Q5332" s="442"/>
      <c r="R5332" s="443"/>
      <c r="S5332" s="364"/>
      <c r="Z5332" s="609" t="s">
        <v>2105</v>
      </c>
      <c r="AA5332" s="609" t="s">
        <v>19</v>
      </c>
    </row>
    <row r="5333" spans="1:27" ht="18">
      <c r="A5333" s="2714"/>
      <c r="B5333" s="371">
        <v>109</v>
      </c>
      <c r="C5333" s="371"/>
      <c r="D5333" s="2716">
        <f t="shared" si="566"/>
        <v>1</v>
      </c>
      <c r="E5333" s="2721">
        <v>1</v>
      </c>
      <c r="F5333" s="293"/>
      <c r="G5333" s="308" t="s">
        <v>554</v>
      </c>
      <c r="H5333" s="309"/>
      <c r="I5333" s="422"/>
      <c r="J5333" s="309"/>
      <c r="K5333" s="320"/>
      <c r="L5333" s="346"/>
      <c r="M5333" s="438"/>
      <c r="N5333" s="1588">
        <f ca="1">HYPERLINK("#'"&amp;$G$1&amp;"'!"&amp;ADDRESS(ROW(Notes!H4127),COLUMN(Notes!H4127),4),H4127)</f>
        <v>0</v>
      </c>
      <c r="O5333" s="1544">
        <f t="shared" ca="1" si="567"/>
        <v>0</v>
      </c>
      <c r="P5333" s="438"/>
      <c r="Q5333" s="442"/>
      <c r="R5333" s="443"/>
      <c r="S5333" s="364"/>
      <c r="Z5333" s="609" t="s">
        <v>2105</v>
      </c>
      <c r="AA5333" s="609" t="s">
        <v>19</v>
      </c>
    </row>
    <row r="5334" spans="1:27" ht="18">
      <c r="A5334" s="2714"/>
      <c r="B5334" s="371">
        <v>110</v>
      </c>
      <c r="C5334" s="371" t="s">
        <v>6535</v>
      </c>
      <c r="D5334" s="2716">
        <f t="shared" si="566"/>
        <v>0</v>
      </c>
      <c r="E5334" s="2721">
        <v>1</v>
      </c>
      <c r="F5334" s="293"/>
      <c r="G5334" s="1484" t="s">
        <v>2792</v>
      </c>
      <c r="H5334" s="309"/>
      <c r="I5334" s="422"/>
      <c r="J5334" s="309"/>
      <c r="K5334" s="320"/>
      <c r="L5334" s="346"/>
      <c r="M5334" s="438"/>
      <c r="O5334" s="1544"/>
      <c r="P5334" s="438"/>
      <c r="Q5334" s="442"/>
      <c r="R5334" s="443"/>
      <c r="S5334" s="364"/>
      <c r="Z5334" s="609" t="s">
        <v>2105</v>
      </c>
      <c r="AA5334" s="609" t="s">
        <v>19</v>
      </c>
    </row>
    <row r="5335" spans="1:27" ht="18.75" thickBot="1">
      <c r="A5335" s="2714"/>
      <c r="B5335" s="371"/>
      <c r="C5335" s="371"/>
      <c r="D5335" s="2716">
        <f t="shared" si="566"/>
        <v>1</v>
      </c>
      <c r="E5335" s="2721" t="s">
        <v>2751</v>
      </c>
      <c r="F5335" s="293"/>
      <c r="G5335" s="2234" t="s">
        <v>2752</v>
      </c>
      <c r="H5335" s="2235">
        <f>SUMPRODUCT($E5324:$E5334,H5324:H5334)</f>
        <v>0</v>
      </c>
      <c r="I5335" s="2235">
        <f>SUMPRODUCT($E5324:$E5334,I5324:I5334)</f>
        <v>0</v>
      </c>
      <c r="J5335" s="2235">
        <f>SUMPRODUCT($E5324:$E5334,J5324:J5334)</f>
        <v>0</v>
      </c>
      <c r="K5335" s="2235">
        <f>SUMPRODUCT($E5324:$E5334,K5324:K5334)</f>
        <v>0</v>
      </c>
      <c r="L5335" s="2236">
        <f>SUMPRODUCT($E5324:$E5334,L5324:L5334)</f>
        <v>0</v>
      </c>
      <c r="M5335" s="440"/>
      <c r="O5335" s="1557">
        <f ca="1">SUM(O5325:O5334)</f>
        <v>4224459.3600000003</v>
      </c>
      <c r="P5335" s="440"/>
      <c r="Q5335" s="442"/>
      <c r="R5335" s="443"/>
      <c r="S5335" s="364"/>
      <c r="Z5335" s="609" t="s">
        <v>2105</v>
      </c>
      <c r="AA5335" s="609" t="s">
        <v>19</v>
      </c>
    </row>
    <row r="5336" spans="1:27" ht="18">
      <c r="A5336" s="2714"/>
      <c r="B5336" s="371"/>
      <c r="C5336" s="371" t="s">
        <v>2755</v>
      </c>
      <c r="D5336" s="2716"/>
      <c r="F5336" s="293"/>
      <c r="G5336" s="376"/>
      <c r="H5336" s="315"/>
      <c r="I5336" s="396"/>
      <c r="J5336" s="315"/>
      <c r="K5336" s="423"/>
      <c r="L5336" s="315"/>
      <c r="M5336" s="425"/>
      <c r="N5336" s="1585" t="s">
        <v>5495</v>
      </c>
      <c r="O5336" s="427"/>
      <c r="P5336" s="425"/>
      <c r="Q5336" s="442"/>
      <c r="R5336" s="443"/>
      <c r="S5336" s="364"/>
      <c r="Z5336" s="609" t="s">
        <v>2105</v>
      </c>
      <c r="AA5336" s="609" t="s">
        <v>19</v>
      </c>
    </row>
    <row r="5337" spans="1:27" ht="24">
      <c r="A5337" s="2714" t="s">
        <v>2113</v>
      </c>
      <c r="B5337" s="371">
        <v>2</v>
      </c>
      <c r="C5337" s="371"/>
      <c r="D5337" s="2716" t="str">
        <f>VLOOKUP($A5337,Sheet_NoteList,2,0)</f>
        <v>上期末金融负债到期期限</v>
      </c>
      <c r="E5337" s="2716" t="s">
        <v>2742</v>
      </c>
      <c r="F5337" s="293"/>
      <c r="G5337" s="372" t="str">
        <f>"("&amp;B5337&amp;")"&amp;D5337</f>
        <v>(2)上期末金融负债到期期限</v>
      </c>
      <c r="H5337" s="1517" t="str">
        <f>$A5337</f>
        <v>9325h</v>
      </c>
      <c r="I5337" s="343" t="s">
        <v>2743</v>
      </c>
      <c r="J5337" s="301" t="s">
        <v>2744</v>
      </c>
      <c r="K5337" s="2210">
        <f>H5352</f>
        <v>0</v>
      </c>
      <c r="L5337" s="349"/>
      <c r="M5337" s="301" t="s">
        <v>2745</v>
      </c>
      <c r="N5337" s="2210">
        <f>I5352</f>
        <v>0</v>
      </c>
      <c r="O5337" s="349"/>
      <c r="P5337" s="301"/>
      <c r="S5337" s="364"/>
      <c r="Z5337" s="609" t="s">
        <v>2105</v>
      </c>
      <c r="AA5337" s="609" t="s">
        <v>19</v>
      </c>
    </row>
    <row r="5338" spans="1:27" ht="0.75" customHeight="1">
      <c r="A5338" s="2714"/>
      <c r="B5338" s="371"/>
      <c r="C5338" s="371"/>
      <c r="D5338" s="2716"/>
      <c r="F5338" s="371"/>
      <c r="G5338" s="405" t="s">
        <v>4493</v>
      </c>
      <c r="H5338" s="371" t="s">
        <v>2747</v>
      </c>
      <c r="I5338" s="371" t="s">
        <v>2748</v>
      </c>
      <c r="J5338" s="371" t="s">
        <v>2948</v>
      </c>
      <c r="K5338" s="547" t="s">
        <v>3034</v>
      </c>
      <c r="L5338" s="547" t="s">
        <v>3035</v>
      </c>
      <c r="M5338" s="433"/>
      <c r="N5338" s="428"/>
      <c r="O5338" s="428"/>
      <c r="P5338" s="433"/>
      <c r="Q5338" s="442"/>
      <c r="R5338" s="443"/>
      <c r="S5338" s="364"/>
      <c r="Z5338" s="609" t="s">
        <v>2105</v>
      </c>
      <c r="AA5338" s="609" t="s">
        <v>19</v>
      </c>
    </row>
    <row r="5339" spans="1:27" ht="0.75" customHeight="1" thickBot="1">
      <c r="A5339" s="2714"/>
      <c r="B5339" s="371"/>
      <c r="C5339" s="371"/>
      <c r="D5339" s="2716"/>
      <c r="F5339" s="371"/>
      <c r="G5339" s="405"/>
      <c r="H5339" s="371" t="s">
        <v>4494</v>
      </c>
      <c r="I5339" s="371" t="s">
        <v>4495</v>
      </c>
      <c r="J5339" s="371" t="s">
        <v>4496</v>
      </c>
      <c r="K5339" s="547" t="s">
        <v>4497</v>
      </c>
      <c r="L5339" s="547" t="s">
        <v>4498</v>
      </c>
      <c r="M5339" s="433"/>
      <c r="N5339" s="428"/>
      <c r="O5339" s="428"/>
      <c r="P5339" s="433"/>
      <c r="Q5339" s="442"/>
      <c r="R5339" s="443"/>
      <c r="S5339" s="364"/>
      <c r="Z5339" s="609" t="s">
        <v>2105</v>
      </c>
      <c r="AA5339" s="609" t="s">
        <v>19</v>
      </c>
    </row>
    <row r="5340" spans="1:27" ht="18" customHeight="1" thickTop="1">
      <c r="A5340" s="2714"/>
      <c r="B5340" s="371"/>
      <c r="C5340" s="371"/>
      <c r="D5340" s="2716"/>
      <c r="E5340" s="2716" t="s">
        <v>2749</v>
      </c>
      <c r="F5340" s="293"/>
      <c r="G5340" s="3253" t="s">
        <v>47</v>
      </c>
      <c r="H5340" s="3344" t="str">
        <f>$V$3</f>
        <v>2018年12月31日</v>
      </c>
      <c r="I5340" s="3345"/>
      <c r="J5340" s="3345"/>
      <c r="K5340" s="3345"/>
      <c r="L5340" s="3345"/>
      <c r="M5340" s="355" t="s">
        <v>5348</v>
      </c>
      <c r="N5340" s="1536" t="s">
        <v>5543</v>
      </c>
      <c r="O5340" s="1536" t="s">
        <v>5542</v>
      </c>
      <c r="P5340" s="435"/>
      <c r="Q5340" s="442"/>
      <c r="R5340" s="443"/>
      <c r="S5340" s="364"/>
      <c r="Z5340" s="609" t="s">
        <v>2105</v>
      </c>
      <c r="AA5340" s="609" t="s">
        <v>19</v>
      </c>
    </row>
    <row r="5341" spans="1:27" ht="18">
      <c r="A5341" s="2714"/>
      <c r="B5341" s="371"/>
      <c r="C5341" s="371"/>
      <c r="D5341" s="2716"/>
      <c r="E5341" s="2716" t="s">
        <v>2749</v>
      </c>
      <c r="F5341" s="293"/>
      <c r="G5341" s="3292"/>
      <c r="H5341" s="2490" t="s">
        <v>4491</v>
      </c>
      <c r="I5341" s="2490" t="s">
        <v>4492</v>
      </c>
      <c r="J5341" s="2490" t="s">
        <v>2962</v>
      </c>
      <c r="K5341" s="2491" t="s">
        <v>2963</v>
      </c>
      <c r="L5341" s="2492" t="s">
        <v>3108</v>
      </c>
      <c r="M5341" s="435"/>
      <c r="N5341" s="1611"/>
      <c r="O5341" s="1611"/>
      <c r="P5341" s="435"/>
      <c r="Q5341" s="442"/>
      <c r="R5341" s="443"/>
      <c r="S5341" s="364"/>
      <c r="Z5341" s="609" t="s">
        <v>2105</v>
      </c>
      <c r="AA5341" s="609" t="s">
        <v>19</v>
      </c>
    </row>
    <row r="5342" spans="1:27" ht="18">
      <c r="A5342" s="2714"/>
      <c r="B5342" s="371">
        <v>101</v>
      </c>
      <c r="C5342" s="371"/>
      <c r="D5342" s="2716">
        <f t="shared" ref="D5342:D5352" si="568">IF(OR(G5342="*",G5342="",G5342=0),0,COUNTIF($G$5342:$G$5352,G5342))</f>
        <v>1</v>
      </c>
      <c r="E5342" s="2721">
        <v>1</v>
      </c>
      <c r="F5342" s="293"/>
      <c r="G5342" s="319" t="s">
        <v>454</v>
      </c>
      <c r="H5342" s="309"/>
      <c r="I5342" s="422"/>
      <c r="J5342" s="309"/>
      <c r="K5342" s="320"/>
      <c r="L5342" s="346"/>
      <c r="M5342" s="438"/>
      <c r="N5342" s="1588">
        <f ca="1">HYPERLINK("#'"&amp;$G$1&amp;"'!"&amp;ADDRESS(ROW(Notes!I3327),COLUMN(Notes!I3327),4),I3327)</f>
        <v>0</v>
      </c>
      <c r="O5342" s="1544">
        <f ca="1">N5342-SUM(H5342:L5342)</f>
        <v>0</v>
      </c>
      <c r="P5342" s="438"/>
      <c r="Q5342" s="442"/>
      <c r="R5342" s="443"/>
      <c r="S5342" s="364"/>
      <c r="Z5342" s="609" t="s">
        <v>2105</v>
      </c>
      <c r="AA5342" s="609" t="s">
        <v>19</v>
      </c>
    </row>
    <row r="5343" spans="1:27" ht="18">
      <c r="A5343" s="2714"/>
      <c r="B5343" s="371">
        <v>102</v>
      </c>
      <c r="C5343" s="371"/>
      <c r="D5343" s="2716">
        <f t="shared" si="568"/>
        <v>1</v>
      </c>
      <c r="E5343" s="2721">
        <v>1</v>
      </c>
      <c r="F5343" s="293"/>
      <c r="G5343" s="319" t="s">
        <v>471</v>
      </c>
      <c r="H5343" s="309"/>
      <c r="I5343" s="422"/>
      <c r="J5343" s="309"/>
      <c r="K5343" s="320"/>
      <c r="L5343" s="346"/>
      <c r="M5343" s="438"/>
      <c r="N5343" s="1588">
        <f ca="1">HYPERLINK("#'"&amp;$G$1&amp;"'!"&amp;ADDRESS(ROW(Notes!I3439),COLUMN(Notes!I3439),4),I3439)</f>
        <v>0</v>
      </c>
      <c r="O5343" s="1544">
        <f t="shared" ref="O5343:O5349" ca="1" si="569">N5343-SUM(H5343:L5343)</f>
        <v>0</v>
      </c>
      <c r="P5343" s="438"/>
      <c r="Q5343" s="442"/>
      <c r="R5343" s="443"/>
      <c r="S5343" s="364"/>
      <c r="Z5343" s="609" t="s">
        <v>2105</v>
      </c>
      <c r="AA5343" s="609" t="s">
        <v>19</v>
      </c>
    </row>
    <row r="5344" spans="1:27" ht="18">
      <c r="A5344" s="2714"/>
      <c r="B5344" s="371">
        <v>103</v>
      </c>
      <c r="C5344" s="371"/>
      <c r="D5344" s="2716">
        <f t="shared" si="568"/>
        <v>1</v>
      </c>
      <c r="E5344" s="2721">
        <v>1</v>
      </c>
      <c r="F5344" s="293"/>
      <c r="G5344" s="319" t="s">
        <v>476</v>
      </c>
      <c r="H5344" s="309"/>
      <c r="I5344" s="422"/>
      <c r="J5344" s="309"/>
      <c r="K5344" s="320"/>
      <c r="L5344" s="346"/>
      <c r="M5344" s="438"/>
      <c r="N5344" s="1588">
        <f ca="1">HYPERLINK("#'"&amp;$G$1&amp;"'!"&amp;ADDRESS(ROW(Notes!I3452),COLUMN(Notes!I3452),4),I3452)</f>
        <v>182031</v>
      </c>
      <c r="O5344" s="1544">
        <f t="shared" ca="1" si="569"/>
        <v>182031</v>
      </c>
      <c r="P5344" s="438"/>
      <c r="Q5344" s="442"/>
      <c r="R5344" s="443"/>
      <c r="S5344" s="364"/>
      <c r="Z5344" s="609" t="s">
        <v>2105</v>
      </c>
      <c r="AA5344" s="609" t="s">
        <v>19</v>
      </c>
    </row>
    <row r="5345" spans="1:27" ht="18">
      <c r="A5345" s="2714"/>
      <c r="B5345" s="371">
        <v>104</v>
      </c>
      <c r="C5345" s="371"/>
      <c r="D5345" s="2716">
        <f t="shared" si="568"/>
        <v>1</v>
      </c>
      <c r="E5345" s="2721">
        <v>1</v>
      </c>
      <c r="F5345" s="293"/>
      <c r="G5345" s="319" t="s">
        <v>499</v>
      </c>
      <c r="H5345" s="309"/>
      <c r="I5345" s="422"/>
      <c r="J5345" s="309"/>
      <c r="K5345" s="320"/>
      <c r="L5345" s="346"/>
      <c r="M5345" s="438"/>
      <c r="N5345" s="1588">
        <f ca="1">HYPERLINK("#'"&amp;$G$1&amp;"'!"&amp;ADDRESS(ROW(Notes!I3788),COLUMN(Notes!I3788),4),I3788)</f>
        <v>0</v>
      </c>
      <c r="O5345" s="1544">
        <f t="shared" ca="1" si="569"/>
        <v>0</v>
      </c>
      <c r="P5345" s="438"/>
      <c r="Q5345" s="442"/>
      <c r="R5345" s="443"/>
      <c r="S5345" s="364"/>
      <c r="Z5345" s="609" t="s">
        <v>2105</v>
      </c>
      <c r="AA5345" s="609" t="s">
        <v>19</v>
      </c>
    </row>
    <row r="5346" spans="1:27" ht="18">
      <c r="A5346" s="2714"/>
      <c r="B5346" s="371">
        <v>105</v>
      </c>
      <c r="C5346" s="371"/>
      <c r="D5346" s="2716">
        <f t="shared" si="568"/>
        <v>1</v>
      </c>
      <c r="E5346" s="2721">
        <v>1</v>
      </c>
      <c r="F5346" s="293"/>
      <c r="G5346" s="319" t="s">
        <v>513</v>
      </c>
      <c r="H5346" s="309"/>
      <c r="I5346" s="422"/>
      <c r="J5346" s="309"/>
      <c r="K5346" s="320"/>
      <c r="L5346" s="346"/>
      <c r="M5346" s="438"/>
      <c r="N5346" s="1588">
        <f ca="1">HYPERLINK("#'"&amp;$G$1&amp;"'!"&amp;ADDRESS(ROW(Notes!I3837),COLUMN(Notes!I3837),4),I3837)</f>
        <v>113852180.2</v>
      </c>
      <c r="O5346" s="1544">
        <f t="shared" ca="1" si="569"/>
        <v>113852180.2</v>
      </c>
      <c r="P5346" s="438"/>
      <c r="Q5346" s="442"/>
      <c r="R5346" s="443"/>
      <c r="S5346" s="364"/>
      <c r="Z5346" s="609" t="s">
        <v>2105</v>
      </c>
      <c r="AA5346" s="609" t="s">
        <v>19</v>
      </c>
    </row>
    <row r="5347" spans="1:27" ht="18">
      <c r="A5347" s="2714"/>
      <c r="B5347" s="371">
        <v>106</v>
      </c>
      <c r="C5347" s="371"/>
      <c r="D5347" s="2716">
        <f t="shared" si="568"/>
        <v>1</v>
      </c>
      <c r="E5347" s="2721">
        <v>1</v>
      </c>
      <c r="F5347" s="293"/>
      <c r="G5347" s="319" t="s">
        <v>546</v>
      </c>
      <c r="H5347" s="309"/>
      <c r="I5347" s="422"/>
      <c r="J5347" s="309"/>
      <c r="K5347" s="320"/>
      <c r="L5347" s="346"/>
      <c r="M5347" s="438"/>
      <c r="N5347" s="1588">
        <f ca="1">HYPERLINK("#'"&amp;$G$1&amp;"'!"&amp;ADDRESS(ROW(Notes!I4008),COLUMN(Notes!I4008),4),I4008)</f>
        <v>0</v>
      </c>
      <c r="O5347" s="1544">
        <f t="shared" ca="1" si="569"/>
        <v>0</v>
      </c>
      <c r="P5347" s="438"/>
      <c r="Q5347" s="442"/>
      <c r="R5347" s="443"/>
      <c r="S5347" s="364"/>
      <c r="Z5347" s="609" t="s">
        <v>2105</v>
      </c>
      <c r="AA5347" s="609" t="s">
        <v>19</v>
      </c>
    </row>
    <row r="5348" spans="1:27" ht="18">
      <c r="A5348" s="2714"/>
      <c r="B5348" s="371">
        <v>107</v>
      </c>
      <c r="C5348" s="371"/>
      <c r="D5348" s="2716">
        <f t="shared" si="568"/>
        <v>1</v>
      </c>
      <c r="E5348" s="2721">
        <v>1</v>
      </c>
      <c r="F5348" s="293"/>
      <c r="G5348" s="319" t="s">
        <v>550</v>
      </c>
      <c r="H5348" s="309"/>
      <c r="I5348" s="422"/>
      <c r="J5348" s="309"/>
      <c r="K5348" s="320"/>
      <c r="L5348" s="346"/>
      <c r="M5348" s="438"/>
      <c r="N5348" s="1588">
        <f ca="1">HYPERLINK("#'"&amp;$G$1&amp;"'!"&amp;ADDRESS(ROW(Notes!I4059),COLUMN(Notes!I4059),4),I4059)</f>
        <v>0</v>
      </c>
      <c r="O5348" s="1544">
        <f t="shared" ca="1" si="569"/>
        <v>0</v>
      </c>
      <c r="P5348" s="438"/>
      <c r="Q5348" s="442"/>
      <c r="R5348" s="443"/>
      <c r="S5348" s="364"/>
      <c r="Z5348" s="609" t="s">
        <v>2105</v>
      </c>
      <c r="AA5348" s="609" t="s">
        <v>19</v>
      </c>
    </row>
    <row r="5349" spans="1:27" ht="18">
      <c r="A5349" s="2714"/>
      <c r="B5349" s="371">
        <v>108</v>
      </c>
      <c r="C5349" s="371"/>
      <c r="D5349" s="2716">
        <f t="shared" si="568"/>
        <v>1</v>
      </c>
      <c r="E5349" s="2721">
        <v>1</v>
      </c>
      <c r="F5349" s="293"/>
      <c r="G5349" s="319" t="s">
        <v>554</v>
      </c>
      <c r="H5349" s="309"/>
      <c r="I5349" s="422"/>
      <c r="J5349" s="309"/>
      <c r="K5349" s="320"/>
      <c r="L5349" s="346"/>
      <c r="M5349" s="438"/>
      <c r="N5349" s="1588">
        <f ca="1">HYPERLINK("#'"&amp;$G$1&amp;"'!"&amp;ADDRESS(ROW(Notes!I4127),COLUMN(Notes!I4127),4),I4127)</f>
        <v>0</v>
      </c>
      <c r="O5349" s="1544">
        <f t="shared" ca="1" si="569"/>
        <v>0</v>
      </c>
      <c r="P5349" s="438"/>
      <c r="Q5349" s="442"/>
      <c r="R5349" s="443"/>
      <c r="S5349" s="364"/>
      <c r="Z5349" s="609" t="s">
        <v>2105</v>
      </c>
      <c r="AA5349" s="609" t="s">
        <v>19</v>
      </c>
    </row>
    <row r="5350" spans="1:27" ht="18">
      <c r="A5350" s="2714"/>
      <c r="B5350" s="371">
        <v>109</v>
      </c>
      <c r="C5350" s="371" t="s">
        <v>2791</v>
      </c>
      <c r="D5350" s="2716">
        <f t="shared" si="568"/>
        <v>0</v>
      </c>
      <c r="E5350" s="2721">
        <v>1</v>
      </c>
      <c r="F5350" s="293"/>
      <c r="G5350" s="319" t="s">
        <v>2792</v>
      </c>
      <c r="H5350" s="309"/>
      <c r="I5350" s="422"/>
      <c r="J5350" s="309"/>
      <c r="K5350" s="320"/>
      <c r="L5350" s="346"/>
      <c r="M5350" s="438"/>
      <c r="O5350" s="1544"/>
      <c r="P5350" s="438"/>
      <c r="Q5350" s="442"/>
      <c r="R5350" s="443"/>
      <c r="S5350" s="364"/>
      <c r="Z5350" s="609" t="s">
        <v>2105</v>
      </c>
      <c r="AA5350" s="609" t="s">
        <v>19</v>
      </c>
    </row>
    <row r="5351" spans="1:27" ht="18">
      <c r="A5351" s="2714"/>
      <c r="B5351" s="371">
        <v>110</v>
      </c>
      <c r="C5351" s="371" t="s">
        <v>2791</v>
      </c>
      <c r="D5351" s="2716">
        <f t="shared" si="568"/>
        <v>0</v>
      </c>
      <c r="E5351" s="2721">
        <v>1</v>
      </c>
      <c r="F5351" s="293"/>
      <c r="G5351" s="319" t="s">
        <v>2792</v>
      </c>
      <c r="H5351" s="309"/>
      <c r="I5351" s="422"/>
      <c r="J5351" s="309"/>
      <c r="K5351" s="320"/>
      <c r="L5351" s="346"/>
      <c r="M5351" s="438"/>
      <c r="O5351" s="1544"/>
      <c r="P5351" s="438"/>
      <c r="Q5351" s="442"/>
      <c r="R5351" s="443"/>
      <c r="S5351" s="364"/>
      <c r="Z5351" s="609" t="s">
        <v>2105</v>
      </c>
      <c r="AA5351" s="609" t="s">
        <v>19</v>
      </c>
    </row>
    <row r="5352" spans="1:27" ht="18.75" thickBot="1">
      <c r="A5352" s="2714"/>
      <c r="B5352" s="371"/>
      <c r="C5352" s="371"/>
      <c r="D5352" s="2716">
        <f t="shared" si="568"/>
        <v>1</v>
      </c>
      <c r="E5352" s="2721" t="s">
        <v>2751</v>
      </c>
      <c r="F5352" s="293"/>
      <c r="G5352" s="2234" t="s">
        <v>2752</v>
      </c>
      <c r="H5352" s="2325">
        <f>SUMPRODUCT($E5341:$E5351,H5341:H5351)</f>
        <v>0</v>
      </c>
      <c r="I5352" s="2325">
        <f>SUMPRODUCT($E5341:$E5351,I5341:I5351)</f>
        <v>0</v>
      </c>
      <c r="J5352" s="2325">
        <f>SUMPRODUCT($E5341:$E5351,J5341:J5351)</f>
        <v>0</v>
      </c>
      <c r="K5352" s="2325">
        <f>SUMPRODUCT($E5341:$E5351,K5341:K5351)</f>
        <v>0</v>
      </c>
      <c r="L5352" s="2342">
        <f>SUMPRODUCT($E5341:$E5351,L5341:L5351)</f>
        <v>0</v>
      </c>
      <c r="M5352" s="440"/>
      <c r="O5352" s="1557">
        <f ca="1">SUM(O5342:O5351)</f>
        <v>114034211.2</v>
      </c>
      <c r="P5352" s="440"/>
      <c r="Q5352" s="442"/>
      <c r="R5352" s="443"/>
      <c r="S5352" s="364"/>
      <c r="Z5352" s="609" t="s">
        <v>2105</v>
      </c>
      <c r="AA5352" s="609" t="s">
        <v>19</v>
      </c>
    </row>
    <row r="5353" spans="1:27" ht="18">
      <c r="A5353" s="2714"/>
      <c r="B5353" s="371"/>
      <c r="C5353" s="371" t="s">
        <v>2755</v>
      </c>
      <c r="D5353" s="2716"/>
      <c r="F5353" s="293"/>
      <c r="G5353" s="376"/>
      <c r="H5353" s="315"/>
      <c r="I5353" s="396"/>
      <c r="J5353" s="315"/>
      <c r="K5353" s="423"/>
      <c r="L5353" s="315"/>
      <c r="M5353" s="425"/>
      <c r="N5353" s="1585" t="s">
        <v>5495</v>
      </c>
      <c r="O5353" s="427"/>
      <c r="P5353" s="425"/>
      <c r="Q5353" s="442"/>
      <c r="R5353" s="443"/>
      <c r="S5353" s="364"/>
      <c r="Z5353" s="609" t="s">
        <v>2105</v>
      </c>
      <c r="AA5353" s="609" t="s">
        <v>19</v>
      </c>
    </row>
    <row r="5354" spans="1:27" ht="24">
      <c r="A5354" s="2714" t="s">
        <v>2115</v>
      </c>
      <c r="B5354" s="371">
        <v>3</v>
      </c>
      <c r="C5354" s="371"/>
      <c r="D5354" s="2716" t="str">
        <f>VLOOKUP($A5354,Sheet_NoteList,2,0)</f>
        <v>本期末金融资产的到期期限分析</v>
      </c>
      <c r="E5354" s="2716" t="s">
        <v>2742</v>
      </c>
      <c r="F5354" s="293"/>
      <c r="G5354" s="372" t="str">
        <f>"("&amp;B5354&amp;")"&amp;D5354</f>
        <v>(3)本期末金融资产的到期期限分析</v>
      </c>
      <c r="H5354" s="1517" t="str">
        <f>$A5354</f>
        <v>9325i</v>
      </c>
      <c r="I5354" s="343" t="s">
        <v>2743</v>
      </c>
      <c r="J5354" s="301" t="s">
        <v>2744</v>
      </c>
      <c r="K5354" s="2210">
        <f>H5368</f>
        <v>0</v>
      </c>
      <c r="L5354" s="349"/>
      <c r="M5354" s="301" t="s">
        <v>2745</v>
      </c>
      <c r="N5354" s="2210">
        <f>I5368</f>
        <v>0</v>
      </c>
      <c r="O5354" s="349"/>
      <c r="P5354" s="301"/>
      <c r="S5354" s="364"/>
      <c r="Z5354" s="609" t="s">
        <v>2105</v>
      </c>
      <c r="AA5354" s="609" t="s">
        <v>19</v>
      </c>
    </row>
    <row r="5355" spans="1:27" ht="0.75" customHeight="1">
      <c r="A5355" s="2714"/>
      <c r="B5355" s="371"/>
      <c r="C5355" s="371"/>
      <c r="D5355" s="2716"/>
      <c r="F5355" s="371"/>
      <c r="G5355" s="405" t="s">
        <v>4499</v>
      </c>
      <c r="H5355" s="371" t="s">
        <v>2747</v>
      </c>
      <c r="I5355" s="371" t="s">
        <v>2748</v>
      </c>
      <c r="J5355" s="371" t="s">
        <v>2948</v>
      </c>
      <c r="K5355" s="547" t="s">
        <v>3034</v>
      </c>
      <c r="L5355" s="547" t="s">
        <v>3035</v>
      </c>
      <c r="M5355" s="371" t="s">
        <v>3036</v>
      </c>
      <c r="N5355" s="428"/>
      <c r="O5355" s="428"/>
      <c r="P5355" s="433"/>
      <c r="Q5355" s="442"/>
      <c r="R5355" s="443"/>
      <c r="S5355" s="364"/>
      <c r="Z5355" s="609" t="s">
        <v>2105</v>
      </c>
      <c r="AA5355" s="609" t="s">
        <v>19</v>
      </c>
    </row>
    <row r="5356" spans="1:27" ht="0.75" customHeight="1" thickBot="1">
      <c r="A5356" s="2714"/>
      <c r="B5356" s="371"/>
      <c r="C5356" s="371"/>
      <c r="D5356" s="2716"/>
      <c r="F5356" s="371"/>
      <c r="G5356" s="405"/>
      <c r="H5356" s="371" t="s">
        <v>4500</v>
      </c>
      <c r="I5356" s="371" t="s">
        <v>4501</v>
      </c>
      <c r="J5356" s="371" t="s">
        <v>4502</v>
      </c>
      <c r="K5356" s="547" t="s">
        <v>4503</v>
      </c>
      <c r="L5356" s="547" t="s">
        <v>4504</v>
      </c>
      <c r="M5356" s="371" t="s">
        <v>4505</v>
      </c>
      <c r="N5356" s="428"/>
      <c r="O5356" s="428"/>
      <c r="P5356" s="433"/>
      <c r="Q5356" s="442"/>
      <c r="R5356" s="443"/>
      <c r="S5356" s="364"/>
      <c r="Z5356" s="609" t="s">
        <v>2105</v>
      </c>
      <c r="AA5356" s="609" t="s">
        <v>19</v>
      </c>
    </row>
    <row r="5357" spans="1:27" ht="18" customHeight="1" thickTop="1">
      <c r="A5357" s="2714"/>
      <c r="B5357" s="371"/>
      <c r="C5357" s="371"/>
      <c r="D5357" s="2716"/>
      <c r="E5357" s="2716" t="s">
        <v>2749</v>
      </c>
      <c r="F5357" s="293"/>
      <c r="G5357" s="3253" t="s">
        <v>47</v>
      </c>
      <c r="H5357" s="3344" t="str">
        <f>$V$2</f>
        <v>2019年12月31日</v>
      </c>
      <c r="I5357" s="3345"/>
      <c r="J5357" s="3345"/>
      <c r="K5357" s="3345"/>
      <c r="L5357" s="3345"/>
      <c r="M5357" s="3345"/>
      <c r="N5357" s="355" t="s">
        <v>5348</v>
      </c>
      <c r="O5357" s="1536" t="s">
        <v>5541</v>
      </c>
      <c r="P5357" s="1536" t="s">
        <v>5542</v>
      </c>
      <c r="Q5357" s="442"/>
      <c r="R5357" s="443"/>
      <c r="S5357" s="364"/>
      <c r="Z5357" s="609" t="s">
        <v>2105</v>
      </c>
      <c r="AA5357" s="609" t="s">
        <v>19</v>
      </c>
    </row>
    <row r="5358" spans="1:27" ht="18">
      <c r="A5358" s="2714"/>
      <c r="B5358" s="371"/>
      <c r="C5358" s="371"/>
      <c r="D5358" s="2716"/>
      <c r="E5358" s="2716" t="s">
        <v>2749</v>
      </c>
      <c r="F5358" s="293"/>
      <c r="G5358" s="3292"/>
      <c r="H5358" s="2490" t="s">
        <v>4506</v>
      </c>
      <c r="I5358" s="2490" t="s">
        <v>4507</v>
      </c>
      <c r="J5358" s="2490" t="s">
        <v>4508</v>
      </c>
      <c r="K5358" s="2491" t="s">
        <v>4509</v>
      </c>
      <c r="L5358" s="2491" t="s">
        <v>2944</v>
      </c>
      <c r="M5358" s="2493" t="s">
        <v>3351</v>
      </c>
      <c r="N5358" s="434"/>
      <c r="O5358" s="1611"/>
      <c r="P5358" s="1611"/>
      <c r="Q5358" s="442"/>
      <c r="R5358" s="443"/>
      <c r="S5358" s="364"/>
      <c r="Z5358" s="609" t="s">
        <v>2105</v>
      </c>
      <c r="AA5358" s="609" t="s">
        <v>19</v>
      </c>
    </row>
    <row r="5359" spans="1:27" ht="18">
      <c r="A5359" s="2714"/>
      <c r="B5359" s="371">
        <v>101</v>
      </c>
      <c r="C5359" s="371"/>
      <c r="D5359" s="2716">
        <f t="shared" ref="D5359:D5368" si="570">IF(OR(G5359="*",G5359="",G5359=0),0,COUNTIF($G$5359:$G$5368,G5359))</f>
        <v>1</v>
      </c>
      <c r="E5359" s="2721">
        <v>1</v>
      </c>
      <c r="F5359" s="293"/>
      <c r="G5359" s="319" t="s">
        <v>10</v>
      </c>
      <c r="H5359" s="309"/>
      <c r="I5359" s="422"/>
      <c r="J5359" s="309"/>
      <c r="K5359" s="320"/>
      <c r="L5359" s="309"/>
      <c r="M5359" s="346"/>
      <c r="N5359" s="439"/>
      <c r="O5359" s="1588">
        <f ca="1">HYPERLINK("#'"&amp;$G$1&amp;"'!"&amp;ADDRESS(ROW(Notes!H17),COLUMN(Notes!H17),4),H17)</f>
        <v>4299668.37</v>
      </c>
      <c r="P5359" s="1544">
        <f ca="1">O5359-M5359</f>
        <v>4299668.37</v>
      </c>
      <c r="Q5359" s="442"/>
      <c r="R5359" s="443"/>
      <c r="S5359" s="364"/>
      <c r="Z5359" s="609" t="s">
        <v>2105</v>
      </c>
      <c r="AA5359" s="609" t="s">
        <v>19</v>
      </c>
    </row>
    <row r="5360" spans="1:27" ht="18">
      <c r="A5360" s="2714"/>
      <c r="B5360" s="371">
        <v>102</v>
      </c>
      <c r="C5360" s="371"/>
      <c r="D5360" s="2716">
        <f t="shared" si="570"/>
        <v>1</v>
      </c>
      <c r="E5360" s="2721">
        <v>1</v>
      </c>
      <c r="F5360" s="293"/>
      <c r="G5360" s="319" t="s">
        <v>109</v>
      </c>
      <c r="H5360" s="309"/>
      <c r="I5360" s="422"/>
      <c r="J5360" s="309"/>
      <c r="K5360" s="320"/>
      <c r="L5360" s="309"/>
      <c r="M5360" s="346"/>
      <c r="N5360" s="439"/>
      <c r="O5360" s="1588">
        <f ca="1">HYPERLINK("#'"&amp;$G$1&amp;"'!"&amp;ADDRESS(ROW(Notes!J128),COLUMN(Notes!J128),4),J128)</f>
        <v>0</v>
      </c>
      <c r="P5360" s="1544">
        <f t="shared" ref="P5360:P5366" ca="1" si="571">O5360-M5360</f>
        <v>0</v>
      </c>
      <c r="Q5360" s="442"/>
      <c r="R5360" s="443"/>
      <c r="S5360" s="364"/>
      <c r="Z5360" s="609" t="s">
        <v>2105</v>
      </c>
      <c r="AA5360" s="609" t="s">
        <v>19</v>
      </c>
    </row>
    <row r="5361" spans="1:27" ht="18">
      <c r="A5361" s="2714"/>
      <c r="B5361" s="371">
        <v>103</v>
      </c>
      <c r="C5361" s="371"/>
      <c r="D5361" s="2716">
        <f t="shared" si="570"/>
        <v>1</v>
      </c>
      <c r="E5361" s="2721">
        <v>1</v>
      </c>
      <c r="F5361" s="293"/>
      <c r="G5361" s="319" t="s">
        <v>124</v>
      </c>
      <c r="H5361" s="309"/>
      <c r="I5361" s="422"/>
      <c r="J5361" s="309"/>
      <c r="K5361" s="320"/>
      <c r="L5361" s="309"/>
      <c r="M5361" s="346"/>
      <c r="N5361" s="439"/>
      <c r="O5361" s="1588">
        <f ca="1">HYPERLINK("#'"&amp;$G$1&amp;"'!"&amp;ADDRESS(ROW(Notes!H332),COLUMN(Notes!H332),4),H332)</f>
        <v>1200000</v>
      </c>
      <c r="P5361" s="1544">
        <f t="shared" ca="1" si="571"/>
        <v>1200000</v>
      </c>
      <c r="Q5361" s="442"/>
      <c r="R5361" s="443"/>
      <c r="S5361" s="364"/>
      <c r="Z5361" s="609" t="s">
        <v>2105</v>
      </c>
      <c r="AA5361" s="609" t="s">
        <v>19</v>
      </c>
    </row>
    <row r="5362" spans="1:27" ht="18">
      <c r="A5362" s="2714"/>
      <c r="B5362" s="371">
        <v>104</v>
      </c>
      <c r="C5362" s="371"/>
      <c r="D5362" s="2716">
        <f t="shared" si="570"/>
        <v>1</v>
      </c>
      <c r="E5362" s="2721">
        <v>1</v>
      </c>
      <c r="F5362" s="293"/>
      <c r="G5362" s="319" t="s">
        <v>201</v>
      </c>
      <c r="H5362" s="309"/>
      <c r="I5362" s="422"/>
      <c r="J5362" s="309"/>
      <c r="K5362" s="320"/>
      <c r="L5362" s="309"/>
      <c r="M5362" s="346"/>
      <c r="N5362" s="439"/>
      <c r="O5362" s="1588">
        <f ca="1">HYPERLINK("#'"&amp;$G$1&amp;"'!"&amp;ADDRESS(ROW(Notes!H1004),COLUMN(Notes!H1004),4),H1004)</f>
        <v>50300000</v>
      </c>
      <c r="P5362" s="1544">
        <f t="shared" ca="1" si="571"/>
        <v>50300000</v>
      </c>
      <c r="Q5362" s="442"/>
      <c r="R5362" s="443"/>
      <c r="S5362" s="364"/>
      <c r="Z5362" s="609" t="s">
        <v>2105</v>
      </c>
      <c r="AA5362" s="609" t="s">
        <v>19</v>
      </c>
    </row>
    <row r="5363" spans="1:27" ht="18">
      <c r="A5363" s="2714"/>
      <c r="B5363" s="371">
        <v>105</v>
      </c>
      <c r="C5363" s="371"/>
      <c r="D5363" s="2716">
        <f t="shared" si="570"/>
        <v>1</v>
      </c>
      <c r="E5363" s="2721">
        <v>1</v>
      </c>
      <c r="F5363" s="293"/>
      <c r="G5363" s="319" t="s">
        <v>317</v>
      </c>
      <c r="H5363" s="309"/>
      <c r="I5363" s="422"/>
      <c r="J5363" s="309"/>
      <c r="K5363" s="320"/>
      <c r="L5363" s="309"/>
      <c r="M5363" s="346"/>
      <c r="N5363" s="439"/>
      <c r="O5363" s="1588">
        <f ca="1">HYPERLINK("#'"&amp;$G$1&amp;"'!"&amp;ADDRESS(ROW(Notes!J2216),COLUMN(Notes!J2216),4),J2216)</f>
        <v>0</v>
      </c>
      <c r="P5363" s="1544">
        <f t="shared" ca="1" si="571"/>
        <v>0</v>
      </c>
      <c r="Q5363" s="442"/>
      <c r="R5363" s="443"/>
      <c r="S5363" s="364"/>
      <c r="Z5363" s="609" t="s">
        <v>2105</v>
      </c>
      <c r="AA5363" s="609" t="s">
        <v>19</v>
      </c>
    </row>
    <row r="5364" spans="1:27" ht="18">
      <c r="A5364" s="2714"/>
      <c r="B5364" s="371">
        <v>106</v>
      </c>
      <c r="C5364" s="371"/>
      <c r="D5364" s="2716">
        <f t="shared" si="570"/>
        <v>1</v>
      </c>
      <c r="E5364" s="2721">
        <v>1</v>
      </c>
      <c r="F5364" s="293"/>
      <c r="G5364" s="319" t="s">
        <v>247</v>
      </c>
      <c r="H5364" s="309"/>
      <c r="I5364" s="422"/>
      <c r="J5364" s="309"/>
      <c r="K5364" s="320"/>
      <c r="L5364" s="309"/>
      <c r="M5364" s="346"/>
      <c r="N5364" s="439"/>
      <c r="O5364" s="1588">
        <f ca="1">HYPERLINK("#'"&amp;$G$1&amp;"'!"&amp;ADDRESS(ROW(Notes!H1820),COLUMN(Notes!H1820),4),H1820)</f>
        <v>0</v>
      </c>
      <c r="P5364" s="1544">
        <f t="shared" ca="1" si="571"/>
        <v>0</v>
      </c>
      <c r="Q5364" s="442"/>
      <c r="R5364" s="443"/>
      <c r="S5364" s="364"/>
      <c r="Z5364" s="609" t="s">
        <v>2105</v>
      </c>
      <c r="AA5364" s="609" t="s">
        <v>19</v>
      </c>
    </row>
    <row r="5365" spans="1:27" ht="18">
      <c r="A5365" s="2714"/>
      <c r="B5365" s="371">
        <v>107</v>
      </c>
      <c r="C5365" s="371"/>
      <c r="D5365" s="2716">
        <f t="shared" si="570"/>
        <v>1</v>
      </c>
      <c r="E5365" s="2721">
        <v>1</v>
      </c>
      <c r="F5365" s="293"/>
      <c r="G5365" s="319" t="s">
        <v>237</v>
      </c>
      <c r="H5365" s="309"/>
      <c r="I5365" s="422"/>
      <c r="J5365" s="309"/>
      <c r="K5365" s="320"/>
      <c r="L5365" s="309"/>
      <c r="M5365" s="346"/>
      <c r="N5365" s="439"/>
      <c r="O5365" s="1588">
        <f ca="1">HYPERLINK("#'"&amp;$G$1&amp;"'!"&amp;ADDRESS(ROW(Notes!H1797),COLUMN(Notes!H1797),4),H1797)</f>
        <v>0</v>
      </c>
      <c r="P5365" s="1544">
        <f t="shared" ca="1" si="571"/>
        <v>0</v>
      </c>
      <c r="Q5365" s="442"/>
      <c r="R5365" s="443"/>
      <c r="S5365" s="364"/>
      <c r="Z5365" s="609" t="s">
        <v>2105</v>
      </c>
      <c r="AA5365" s="609" t="s">
        <v>19</v>
      </c>
    </row>
    <row r="5366" spans="1:27" ht="18">
      <c r="A5366" s="2714"/>
      <c r="B5366" s="371">
        <v>108</v>
      </c>
      <c r="C5366" s="371"/>
      <c r="D5366" s="2716">
        <f t="shared" si="570"/>
        <v>1</v>
      </c>
      <c r="E5366" s="2721">
        <v>1</v>
      </c>
      <c r="F5366" s="293"/>
      <c r="G5366" s="319" t="s">
        <v>429</v>
      </c>
      <c r="H5366" s="309"/>
      <c r="I5366" s="422"/>
      <c r="J5366" s="309"/>
      <c r="K5366" s="320"/>
      <c r="L5366" s="309"/>
      <c r="M5366" s="346"/>
      <c r="N5366" s="439"/>
      <c r="O5366" s="1588">
        <f ca="1">HYPERLINK("#'"&amp;$G$1&amp;"'!"&amp;ADDRESS(ROW(Notes!H3316),COLUMN(Notes!H3316),4),H3316)</f>
        <v>0</v>
      </c>
      <c r="P5366" s="1544">
        <f t="shared" ca="1" si="571"/>
        <v>0</v>
      </c>
      <c r="Q5366" s="442"/>
      <c r="R5366" s="443"/>
      <c r="S5366" s="364"/>
      <c r="Z5366" s="609" t="s">
        <v>2105</v>
      </c>
      <c r="AA5366" s="609" t="s">
        <v>19</v>
      </c>
    </row>
    <row r="5367" spans="1:27" ht="18">
      <c r="A5367" s="2714"/>
      <c r="B5367" s="371">
        <v>109</v>
      </c>
      <c r="C5367" s="371" t="s">
        <v>2791</v>
      </c>
      <c r="D5367" s="2716">
        <f t="shared" si="570"/>
        <v>0</v>
      </c>
      <c r="E5367" s="2721">
        <v>1</v>
      </c>
      <c r="F5367" s="293"/>
      <c r="G5367" s="319" t="s">
        <v>2792</v>
      </c>
      <c r="H5367" s="309"/>
      <c r="I5367" s="422"/>
      <c r="J5367" s="309"/>
      <c r="K5367" s="320"/>
      <c r="L5367" s="309"/>
      <c r="M5367" s="346"/>
      <c r="N5367" s="439"/>
      <c r="P5367" s="1544"/>
      <c r="Q5367" s="442"/>
      <c r="R5367" s="443"/>
      <c r="S5367" s="364"/>
      <c r="Z5367" s="609" t="s">
        <v>2105</v>
      </c>
      <c r="AA5367" s="609" t="s">
        <v>19</v>
      </c>
    </row>
    <row r="5368" spans="1:27" ht="18.75" thickBot="1">
      <c r="A5368" s="2714"/>
      <c r="B5368" s="371"/>
      <c r="C5368" s="371"/>
      <c r="D5368" s="2716">
        <f t="shared" si="570"/>
        <v>1</v>
      </c>
      <c r="E5368" s="2721" t="s">
        <v>2751</v>
      </c>
      <c r="F5368" s="293"/>
      <c r="G5368" s="2234" t="s">
        <v>2752</v>
      </c>
      <c r="H5368" s="2325">
        <f t="shared" ref="H5368:M5368" si="572">SUMPRODUCT($E5358:$E5367,H5358:H5367)</f>
        <v>0</v>
      </c>
      <c r="I5368" s="2325">
        <f t="shared" si="572"/>
        <v>0</v>
      </c>
      <c r="J5368" s="2325">
        <f t="shared" si="572"/>
        <v>0</v>
      </c>
      <c r="K5368" s="2325">
        <f t="shared" si="572"/>
        <v>0</v>
      </c>
      <c r="L5368" s="2325">
        <f t="shared" si="572"/>
        <v>0</v>
      </c>
      <c r="M5368" s="2342">
        <f t="shared" si="572"/>
        <v>0</v>
      </c>
      <c r="N5368" s="439"/>
      <c r="P5368" s="1557">
        <f ca="1">SUM(P5359:P5367)</f>
        <v>55799668.369999997</v>
      </c>
      <c r="Q5368" s="442"/>
      <c r="R5368" s="443"/>
      <c r="S5368" s="364"/>
      <c r="Z5368" s="609" t="s">
        <v>2105</v>
      </c>
      <c r="AA5368" s="609" t="s">
        <v>19</v>
      </c>
    </row>
    <row r="5369" spans="1:27" ht="18">
      <c r="A5369" s="2714"/>
      <c r="B5369" s="371"/>
      <c r="C5369" s="371" t="s">
        <v>2755</v>
      </c>
      <c r="D5369" s="2716"/>
      <c r="F5369" s="293"/>
      <c r="G5369" s="376"/>
      <c r="H5369" s="315"/>
      <c r="I5369" s="396"/>
      <c r="J5369" s="315"/>
      <c r="K5369" s="423"/>
      <c r="L5369" s="315"/>
      <c r="M5369" s="315"/>
      <c r="N5369" s="426"/>
      <c r="O5369" s="1585" t="s">
        <v>5495</v>
      </c>
      <c r="P5369" s="425"/>
      <c r="Q5369" s="442"/>
      <c r="R5369" s="443"/>
      <c r="S5369" s="364"/>
      <c r="Z5369" s="609" t="s">
        <v>2105</v>
      </c>
      <c r="AA5369" s="609" t="s">
        <v>19</v>
      </c>
    </row>
    <row r="5370" spans="1:27" ht="24">
      <c r="A5370" s="2714" t="s">
        <v>2117</v>
      </c>
      <c r="B5370" s="371">
        <v>4</v>
      </c>
      <c r="C5370" s="371"/>
      <c r="D5370" s="2716" t="str">
        <f>VLOOKUP($A5370,Sheet_NoteList,2,0)</f>
        <v>上期末金融资产的到期期限分析</v>
      </c>
      <c r="E5370" s="2716" t="s">
        <v>2742</v>
      </c>
      <c r="F5370" s="293"/>
      <c r="G5370" s="372" t="str">
        <f>"("&amp;B5370&amp;")"&amp;D5370</f>
        <v>(4)上期末金融资产的到期期限分析</v>
      </c>
      <c r="H5370" s="1517" t="str">
        <f>$A5370</f>
        <v>9325j</v>
      </c>
      <c r="I5370" s="343" t="s">
        <v>2743</v>
      </c>
      <c r="J5370" s="301" t="s">
        <v>2744</v>
      </c>
      <c r="K5370" s="2210">
        <f>H5384</f>
        <v>0</v>
      </c>
      <c r="L5370" s="349"/>
      <c r="M5370" s="301" t="s">
        <v>2745</v>
      </c>
      <c r="N5370" s="2210">
        <f>I5384</f>
        <v>0</v>
      </c>
      <c r="O5370" s="349"/>
      <c r="P5370" s="301"/>
      <c r="S5370" s="364"/>
      <c r="Z5370" s="609" t="s">
        <v>2105</v>
      </c>
      <c r="AA5370" s="609" t="s">
        <v>19</v>
      </c>
    </row>
    <row r="5371" spans="1:27" ht="0.75" customHeight="1">
      <c r="A5371" s="2714"/>
      <c r="B5371" s="371"/>
      <c r="C5371" s="371"/>
      <c r="D5371" s="2716"/>
      <c r="F5371" s="371"/>
      <c r="G5371" s="405" t="s">
        <v>4510</v>
      </c>
      <c r="H5371" s="371" t="s">
        <v>2747</v>
      </c>
      <c r="I5371" s="371" t="s">
        <v>2748</v>
      </c>
      <c r="J5371" s="371" t="s">
        <v>2948</v>
      </c>
      <c r="K5371" s="547" t="s">
        <v>3034</v>
      </c>
      <c r="L5371" s="547" t="s">
        <v>3035</v>
      </c>
      <c r="M5371" s="371" t="s">
        <v>3036</v>
      </c>
      <c r="N5371" s="428"/>
      <c r="O5371" s="428"/>
      <c r="P5371" s="433"/>
      <c r="Q5371" s="442"/>
      <c r="R5371" s="443"/>
      <c r="S5371" s="364"/>
      <c r="Z5371" s="609" t="s">
        <v>2105</v>
      </c>
      <c r="AA5371" s="609" t="s">
        <v>19</v>
      </c>
    </row>
    <row r="5372" spans="1:27" ht="0.75" customHeight="1" thickBot="1">
      <c r="A5372" s="2714"/>
      <c r="B5372" s="371"/>
      <c r="C5372" s="371"/>
      <c r="D5372" s="2716"/>
      <c r="F5372" s="371"/>
      <c r="G5372" s="405"/>
      <c r="H5372" s="371" t="s">
        <v>4511</v>
      </c>
      <c r="I5372" s="371" t="s">
        <v>4512</v>
      </c>
      <c r="J5372" s="371" t="s">
        <v>4513</v>
      </c>
      <c r="K5372" s="547" t="s">
        <v>4514</v>
      </c>
      <c r="L5372" s="547" t="s">
        <v>4515</v>
      </c>
      <c r="M5372" s="371" t="s">
        <v>4516</v>
      </c>
      <c r="N5372" s="428"/>
      <c r="O5372" s="428"/>
      <c r="P5372" s="433"/>
      <c r="Q5372" s="442"/>
      <c r="R5372" s="443"/>
      <c r="S5372" s="364"/>
      <c r="Z5372" s="609" t="s">
        <v>2105</v>
      </c>
      <c r="AA5372" s="609" t="s">
        <v>19</v>
      </c>
    </row>
    <row r="5373" spans="1:27" ht="18" customHeight="1" thickTop="1">
      <c r="A5373" s="2714"/>
      <c r="B5373" s="371"/>
      <c r="C5373" s="371"/>
      <c r="D5373" s="2716"/>
      <c r="E5373" s="2716" t="s">
        <v>2749</v>
      </c>
      <c r="F5373" s="293"/>
      <c r="G5373" s="3253" t="s">
        <v>47</v>
      </c>
      <c r="H5373" s="3344" t="str">
        <f>$V$3</f>
        <v>2018年12月31日</v>
      </c>
      <c r="I5373" s="3345"/>
      <c r="J5373" s="3345"/>
      <c r="K5373" s="3345"/>
      <c r="L5373" s="3345"/>
      <c r="M5373" s="3345"/>
      <c r="N5373" s="355" t="s">
        <v>5348</v>
      </c>
      <c r="O5373" s="1536" t="s">
        <v>5543</v>
      </c>
      <c r="P5373" s="1536" t="s">
        <v>5542</v>
      </c>
      <c r="Q5373" s="442"/>
      <c r="R5373" s="443"/>
      <c r="S5373" s="364"/>
      <c r="Z5373" s="609" t="s">
        <v>2105</v>
      </c>
      <c r="AA5373" s="609" t="s">
        <v>19</v>
      </c>
    </row>
    <row r="5374" spans="1:27" ht="18">
      <c r="A5374" s="2714"/>
      <c r="B5374" s="371"/>
      <c r="C5374" s="371"/>
      <c r="D5374" s="2716"/>
      <c r="E5374" s="2716" t="s">
        <v>2749</v>
      </c>
      <c r="F5374" s="293"/>
      <c r="G5374" s="3292"/>
      <c r="H5374" s="2490" t="s">
        <v>4506</v>
      </c>
      <c r="I5374" s="2490" t="s">
        <v>4507</v>
      </c>
      <c r="J5374" s="2490" t="s">
        <v>4508</v>
      </c>
      <c r="K5374" s="2491" t="s">
        <v>4509</v>
      </c>
      <c r="L5374" s="2491" t="s">
        <v>2944</v>
      </c>
      <c r="M5374" s="2493" t="s">
        <v>3351</v>
      </c>
      <c r="N5374" s="434"/>
      <c r="O5374" s="1611"/>
      <c r="P5374" s="1611"/>
      <c r="Q5374" s="442"/>
      <c r="R5374" s="443"/>
      <c r="S5374" s="364"/>
      <c r="Z5374" s="609" t="s">
        <v>2105</v>
      </c>
      <c r="AA5374" s="609" t="s">
        <v>19</v>
      </c>
    </row>
    <row r="5375" spans="1:27" ht="18">
      <c r="A5375" s="2714"/>
      <c r="B5375" s="371">
        <v>101</v>
      </c>
      <c r="C5375" s="371"/>
      <c r="D5375" s="2716">
        <f t="shared" ref="D5375:D5384" si="573">IF(OR(G5375="*",G5375="",G5375=0),0,COUNTIF($G$5375:$G$5384,G5375))</f>
        <v>1</v>
      </c>
      <c r="E5375" s="2721">
        <v>1</v>
      </c>
      <c r="F5375" s="293"/>
      <c r="G5375" s="319" t="s">
        <v>10</v>
      </c>
      <c r="H5375" s="309"/>
      <c r="I5375" s="422"/>
      <c r="J5375" s="309"/>
      <c r="K5375" s="320"/>
      <c r="L5375" s="309"/>
      <c r="M5375" s="346"/>
      <c r="N5375" s="439"/>
      <c r="O5375" s="1588">
        <f ca="1">HYPERLINK("#'"&amp;$G$1&amp;"'!"&amp;ADDRESS(ROW(Notes!I17),COLUMN(Notes!I17),4),I17)</f>
        <v>91308.84</v>
      </c>
      <c r="P5375" s="1544">
        <f ca="1">O5375-M5375</f>
        <v>91308.84</v>
      </c>
      <c r="Q5375" s="442"/>
      <c r="R5375" s="443"/>
      <c r="S5375" s="364"/>
      <c r="Z5375" s="609" t="s">
        <v>2105</v>
      </c>
      <c r="AA5375" s="609" t="s">
        <v>19</v>
      </c>
    </row>
    <row r="5376" spans="1:27" ht="18">
      <c r="A5376" s="2714"/>
      <c r="B5376" s="371">
        <v>102</v>
      </c>
      <c r="C5376" s="371"/>
      <c r="D5376" s="2716">
        <f t="shared" si="573"/>
        <v>1</v>
      </c>
      <c r="E5376" s="2721">
        <v>1</v>
      </c>
      <c r="F5376" s="293"/>
      <c r="G5376" s="319" t="s">
        <v>109</v>
      </c>
      <c r="H5376" s="309"/>
      <c r="I5376" s="422"/>
      <c r="J5376" s="309"/>
      <c r="K5376" s="320"/>
      <c r="L5376" s="309"/>
      <c r="M5376" s="346"/>
      <c r="N5376" s="439"/>
      <c r="O5376" s="1588">
        <f ca="1">HYPERLINK("#'"&amp;$G$1&amp;"'!"&amp;ADDRESS(ROW(Notes!M128),COLUMN(Notes!M128),4),M128)</f>
        <v>0</v>
      </c>
      <c r="P5376" s="1544">
        <f t="shared" ref="P5376:P5382" ca="1" si="574">O5376-M5376</f>
        <v>0</v>
      </c>
      <c r="Q5376" s="442"/>
      <c r="R5376" s="443"/>
      <c r="S5376" s="364"/>
      <c r="Z5376" s="609" t="s">
        <v>2105</v>
      </c>
      <c r="AA5376" s="609" t="s">
        <v>19</v>
      </c>
    </row>
    <row r="5377" spans="1:27" ht="18">
      <c r="A5377" s="2714"/>
      <c r="B5377" s="371">
        <v>103</v>
      </c>
      <c r="C5377" s="371"/>
      <c r="D5377" s="2716">
        <f t="shared" si="573"/>
        <v>1</v>
      </c>
      <c r="E5377" s="2721">
        <v>1</v>
      </c>
      <c r="F5377" s="293"/>
      <c r="G5377" s="319" t="s">
        <v>124</v>
      </c>
      <c r="H5377" s="309"/>
      <c r="I5377" s="422"/>
      <c r="J5377" s="309"/>
      <c r="K5377" s="320"/>
      <c r="L5377" s="309"/>
      <c r="M5377" s="346"/>
      <c r="N5377" s="439"/>
      <c r="O5377" s="1588">
        <f ca="1">HYPERLINK("#'"&amp;$G$1&amp;"'!"&amp;ADDRESS(ROW(Notes!I332),COLUMN(Notes!I332),4),I332)</f>
        <v>0</v>
      </c>
      <c r="P5377" s="1544">
        <f t="shared" ca="1" si="574"/>
        <v>0</v>
      </c>
      <c r="Q5377" s="442"/>
      <c r="R5377" s="443"/>
      <c r="S5377" s="364"/>
      <c r="Z5377" s="609" t="s">
        <v>2105</v>
      </c>
      <c r="AA5377" s="609" t="s">
        <v>19</v>
      </c>
    </row>
    <row r="5378" spans="1:27" ht="18">
      <c r="A5378" s="2714"/>
      <c r="B5378" s="371">
        <v>104</v>
      </c>
      <c r="C5378" s="371"/>
      <c r="D5378" s="2716">
        <f t="shared" si="573"/>
        <v>1</v>
      </c>
      <c r="E5378" s="2721">
        <v>1</v>
      </c>
      <c r="F5378" s="293"/>
      <c r="G5378" s="319" t="s">
        <v>201</v>
      </c>
      <c r="H5378" s="309"/>
      <c r="I5378" s="422"/>
      <c r="J5378" s="309"/>
      <c r="K5378" s="320"/>
      <c r="L5378" s="309"/>
      <c r="M5378" s="346"/>
      <c r="N5378" s="439"/>
      <c r="O5378" s="1588">
        <f ca="1">HYPERLINK("#'"&amp;$G$1&amp;"'!"&amp;ADDRESS(ROW(Notes!I1004),COLUMN(Notes!I1004),4),I1004)</f>
        <v>35000000</v>
      </c>
      <c r="P5378" s="1544">
        <f t="shared" ca="1" si="574"/>
        <v>35000000</v>
      </c>
      <c r="Q5378" s="442"/>
      <c r="R5378" s="443"/>
      <c r="S5378" s="364"/>
      <c r="Z5378" s="609" t="s">
        <v>2105</v>
      </c>
      <c r="AA5378" s="609" t="s">
        <v>19</v>
      </c>
    </row>
    <row r="5379" spans="1:27" ht="18">
      <c r="A5379" s="2714"/>
      <c r="B5379" s="371">
        <v>105</v>
      </c>
      <c r="C5379" s="371"/>
      <c r="D5379" s="2716">
        <f t="shared" si="573"/>
        <v>1</v>
      </c>
      <c r="E5379" s="2721">
        <v>1</v>
      </c>
      <c r="F5379" s="293"/>
      <c r="G5379" s="319" t="s">
        <v>317</v>
      </c>
      <c r="H5379" s="309"/>
      <c r="I5379" s="422"/>
      <c r="J5379" s="309"/>
      <c r="K5379" s="320"/>
      <c r="L5379" s="309"/>
      <c r="M5379" s="346"/>
      <c r="N5379" s="439"/>
      <c r="O5379" s="1588">
        <f ca="1">HYPERLINK("#'"&amp;$G$1&amp;"'!"&amp;ADDRESS(ROW(Notes!M2216),COLUMN(Notes!M2216),4),M2216)</f>
        <v>0</v>
      </c>
      <c r="P5379" s="1544">
        <f t="shared" ca="1" si="574"/>
        <v>0</v>
      </c>
      <c r="Q5379" s="442"/>
      <c r="R5379" s="443"/>
      <c r="S5379" s="364"/>
      <c r="Z5379" s="609" t="s">
        <v>2105</v>
      </c>
      <c r="AA5379" s="609" t="s">
        <v>19</v>
      </c>
    </row>
    <row r="5380" spans="1:27" ht="18">
      <c r="A5380" s="2714"/>
      <c r="B5380" s="371">
        <v>106</v>
      </c>
      <c r="C5380" s="371"/>
      <c r="D5380" s="2716">
        <f t="shared" si="573"/>
        <v>1</v>
      </c>
      <c r="E5380" s="2721">
        <v>1</v>
      </c>
      <c r="F5380" s="293"/>
      <c r="G5380" s="319" t="s">
        <v>247</v>
      </c>
      <c r="H5380" s="309"/>
      <c r="I5380" s="422"/>
      <c r="J5380" s="309"/>
      <c r="K5380" s="320"/>
      <c r="L5380" s="309"/>
      <c r="M5380" s="346"/>
      <c r="N5380" s="439"/>
      <c r="O5380" s="1588">
        <f ca="1">HYPERLINK("#'"&amp;$G$1&amp;"'!"&amp;ADDRESS(ROW(Notes!I1820),COLUMN(Notes!I1820),4),I1820)</f>
        <v>2966551.07</v>
      </c>
      <c r="P5380" s="1544">
        <f t="shared" ca="1" si="574"/>
        <v>2966551.07</v>
      </c>
      <c r="Q5380" s="442"/>
      <c r="R5380" s="443"/>
      <c r="S5380" s="364"/>
      <c r="Z5380" s="609" t="s">
        <v>2105</v>
      </c>
      <c r="AA5380" s="609" t="s">
        <v>19</v>
      </c>
    </row>
    <row r="5381" spans="1:27" ht="18">
      <c r="A5381" s="2714"/>
      <c r="B5381" s="371">
        <v>107</v>
      </c>
      <c r="C5381" s="371"/>
      <c r="D5381" s="2716">
        <f t="shared" si="573"/>
        <v>1</v>
      </c>
      <c r="E5381" s="2721">
        <v>1</v>
      </c>
      <c r="F5381" s="293"/>
      <c r="G5381" s="319" t="s">
        <v>237</v>
      </c>
      <c r="H5381" s="309"/>
      <c r="I5381" s="422"/>
      <c r="J5381" s="309"/>
      <c r="K5381" s="320"/>
      <c r="L5381" s="309"/>
      <c r="M5381" s="346"/>
      <c r="N5381" s="439"/>
      <c r="O5381" s="1588">
        <f ca="1">HYPERLINK("#'"&amp;$G$1&amp;"'!"&amp;ADDRESS(ROW(Notes!I1797),COLUMN(Notes!I1797),4),I1797)</f>
        <v>0</v>
      </c>
      <c r="P5381" s="1544">
        <f t="shared" ca="1" si="574"/>
        <v>0</v>
      </c>
      <c r="Q5381" s="442"/>
      <c r="R5381" s="443"/>
      <c r="S5381" s="364"/>
      <c r="Z5381" s="609" t="s">
        <v>2105</v>
      </c>
      <c r="AA5381" s="609" t="s">
        <v>19</v>
      </c>
    </row>
    <row r="5382" spans="1:27" ht="18">
      <c r="A5382" s="2714"/>
      <c r="B5382" s="371">
        <v>108</v>
      </c>
      <c r="C5382" s="371"/>
      <c r="D5382" s="2716">
        <f t="shared" si="573"/>
        <v>1</v>
      </c>
      <c r="E5382" s="2721">
        <v>1</v>
      </c>
      <c r="F5382" s="293"/>
      <c r="G5382" s="319" t="s">
        <v>429</v>
      </c>
      <c r="H5382" s="309"/>
      <c r="I5382" s="422"/>
      <c r="J5382" s="309"/>
      <c r="K5382" s="320"/>
      <c r="L5382" s="309"/>
      <c r="M5382" s="346"/>
      <c r="N5382" s="439"/>
      <c r="O5382" s="1588">
        <f ca="1">HYPERLINK("#'"&amp;$G$1&amp;"'!"&amp;ADDRESS(ROW(Notes!I3316),COLUMN(Notes!I3316),4),I3316)</f>
        <v>0</v>
      </c>
      <c r="P5382" s="1544">
        <f t="shared" ca="1" si="574"/>
        <v>0</v>
      </c>
      <c r="Q5382" s="442"/>
      <c r="R5382" s="443"/>
      <c r="S5382" s="364"/>
      <c r="Z5382" s="609" t="s">
        <v>2105</v>
      </c>
      <c r="AA5382" s="609" t="s">
        <v>19</v>
      </c>
    </row>
    <row r="5383" spans="1:27" ht="18">
      <c r="A5383" s="2714"/>
      <c r="B5383" s="371">
        <v>109</v>
      </c>
      <c r="C5383" s="371" t="s">
        <v>2791</v>
      </c>
      <c r="D5383" s="2716">
        <f t="shared" si="573"/>
        <v>0</v>
      </c>
      <c r="E5383" s="2721">
        <v>1</v>
      </c>
      <c r="F5383" s="293"/>
      <c r="G5383" s="319" t="s">
        <v>2792</v>
      </c>
      <c r="H5383" s="309"/>
      <c r="I5383" s="422"/>
      <c r="J5383" s="309"/>
      <c r="K5383" s="320"/>
      <c r="L5383" s="309"/>
      <c r="M5383" s="346"/>
      <c r="N5383" s="439"/>
      <c r="P5383" s="1544"/>
      <c r="Q5383" s="442"/>
      <c r="R5383" s="443"/>
      <c r="S5383" s="364"/>
      <c r="Z5383" s="609" t="s">
        <v>2105</v>
      </c>
      <c r="AA5383" s="609" t="s">
        <v>19</v>
      </c>
    </row>
    <row r="5384" spans="1:27" ht="18.75" thickBot="1">
      <c r="A5384" s="2714"/>
      <c r="B5384" s="371"/>
      <c r="C5384" s="371"/>
      <c r="D5384" s="2716">
        <f t="shared" si="573"/>
        <v>1</v>
      </c>
      <c r="E5384" s="2721" t="s">
        <v>2751</v>
      </c>
      <c r="F5384" s="293"/>
      <c r="G5384" s="2234" t="s">
        <v>2752</v>
      </c>
      <c r="H5384" s="2325">
        <f t="shared" ref="H5384:M5384" si="575">SUMPRODUCT($E5374:$E5383,H5374:H5383)</f>
        <v>0</v>
      </c>
      <c r="I5384" s="2325">
        <f t="shared" si="575"/>
        <v>0</v>
      </c>
      <c r="J5384" s="2325">
        <f t="shared" si="575"/>
        <v>0</v>
      </c>
      <c r="K5384" s="2325">
        <f t="shared" si="575"/>
        <v>0</v>
      </c>
      <c r="L5384" s="2325">
        <f t="shared" si="575"/>
        <v>0</v>
      </c>
      <c r="M5384" s="2342">
        <f t="shared" si="575"/>
        <v>0</v>
      </c>
      <c r="N5384" s="439"/>
      <c r="P5384" s="1557">
        <f ca="1">SUM(P5375:P5383)</f>
        <v>38057859.909999996</v>
      </c>
      <c r="Q5384" s="442"/>
      <c r="R5384" s="443"/>
      <c r="S5384" s="364"/>
      <c r="Z5384" s="609" t="s">
        <v>2105</v>
      </c>
      <c r="AA5384" s="609" t="s">
        <v>19</v>
      </c>
    </row>
    <row r="5385" spans="1:27" ht="18">
      <c r="A5385" s="2714"/>
      <c r="B5385" s="371"/>
      <c r="C5385" s="371" t="s">
        <v>2755</v>
      </c>
      <c r="D5385" s="2716"/>
      <c r="F5385" s="293"/>
      <c r="G5385" s="376"/>
      <c r="H5385" s="315"/>
      <c r="I5385" s="396"/>
      <c r="J5385" s="315"/>
      <c r="K5385" s="423"/>
      <c r="L5385" s="315"/>
      <c r="M5385" s="315"/>
      <c r="N5385" s="426"/>
      <c r="O5385" s="1585" t="s">
        <v>5495</v>
      </c>
      <c r="P5385" s="425"/>
      <c r="Q5385" s="442"/>
      <c r="R5385" s="443"/>
      <c r="S5385" s="364"/>
      <c r="Z5385" s="609" t="s">
        <v>2105</v>
      </c>
      <c r="AA5385" s="609" t="s">
        <v>19</v>
      </c>
    </row>
    <row r="5386" spans="1:27" ht="24">
      <c r="A5386" s="2714" t="s">
        <v>2120</v>
      </c>
      <c r="B5386" s="371">
        <v>5</v>
      </c>
      <c r="C5386" s="371"/>
      <c r="D5386" s="2716" t="str">
        <f>VLOOKUP($A5386,Sheet_NoteList,2,0)</f>
        <v>本期末各外币资产负债项目的主要外汇风险敞口</v>
      </c>
      <c r="E5386" s="2716" t="s">
        <v>2742</v>
      </c>
      <c r="F5386" s="293"/>
      <c r="G5386" s="372" t="str">
        <f>"("&amp;B5386&amp;")"&amp;D5386</f>
        <v>(5)本期末各外币资产负债项目的主要外汇风险敞口</v>
      </c>
      <c r="H5386" s="1517" t="str">
        <f>$A5386</f>
        <v>9325k</v>
      </c>
      <c r="I5386" s="343" t="s">
        <v>2743</v>
      </c>
      <c r="J5386" s="301" t="s">
        <v>2744</v>
      </c>
      <c r="K5386" s="2210">
        <f>H5418</f>
        <v>0</v>
      </c>
      <c r="L5386" s="349"/>
      <c r="M5386" s="301" t="s">
        <v>2745</v>
      </c>
      <c r="N5386" s="2210">
        <f>I5418</f>
        <v>0</v>
      </c>
      <c r="O5386" s="349"/>
      <c r="P5386" s="301"/>
      <c r="S5386" s="364"/>
      <c r="Z5386" s="609" t="s">
        <v>2105</v>
      </c>
      <c r="AA5386" s="609" t="s">
        <v>19</v>
      </c>
    </row>
    <row r="5387" spans="1:27" ht="0.75" customHeight="1">
      <c r="A5387" s="2714"/>
      <c r="B5387" s="371"/>
      <c r="C5387" s="371"/>
      <c r="D5387" s="2716"/>
      <c r="F5387" s="371"/>
      <c r="G5387" s="405" t="s">
        <v>4517</v>
      </c>
      <c r="H5387" s="371" t="s">
        <v>5388</v>
      </c>
      <c r="I5387" s="371" t="s">
        <v>5530</v>
      </c>
      <c r="J5387" s="612" t="s">
        <v>5531</v>
      </c>
      <c r="K5387" s="1604"/>
      <c r="L5387" s="1604"/>
      <c r="M5387" s="1604"/>
      <c r="N5387" s="1604"/>
      <c r="O5387" s="1604"/>
      <c r="P5387" s="1604"/>
      <c r="Q5387" s="1604"/>
      <c r="R5387" s="1604"/>
      <c r="S5387" s="364"/>
      <c r="Z5387" s="609" t="s">
        <v>2105</v>
      </c>
      <c r="AA5387" s="609" t="s">
        <v>19</v>
      </c>
    </row>
    <row r="5388" spans="1:27" ht="0.75" customHeight="1" thickBot="1">
      <c r="A5388" s="2714"/>
      <c r="B5388" s="371"/>
      <c r="C5388" s="371"/>
      <c r="D5388" s="2716"/>
      <c r="F5388" s="371"/>
      <c r="G5388" s="405"/>
      <c r="H5388" s="371" t="s">
        <v>5462</v>
      </c>
      <c r="I5388" s="371" t="s">
        <v>5528</v>
      </c>
      <c r="J5388" s="612" t="s">
        <v>5529</v>
      </c>
      <c r="K5388" s="1604"/>
      <c r="L5388" s="1604"/>
      <c r="M5388" s="1604"/>
      <c r="N5388" s="1604"/>
      <c r="O5388" s="1604"/>
      <c r="P5388" s="1604"/>
      <c r="Q5388" s="1604"/>
      <c r="R5388" s="1604"/>
      <c r="S5388" s="364"/>
      <c r="Z5388" s="609" t="s">
        <v>2105</v>
      </c>
      <c r="AA5388" s="609" t="s">
        <v>19</v>
      </c>
    </row>
    <row r="5389" spans="1:27" ht="18" customHeight="1">
      <c r="A5389" s="2714"/>
      <c r="B5389" s="371"/>
      <c r="C5389" s="371"/>
      <c r="D5389" s="2716"/>
      <c r="E5389" s="2716" t="s">
        <v>2749</v>
      </c>
      <c r="F5389" s="293"/>
      <c r="G5389" s="3253" t="s">
        <v>47</v>
      </c>
      <c r="H5389" s="3252" t="str">
        <f>$W$2&amp;"余额"</f>
        <v>2019年12月31日余额</v>
      </c>
      <c r="I5389" s="3348"/>
      <c r="J5389" s="3348"/>
      <c r="K5389" s="355" t="s">
        <v>5348</v>
      </c>
      <c r="L5389" s="1604"/>
      <c r="M5389" s="1604"/>
      <c r="N5389" s="1604"/>
      <c r="O5389" s="1604"/>
      <c r="P5389" s="1604"/>
      <c r="Q5389" s="1604"/>
      <c r="R5389" s="1604"/>
      <c r="S5389" s="364"/>
      <c r="Z5389" s="609" t="s">
        <v>2105</v>
      </c>
      <c r="AA5389" s="609" t="s">
        <v>19</v>
      </c>
    </row>
    <row r="5390" spans="1:27" ht="18">
      <c r="A5390" s="2714"/>
      <c r="B5390" s="371"/>
      <c r="C5390" s="371"/>
      <c r="D5390" s="2716"/>
      <c r="E5390" s="2716" t="s">
        <v>2749</v>
      </c>
      <c r="F5390" s="293"/>
      <c r="G5390" s="3292"/>
      <c r="H5390" s="2463" t="s">
        <v>4518</v>
      </c>
      <c r="I5390" s="2463" t="s">
        <v>2459</v>
      </c>
      <c r="J5390" s="1603" t="s">
        <v>5525</v>
      </c>
      <c r="K5390" s="355" t="s">
        <v>5532</v>
      </c>
      <c r="L5390" s="1604"/>
      <c r="M5390" s="1604"/>
      <c r="N5390" s="1604"/>
      <c r="O5390" s="1604"/>
      <c r="P5390" s="1604"/>
      <c r="Q5390" s="1604"/>
      <c r="R5390" s="1604"/>
      <c r="S5390" s="364"/>
      <c r="Z5390" s="609" t="s">
        <v>2105</v>
      </c>
      <c r="AA5390" s="609" t="s">
        <v>19</v>
      </c>
    </row>
    <row r="5391" spans="1:27" ht="18">
      <c r="A5391" s="2714"/>
      <c r="B5391" s="371">
        <v>101</v>
      </c>
      <c r="C5391" s="371"/>
      <c r="D5391" s="2716">
        <f t="shared" ref="D5391:D5418" si="576">IF(OR(G5391="*",G5391="",G5391=0),0,COUNTIF($G$5391:$G$5418,G5391))</f>
        <v>1</v>
      </c>
      <c r="E5391" s="2721" t="s">
        <v>41</v>
      </c>
      <c r="F5391" s="293"/>
      <c r="G5391" s="308" t="s">
        <v>10</v>
      </c>
      <c r="H5391" s="309"/>
      <c r="I5391" s="422"/>
      <c r="J5391" s="388"/>
      <c r="K5391" s="1604"/>
      <c r="L5391" s="1604"/>
      <c r="M5391" s="1604"/>
      <c r="N5391" s="1604"/>
      <c r="O5391" s="1604"/>
      <c r="P5391" s="1604"/>
      <c r="Q5391" s="1604"/>
      <c r="R5391" s="1604"/>
      <c r="S5391" s="364"/>
      <c r="Z5391" s="609" t="s">
        <v>2105</v>
      </c>
      <c r="AA5391" s="609" t="s">
        <v>19</v>
      </c>
    </row>
    <row r="5392" spans="1:27" ht="18">
      <c r="A5392" s="2714"/>
      <c r="B5392" s="371">
        <v>102</v>
      </c>
      <c r="C5392" s="371" t="s">
        <v>2791</v>
      </c>
      <c r="D5392" s="2716">
        <f t="shared" si="576"/>
        <v>1</v>
      </c>
      <c r="E5392" s="2721">
        <v>1</v>
      </c>
      <c r="F5392" s="293"/>
      <c r="G5392" s="1591" t="str">
        <f>"其中："&amp;G5391&amp;"（美元）"</f>
        <v>其中：货币资金（美元）</v>
      </c>
      <c r="H5392" s="309"/>
      <c r="I5392" s="422"/>
      <c r="J5392" s="388"/>
      <c r="K5392" s="1604"/>
      <c r="L5392" s="1604"/>
      <c r="M5392" s="1604"/>
      <c r="N5392" s="1604"/>
      <c r="O5392" s="1604"/>
      <c r="P5392" s="1604"/>
      <c r="Q5392" s="1604"/>
      <c r="R5392" s="1604"/>
      <c r="S5392" s="364"/>
      <c r="Z5392" s="609" t="s">
        <v>2105</v>
      </c>
      <c r="AA5392" s="609" t="s">
        <v>19</v>
      </c>
    </row>
    <row r="5393" spans="1:27" ht="18">
      <c r="A5393" s="2714"/>
      <c r="B5393" s="371">
        <v>103</v>
      </c>
      <c r="C5393" s="371" t="s">
        <v>2791</v>
      </c>
      <c r="D5393" s="2716">
        <f t="shared" si="576"/>
        <v>1</v>
      </c>
      <c r="E5393" s="2721">
        <v>1</v>
      </c>
      <c r="F5393" s="293"/>
      <c r="G5393" s="1591" t="str">
        <f>G5391&amp;"（欧元）"</f>
        <v>货币资金（欧元）</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104</v>
      </c>
      <c r="C5394" s="371" t="s">
        <v>2791</v>
      </c>
      <c r="D5394" s="2716">
        <f t="shared" si="576"/>
        <v>1</v>
      </c>
      <c r="E5394" s="2721">
        <v>1</v>
      </c>
      <c r="F5394" s="293"/>
      <c r="G5394" s="1591" t="str">
        <f>G5391&amp;"（港币）"</f>
        <v>货币资金（港币）</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105</v>
      </c>
      <c r="C5395" s="371" t="s">
        <v>2791</v>
      </c>
      <c r="D5395" s="2716">
        <f t="shared" si="576"/>
        <v>0</v>
      </c>
      <c r="E5395" s="2721">
        <v>1</v>
      </c>
      <c r="F5395" s="293"/>
      <c r="G5395" s="1504" t="s">
        <v>2792</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106</v>
      </c>
      <c r="C5396" s="371"/>
      <c r="D5396" s="2716">
        <f t="shared" si="576"/>
        <v>1</v>
      </c>
      <c r="E5396" s="2721" t="s">
        <v>41</v>
      </c>
      <c r="F5396" s="293"/>
      <c r="G5396" s="308" t="s">
        <v>124</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107</v>
      </c>
      <c r="C5397" s="371" t="s">
        <v>2791</v>
      </c>
      <c r="D5397" s="2716">
        <f t="shared" si="576"/>
        <v>1</v>
      </c>
      <c r="E5397" s="2721">
        <v>1</v>
      </c>
      <c r="F5397" s="293"/>
      <c r="G5397" s="1591" t="str">
        <f>"其中："&amp;G5396&amp;"（美元）"</f>
        <v>其中：应收账款（美元）</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108</v>
      </c>
      <c r="C5398" s="371" t="s">
        <v>2791</v>
      </c>
      <c r="D5398" s="2716">
        <f t="shared" si="576"/>
        <v>1</v>
      </c>
      <c r="E5398" s="2721">
        <v>1</v>
      </c>
      <c r="F5398" s="293"/>
      <c r="G5398" s="1591" t="str">
        <f>G5396&amp;"（欧元）"</f>
        <v>应收账款（欧元）</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109</v>
      </c>
      <c r="C5399" s="371" t="s">
        <v>2791</v>
      </c>
      <c r="D5399" s="2716">
        <f t="shared" si="576"/>
        <v>1</v>
      </c>
      <c r="E5399" s="2721">
        <v>1</v>
      </c>
      <c r="F5399" s="293"/>
      <c r="G5399" s="1591" t="str">
        <f>G5396&amp;"（港币）"</f>
        <v>应收账款（港币）</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110</v>
      </c>
      <c r="C5400" s="371" t="s">
        <v>2791</v>
      </c>
      <c r="D5400" s="2716">
        <f t="shared" si="576"/>
        <v>0</v>
      </c>
      <c r="E5400" s="2721">
        <v>1</v>
      </c>
      <c r="F5400" s="293"/>
      <c r="G5400" s="1504" t="s">
        <v>2792</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111</v>
      </c>
      <c r="C5401" s="371"/>
      <c r="D5401" s="2716">
        <f t="shared" si="576"/>
        <v>1</v>
      </c>
      <c r="E5401" s="2721" t="s">
        <v>41</v>
      </c>
      <c r="F5401" s="293"/>
      <c r="G5401" s="308" t="s">
        <v>201</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112</v>
      </c>
      <c r="C5402" s="371" t="s">
        <v>2791</v>
      </c>
      <c r="D5402" s="2716">
        <f t="shared" si="576"/>
        <v>1</v>
      </c>
      <c r="E5402" s="2721">
        <v>1</v>
      </c>
      <c r="F5402" s="293"/>
      <c r="G5402" s="1591" t="str">
        <f>"其中："&amp;G5401&amp;"（美元）"</f>
        <v>其中：其他应收款（美元）</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113</v>
      </c>
      <c r="C5403" s="371" t="s">
        <v>2791</v>
      </c>
      <c r="D5403" s="2716">
        <f t="shared" si="576"/>
        <v>1</v>
      </c>
      <c r="E5403" s="2721">
        <v>1</v>
      </c>
      <c r="F5403" s="293"/>
      <c r="G5403" s="1591" t="str">
        <f>G5401&amp;"（欧元）"</f>
        <v>其他应收款（欧元）</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114</v>
      </c>
      <c r="C5404" s="371" t="s">
        <v>2791</v>
      </c>
      <c r="D5404" s="2716">
        <f t="shared" si="576"/>
        <v>1</v>
      </c>
      <c r="E5404" s="2721">
        <v>1</v>
      </c>
      <c r="F5404" s="293"/>
      <c r="G5404" s="1591" t="str">
        <f>G5401&amp;"（港币）"</f>
        <v>其他应收款（港币）</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115</v>
      </c>
      <c r="C5405" s="371" t="s">
        <v>2791</v>
      </c>
      <c r="D5405" s="2716">
        <f t="shared" si="576"/>
        <v>0</v>
      </c>
      <c r="E5405" s="2721">
        <v>1</v>
      </c>
      <c r="F5405" s="293"/>
      <c r="G5405" s="1504" t="s">
        <v>2792</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116</v>
      </c>
      <c r="C5406" s="371"/>
      <c r="D5406" s="2716">
        <f t="shared" si="576"/>
        <v>1</v>
      </c>
      <c r="E5406" s="2721" t="s">
        <v>41</v>
      </c>
      <c r="F5406" s="293"/>
      <c r="G5406" s="308" t="s">
        <v>546</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117</v>
      </c>
      <c r="C5407" s="371" t="s">
        <v>2791</v>
      </c>
      <c r="D5407" s="2716">
        <f t="shared" si="576"/>
        <v>1</v>
      </c>
      <c r="E5407" s="2721">
        <v>1</v>
      </c>
      <c r="F5407" s="293"/>
      <c r="G5407" s="1591" t="str">
        <f>"其中："&amp;G5406&amp;"（美元）"</f>
        <v>其中：长期借款（美元）</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118</v>
      </c>
      <c r="C5408" s="371" t="s">
        <v>2791</v>
      </c>
      <c r="D5408" s="2716">
        <f t="shared" si="576"/>
        <v>1</v>
      </c>
      <c r="E5408" s="2721">
        <v>1</v>
      </c>
      <c r="F5408" s="293"/>
      <c r="G5408" s="1591" t="str">
        <f>G5406&amp;"（欧元）"</f>
        <v>长期借款（欧元）</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119</v>
      </c>
      <c r="C5409" s="371" t="s">
        <v>2791</v>
      </c>
      <c r="D5409" s="2716">
        <f t="shared" si="576"/>
        <v>1</v>
      </c>
      <c r="E5409" s="2721">
        <v>1</v>
      </c>
      <c r="F5409" s="293"/>
      <c r="G5409" s="1591" t="str">
        <f>G5406&amp;"（港币）"</f>
        <v>长期借款（港币）</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120</v>
      </c>
      <c r="C5410" s="371" t="s">
        <v>2791</v>
      </c>
      <c r="D5410" s="2716">
        <f t="shared" si="576"/>
        <v>0</v>
      </c>
      <c r="E5410" s="2721">
        <v>1</v>
      </c>
      <c r="F5410" s="293"/>
      <c r="G5410" s="1504" t="s">
        <v>2792</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121</v>
      </c>
      <c r="C5411" s="371"/>
      <c r="D5411" s="2716">
        <f t="shared" si="576"/>
        <v>1</v>
      </c>
      <c r="E5411" s="2721" t="s">
        <v>41</v>
      </c>
      <c r="F5411" s="293"/>
      <c r="G5411" s="308" t="s">
        <v>550</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122</v>
      </c>
      <c r="C5412" s="371" t="s">
        <v>2791</v>
      </c>
      <c r="D5412" s="2716">
        <f t="shared" si="576"/>
        <v>1</v>
      </c>
      <c r="E5412" s="2721">
        <v>1</v>
      </c>
      <c r="F5412" s="293"/>
      <c r="G5412" s="1591" t="str">
        <f>"其中："&amp;G5411&amp;"（美元）"</f>
        <v>其中：应付债券（美元）</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123</v>
      </c>
      <c r="C5413" s="371" t="s">
        <v>2791</v>
      </c>
      <c r="D5413" s="2716">
        <f t="shared" si="576"/>
        <v>1</v>
      </c>
      <c r="E5413" s="2721">
        <v>1</v>
      </c>
      <c r="F5413" s="293"/>
      <c r="G5413" s="1591" t="str">
        <f>G5411&amp;"（欧元）"</f>
        <v>应付债券（欧元）</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124</v>
      </c>
      <c r="C5414" s="371" t="s">
        <v>2791</v>
      </c>
      <c r="D5414" s="2716">
        <f t="shared" si="576"/>
        <v>1</v>
      </c>
      <c r="E5414" s="2721">
        <v>1</v>
      </c>
      <c r="F5414" s="293"/>
      <c r="G5414" s="1591" t="str">
        <f>G5411&amp;"（港币）"</f>
        <v>应付债券（港币）</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125</v>
      </c>
      <c r="C5415" s="371" t="s">
        <v>2791</v>
      </c>
      <c r="D5415" s="2716">
        <f t="shared" si="576"/>
        <v>0</v>
      </c>
      <c r="E5415" s="2721">
        <v>1</v>
      </c>
      <c r="F5415" s="293"/>
      <c r="G5415" s="1504" t="s">
        <v>2792</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126</v>
      </c>
      <c r="C5416" s="371" t="s">
        <v>2791</v>
      </c>
      <c r="D5416" s="2716">
        <f t="shared" si="576"/>
        <v>0</v>
      </c>
      <c r="E5416" s="2721">
        <v>1</v>
      </c>
      <c r="F5416" s="293"/>
      <c r="G5416" s="1591" t="s">
        <v>2792</v>
      </c>
      <c r="H5416" s="309"/>
      <c r="I5416" s="422"/>
      <c r="J5416" s="388"/>
      <c r="K5416" s="1604"/>
      <c r="L5416" s="1604"/>
      <c r="M5416" s="1604"/>
      <c r="N5416" s="1604"/>
      <c r="O5416" s="1604"/>
      <c r="P5416" s="1604"/>
      <c r="Q5416" s="1604"/>
      <c r="R5416" s="1604"/>
      <c r="S5416" s="364"/>
      <c r="Z5416" s="609" t="s">
        <v>2105</v>
      </c>
      <c r="AA5416" s="609" t="s">
        <v>19</v>
      </c>
    </row>
    <row r="5417" spans="1:27" ht="18">
      <c r="A5417" s="2714"/>
      <c r="B5417" s="371">
        <v>127</v>
      </c>
      <c r="C5417" s="371" t="s">
        <v>6532</v>
      </c>
      <c r="D5417" s="2716">
        <f t="shared" si="576"/>
        <v>0</v>
      </c>
      <c r="E5417" s="2721">
        <v>1</v>
      </c>
      <c r="F5417" s="293"/>
      <c r="G5417" s="1591" t="s">
        <v>5146</v>
      </c>
      <c r="H5417" s="309"/>
      <c r="I5417" s="422"/>
      <c r="J5417" s="388"/>
      <c r="K5417" s="1604"/>
      <c r="L5417" s="1604"/>
      <c r="M5417" s="1604"/>
      <c r="N5417" s="1604"/>
      <c r="O5417" s="1604"/>
      <c r="P5417" s="1604"/>
      <c r="Q5417" s="1604"/>
      <c r="R5417" s="1604"/>
      <c r="S5417" s="364"/>
      <c r="Z5417" s="609" t="s">
        <v>2105</v>
      </c>
      <c r="AA5417" s="609" t="s">
        <v>19</v>
      </c>
    </row>
    <row r="5418" spans="1:27" ht="18.75" thickBot="1">
      <c r="A5418" s="2714"/>
      <c r="B5418" s="371"/>
      <c r="C5418" s="371"/>
      <c r="D5418" s="2716">
        <f t="shared" si="576"/>
        <v>1</v>
      </c>
      <c r="E5418" s="2721" t="s">
        <v>2751</v>
      </c>
      <c r="F5418" s="293"/>
      <c r="G5418" s="2234" t="s">
        <v>2752</v>
      </c>
      <c r="H5418" s="2430"/>
      <c r="I5418" s="2235">
        <f>SUMPRODUCT($E5390:$E5417,I5390:I5417)</f>
        <v>0</v>
      </c>
      <c r="J5418" s="2488"/>
      <c r="K5418" s="1604"/>
      <c r="L5418" s="1604"/>
      <c r="M5418" s="1604"/>
      <c r="N5418" s="1604"/>
      <c r="O5418" s="1604"/>
      <c r="P5418" s="1604"/>
      <c r="Q5418" s="1604"/>
      <c r="R5418" s="1604"/>
      <c r="S5418" s="364"/>
      <c r="Z5418" s="609" t="s">
        <v>2105</v>
      </c>
      <c r="AA5418" s="609" t="s">
        <v>19</v>
      </c>
    </row>
    <row r="5419" spans="1:27" ht="18">
      <c r="A5419" s="2714"/>
      <c r="B5419" s="371"/>
      <c r="C5419" s="371" t="s">
        <v>2755</v>
      </c>
      <c r="D5419" s="2716"/>
      <c r="F5419" s="293"/>
      <c r="G5419" s="376"/>
      <c r="H5419" s="315"/>
      <c r="I5419" s="396"/>
      <c r="J5419" s="427"/>
      <c r="K5419" s="1604"/>
      <c r="L5419" s="1604"/>
      <c r="M5419" s="1604"/>
      <c r="N5419" s="1604"/>
      <c r="O5419" s="1604"/>
      <c r="P5419" s="1604"/>
      <c r="Q5419" s="1604"/>
      <c r="R5419" s="1604"/>
      <c r="S5419" s="364"/>
      <c r="Z5419" s="609" t="s">
        <v>2105</v>
      </c>
      <c r="AA5419" s="609" t="s">
        <v>19</v>
      </c>
    </row>
    <row r="5420" spans="1:27" ht="24">
      <c r="A5420" s="2714" t="s">
        <v>2125</v>
      </c>
      <c r="B5420" s="371">
        <v>5</v>
      </c>
      <c r="C5420" s="371"/>
      <c r="D5420" s="2716" t="str">
        <f>VLOOKUP($A5420,Sheet_NoteList,2,0)</f>
        <v>上期末各外币资产负债项目的主要外汇风险敞口</v>
      </c>
      <c r="E5420" s="2716" t="s">
        <v>2742</v>
      </c>
      <c r="F5420" s="293"/>
      <c r="G5420" s="372" t="str">
        <f>"("&amp;B5420&amp;")"&amp;D5420</f>
        <v>(5)上期末各外币资产负债项目的主要外汇风险敞口</v>
      </c>
      <c r="H5420" s="1517" t="str">
        <f>$A5420</f>
        <v>9325m</v>
      </c>
      <c r="I5420" s="343" t="s">
        <v>2743</v>
      </c>
      <c r="J5420" s="301" t="s">
        <v>2744</v>
      </c>
      <c r="K5420" s="2210">
        <f>H5452</f>
        <v>0</v>
      </c>
      <c r="L5420" s="349"/>
      <c r="M5420" s="301" t="s">
        <v>2745</v>
      </c>
      <c r="N5420" s="2210">
        <f>I5452</f>
        <v>0</v>
      </c>
      <c r="O5420" s="349"/>
      <c r="P5420" s="301"/>
      <c r="S5420" s="364"/>
      <c r="Z5420" s="609" t="s">
        <v>2105</v>
      </c>
      <c r="AA5420" s="609" t="s">
        <v>19</v>
      </c>
    </row>
    <row r="5421" spans="1:27" ht="0.75" customHeight="1">
      <c r="A5421" s="2714"/>
      <c r="B5421" s="371"/>
      <c r="C5421" s="371"/>
      <c r="D5421" s="2716"/>
      <c r="F5421" s="371"/>
      <c r="G5421" s="405" t="s">
        <v>4519</v>
      </c>
      <c r="H5421" s="371" t="s">
        <v>5537</v>
      </c>
      <c r="I5421" s="371" t="s">
        <v>5534</v>
      </c>
      <c r="J5421" s="612" t="s">
        <v>5535</v>
      </c>
      <c r="K5421" s="428"/>
      <c r="L5421" s="428"/>
      <c r="M5421" s="433"/>
      <c r="N5421" s="428"/>
      <c r="O5421" s="428"/>
      <c r="P5421" s="433"/>
      <c r="Q5421" s="442"/>
      <c r="R5421" s="443"/>
      <c r="S5421" s="364"/>
      <c r="Z5421" s="609" t="s">
        <v>2105</v>
      </c>
      <c r="AA5421" s="609" t="s">
        <v>19</v>
      </c>
    </row>
    <row r="5422" spans="1:27" ht="0.75" customHeight="1" thickBot="1">
      <c r="A5422" s="2714"/>
      <c r="B5422" s="371"/>
      <c r="C5422" s="371"/>
      <c r="D5422" s="2716"/>
      <c r="F5422" s="371"/>
      <c r="G5422" s="405"/>
      <c r="H5422" s="371" t="s">
        <v>5526</v>
      </c>
      <c r="I5422" s="371" t="s">
        <v>5527</v>
      </c>
      <c r="J5422" s="612" t="s">
        <v>5533</v>
      </c>
      <c r="K5422" s="428"/>
      <c r="L5422" s="428"/>
      <c r="M5422" s="433"/>
      <c r="N5422" s="428"/>
      <c r="O5422" s="428"/>
      <c r="P5422" s="433"/>
      <c r="Q5422" s="442"/>
      <c r="R5422" s="443"/>
      <c r="S5422" s="364"/>
      <c r="Z5422" s="609" t="s">
        <v>2105</v>
      </c>
      <c r="AA5422" s="609" t="s">
        <v>19</v>
      </c>
    </row>
    <row r="5423" spans="1:27" ht="18" customHeight="1">
      <c r="A5423" s="2714"/>
      <c r="B5423" s="371"/>
      <c r="C5423" s="371"/>
      <c r="D5423" s="2716"/>
      <c r="E5423" s="2716" t="s">
        <v>2749</v>
      </c>
      <c r="F5423" s="293"/>
      <c r="G5423" s="3253" t="s">
        <v>47</v>
      </c>
      <c r="H5423" s="3252" t="str">
        <f>$W$3&amp;"余额"</f>
        <v>2018年12月31日余额</v>
      </c>
      <c r="I5423" s="3348"/>
      <c r="J5423" s="3348"/>
      <c r="K5423" s="355" t="s">
        <v>5348</v>
      </c>
      <c r="L5423" s="1512"/>
      <c r="M5423" s="1512"/>
      <c r="N5423" s="428"/>
      <c r="O5423" s="428"/>
      <c r="P5423" s="433"/>
      <c r="Q5423" s="442"/>
      <c r="R5423" s="443"/>
      <c r="S5423" s="364"/>
      <c r="Z5423" s="609" t="s">
        <v>2105</v>
      </c>
      <c r="AA5423" s="609" t="s">
        <v>19</v>
      </c>
    </row>
    <row r="5424" spans="1:27" ht="18">
      <c r="A5424" s="2714"/>
      <c r="B5424" s="371"/>
      <c r="C5424" s="371"/>
      <c r="D5424" s="2716"/>
      <c r="E5424" s="2716" t="s">
        <v>2749</v>
      </c>
      <c r="F5424" s="293"/>
      <c r="G5424" s="3292"/>
      <c r="H5424" s="2463" t="s">
        <v>4518</v>
      </c>
      <c r="I5424" s="2463" t="s">
        <v>2459</v>
      </c>
      <c r="J5424" s="1603" t="s">
        <v>5536</v>
      </c>
      <c r="K5424" s="355" t="s">
        <v>5532</v>
      </c>
      <c r="L5424" s="434"/>
      <c r="M5424" s="1511"/>
      <c r="N5424" s="434"/>
      <c r="O5424" s="434"/>
      <c r="P5424" s="435"/>
      <c r="Q5424" s="442"/>
      <c r="R5424" s="443"/>
      <c r="S5424" s="364"/>
      <c r="Z5424" s="609" t="s">
        <v>2105</v>
      </c>
      <c r="AA5424" s="609" t="s">
        <v>19</v>
      </c>
    </row>
    <row r="5425" spans="1:27" ht="18">
      <c r="A5425" s="2714"/>
      <c r="B5425" s="371">
        <v>101</v>
      </c>
      <c r="C5425" s="371"/>
      <c r="D5425" s="2716">
        <f t="shared" ref="D5425:D5452" si="577">IF(OR(G5425="*",G5425="",G5425=0),0,COUNTIF($G$5425:$G$5452,G5425))</f>
        <v>1</v>
      </c>
      <c r="E5425" s="2721" t="s">
        <v>41</v>
      </c>
      <c r="F5425" s="293"/>
      <c r="G5425" s="308" t="s">
        <v>10</v>
      </c>
      <c r="H5425" s="309"/>
      <c r="I5425" s="422"/>
      <c r="J5425" s="388"/>
      <c r="L5425" s="438"/>
      <c r="M5425" s="438"/>
      <c r="N5425" s="439"/>
      <c r="O5425" s="437"/>
      <c r="P5425" s="438"/>
      <c r="Q5425" s="442"/>
      <c r="R5425" s="443"/>
      <c r="S5425" s="364"/>
      <c r="Z5425" s="609" t="s">
        <v>2105</v>
      </c>
      <c r="AA5425" s="609" t="s">
        <v>19</v>
      </c>
    </row>
    <row r="5426" spans="1:27" ht="18">
      <c r="A5426" s="2714"/>
      <c r="B5426" s="371">
        <v>102</v>
      </c>
      <c r="C5426" s="371" t="s">
        <v>2791</v>
      </c>
      <c r="D5426" s="2716">
        <f t="shared" si="577"/>
        <v>1</v>
      </c>
      <c r="E5426" s="2721">
        <v>1</v>
      </c>
      <c r="F5426" s="293"/>
      <c r="G5426" s="1599" t="str">
        <f>"其中："&amp;G5425&amp;"（美元）"</f>
        <v>其中：货币资金（美元）</v>
      </c>
      <c r="H5426" s="309"/>
      <c r="I5426" s="422"/>
      <c r="J5426" s="388"/>
      <c r="K5426" s="520"/>
      <c r="L5426" s="438"/>
      <c r="M5426" s="438"/>
      <c r="N5426" s="439"/>
      <c r="O5426" s="437"/>
      <c r="P5426" s="438"/>
      <c r="Q5426" s="442"/>
      <c r="R5426" s="443"/>
      <c r="S5426" s="364"/>
      <c r="Z5426" s="609" t="s">
        <v>2105</v>
      </c>
      <c r="AA5426" s="609" t="s">
        <v>19</v>
      </c>
    </row>
    <row r="5427" spans="1:27" ht="18">
      <c r="A5427" s="2714"/>
      <c r="B5427" s="371">
        <v>103</v>
      </c>
      <c r="C5427" s="371" t="s">
        <v>2791</v>
      </c>
      <c r="D5427" s="2716">
        <f t="shared" si="577"/>
        <v>1</v>
      </c>
      <c r="E5427" s="2721">
        <v>1</v>
      </c>
      <c r="F5427" s="293"/>
      <c r="G5427" s="1599" t="str">
        <f>G5425&amp;"（欧元）"</f>
        <v>货币资金（欧元）</v>
      </c>
      <c r="H5427" s="309"/>
      <c r="I5427" s="422"/>
      <c r="J5427" s="388"/>
      <c r="K5427" s="520"/>
      <c r="L5427" s="438"/>
      <c r="M5427" s="438"/>
      <c r="N5427" s="439"/>
      <c r="O5427" s="437"/>
      <c r="P5427" s="438"/>
      <c r="Q5427" s="442"/>
      <c r="R5427" s="443"/>
      <c r="S5427" s="364"/>
      <c r="Z5427" s="609" t="s">
        <v>2105</v>
      </c>
      <c r="AA5427" s="609" t="s">
        <v>19</v>
      </c>
    </row>
    <row r="5428" spans="1:27" ht="18">
      <c r="A5428" s="2714"/>
      <c r="B5428" s="371">
        <v>104</v>
      </c>
      <c r="C5428" s="371" t="s">
        <v>2791</v>
      </c>
      <c r="D5428" s="2716">
        <f t="shared" si="577"/>
        <v>1</v>
      </c>
      <c r="E5428" s="2721">
        <v>1</v>
      </c>
      <c r="F5428" s="293"/>
      <c r="G5428" s="1599" t="str">
        <f>G5425&amp;"（港币）"</f>
        <v>货币资金（港币）</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105</v>
      </c>
      <c r="C5429" s="371" t="s">
        <v>2791</v>
      </c>
      <c r="D5429" s="2716">
        <f t="shared" si="577"/>
        <v>0</v>
      </c>
      <c r="E5429" s="2721">
        <v>1</v>
      </c>
      <c r="F5429" s="293"/>
      <c r="G5429" s="1504" t="s">
        <v>2792</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106</v>
      </c>
      <c r="C5430" s="371"/>
      <c r="D5430" s="2716">
        <f t="shared" si="577"/>
        <v>1</v>
      </c>
      <c r="E5430" s="2721" t="s">
        <v>41</v>
      </c>
      <c r="F5430" s="293"/>
      <c r="G5430" s="308" t="s">
        <v>124</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107</v>
      </c>
      <c r="C5431" s="371" t="s">
        <v>2791</v>
      </c>
      <c r="D5431" s="2716">
        <f t="shared" si="577"/>
        <v>1</v>
      </c>
      <c r="E5431" s="2721">
        <v>1</v>
      </c>
      <c r="F5431" s="293"/>
      <c r="G5431" s="1599" t="str">
        <f>"其中："&amp;G5430&amp;"（美元）"</f>
        <v>其中：应收账款（美元）</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108</v>
      </c>
      <c r="C5432" s="371" t="s">
        <v>2791</v>
      </c>
      <c r="D5432" s="2716">
        <f t="shared" si="577"/>
        <v>1</v>
      </c>
      <c r="E5432" s="2721">
        <v>1</v>
      </c>
      <c r="F5432" s="293"/>
      <c r="G5432" s="1599" t="str">
        <f>G5430&amp;"（欧元）"</f>
        <v>应收账款（欧元）</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109</v>
      </c>
      <c r="C5433" s="371" t="s">
        <v>2791</v>
      </c>
      <c r="D5433" s="2716">
        <f t="shared" si="577"/>
        <v>1</v>
      </c>
      <c r="E5433" s="2721">
        <v>1</v>
      </c>
      <c r="F5433" s="293"/>
      <c r="G5433" s="1599" t="str">
        <f>G5430&amp;"（港币）"</f>
        <v>应收账款（港币）</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110</v>
      </c>
      <c r="C5434" s="371" t="s">
        <v>2791</v>
      </c>
      <c r="D5434" s="2716">
        <f t="shared" si="577"/>
        <v>0</v>
      </c>
      <c r="E5434" s="2721">
        <v>1</v>
      </c>
      <c r="F5434" s="293"/>
      <c r="G5434" s="1504" t="s">
        <v>2792</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111</v>
      </c>
      <c r="C5435" s="371"/>
      <c r="D5435" s="2716">
        <f t="shared" si="577"/>
        <v>1</v>
      </c>
      <c r="E5435" s="2721" t="s">
        <v>41</v>
      </c>
      <c r="F5435" s="293"/>
      <c r="G5435" s="308" t="s">
        <v>201</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112</v>
      </c>
      <c r="C5436" s="371" t="s">
        <v>2791</v>
      </c>
      <c r="D5436" s="2716">
        <f t="shared" si="577"/>
        <v>1</v>
      </c>
      <c r="E5436" s="2721">
        <v>1</v>
      </c>
      <c r="F5436" s="293"/>
      <c r="G5436" s="1599" t="str">
        <f>"其中："&amp;G5435&amp;"（美元）"</f>
        <v>其中：其他应收款（美元）</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113</v>
      </c>
      <c r="C5437" s="371" t="s">
        <v>2791</v>
      </c>
      <c r="D5437" s="2716">
        <f t="shared" si="577"/>
        <v>1</v>
      </c>
      <c r="E5437" s="2721">
        <v>1</v>
      </c>
      <c r="F5437" s="293"/>
      <c r="G5437" s="1599" t="str">
        <f>G5435&amp;"（欧元）"</f>
        <v>其他应收款（欧元）</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114</v>
      </c>
      <c r="C5438" s="371" t="s">
        <v>2791</v>
      </c>
      <c r="D5438" s="2716">
        <f t="shared" si="577"/>
        <v>1</v>
      </c>
      <c r="E5438" s="2721">
        <v>1</v>
      </c>
      <c r="F5438" s="293"/>
      <c r="G5438" s="1599" t="str">
        <f>G5435&amp;"（港币）"</f>
        <v>其他应收款（港币）</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115</v>
      </c>
      <c r="C5439" s="371" t="s">
        <v>2791</v>
      </c>
      <c r="D5439" s="2716">
        <f t="shared" si="577"/>
        <v>0</v>
      </c>
      <c r="E5439" s="2721">
        <v>1</v>
      </c>
      <c r="F5439" s="293"/>
      <c r="G5439" s="1504" t="s">
        <v>2792</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116</v>
      </c>
      <c r="C5440" s="371"/>
      <c r="D5440" s="2716">
        <f t="shared" si="577"/>
        <v>1</v>
      </c>
      <c r="E5440" s="2721" t="s">
        <v>41</v>
      </c>
      <c r="F5440" s="293"/>
      <c r="G5440" s="308" t="s">
        <v>546</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117</v>
      </c>
      <c r="C5441" s="371" t="s">
        <v>2791</v>
      </c>
      <c r="D5441" s="2716">
        <f t="shared" si="577"/>
        <v>1</v>
      </c>
      <c r="E5441" s="2721">
        <v>1</v>
      </c>
      <c r="F5441" s="293"/>
      <c r="G5441" s="1599" t="str">
        <f>"其中："&amp;G5440&amp;"（美元）"</f>
        <v>其中：长期借款（美元）</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118</v>
      </c>
      <c r="C5442" s="371" t="s">
        <v>2791</v>
      </c>
      <c r="D5442" s="2716">
        <f t="shared" si="577"/>
        <v>1</v>
      </c>
      <c r="E5442" s="2721">
        <v>1</v>
      </c>
      <c r="F5442" s="293"/>
      <c r="G5442" s="1599" t="str">
        <f>G5440&amp;"（欧元）"</f>
        <v>长期借款（欧元）</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119</v>
      </c>
      <c r="C5443" s="371" t="s">
        <v>2791</v>
      </c>
      <c r="D5443" s="2716">
        <f t="shared" si="577"/>
        <v>1</v>
      </c>
      <c r="E5443" s="2721">
        <v>1</v>
      </c>
      <c r="F5443" s="293"/>
      <c r="G5443" s="1599" t="str">
        <f>G5440&amp;"（港币）"</f>
        <v>长期借款（港币）</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120</v>
      </c>
      <c r="C5444" s="371" t="s">
        <v>2791</v>
      </c>
      <c r="D5444" s="2716">
        <f t="shared" si="577"/>
        <v>0</v>
      </c>
      <c r="E5444" s="2721">
        <v>1</v>
      </c>
      <c r="F5444" s="293"/>
      <c r="G5444" s="1504" t="s">
        <v>2792</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121</v>
      </c>
      <c r="C5445" s="371"/>
      <c r="D5445" s="2716">
        <f t="shared" si="577"/>
        <v>1</v>
      </c>
      <c r="E5445" s="2721" t="s">
        <v>41</v>
      </c>
      <c r="F5445" s="293"/>
      <c r="G5445" s="308" t="s">
        <v>550</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122</v>
      </c>
      <c r="C5446" s="371" t="s">
        <v>2791</v>
      </c>
      <c r="D5446" s="2716">
        <f t="shared" si="577"/>
        <v>1</v>
      </c>
      <c r="E5446" s="2721">
        <v>1</v>
      </c>
      <c r="F5446" s="293"/>
      <c r="G5446" s="1599" t="str">
        <f>"其中："&amp;G5445&amp;"（美元）"</f>
        <v>其中：应付债券（美元）</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123</v>
      </c>
      <c r="C5447" s="371" t="s">
        <v>2791</v>
      </c>
      <c r="D5447" s="2716">
        <f t="shared" si="577"/>
        <v>1</v>
      </c>
      <c r="E5447" s="2721">
        <v>1</v>
      </c>
      <c r="F5447" s="293"/>
      <c r="G5447" s="1599" t="str">
        <f>G5445&amp;"（欧元）"</f>
        <v>应付债券（欧元）</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124</v>
      </c>
      <c r="C5448" s="371" t="s">
        <v>2791</v>
      </c>
      <c r="D5448" s="2716">
        <f t="shared" si="577"/>
        <v>1</v>
      </c>
      <c r="E5448" s="2721">
        <v>1</v>
      </c>
      <c r="F5448" s="293"/>
      <c r="G5448" s="1599" t="str">
        <f>G5445&amp;"（港币）"</f>
        <v>应付债券（港币）</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125</v>
      </c>
      <c r="C5449" s="371" t="s">
        <v>2791</v>
      </c>
      <c r="D5449" s="2716">
        <f t="shared" si="577"/>
        <v>0</v>
      </c>
      <c r="E5449" s="2721">
        <v>1</v>
      </c>
      <c r="F5449" s="293"/>
      <c r="G5449" s="1504" t="s">
        <v>2792</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126</v>
      </c>
      <c r="C5450" s="371" t="s">
        <v>2791</v>
      </c>
      <c r="D5450" s="2716">
        <f t="shared" si="577"/>
        <v>0</v>
      </c>
      <c r="E5450" s="2721">
        <v>1</v>
      </c>
      <c r="F5450" s="293"/>
      <c r="G5450" s="1599" t="s">
        <v>2792</v>
      </c>
      <c r="H5450" s="309"/>
      <c r="I5450" s="422"/>
      <c r="J5450" s="388"/>
      <c r="K5450" s="520"/>
      <c r="L5450" s="438"/>
      <c r="M5450" s="438"/>
      <c r="N5450" s="439"/>
      <c r="O5450" s="437"/>
      <c r="P5450" s="438"/>
      <c r="Q5450" s="442"/>
      <c r="R5450" s="443"/>
      <c r="S5450" s="364"/>
      <c r="Z5450" s="609" t="s">
        <v>2105</v>
      </c>
      <c r="AA5450" s="609" t="s">
        <v>19</v>
      </c>
    </row>
    <row r="5451" spans="1:27" ht="18">
      <c r="A5451" s="2714"/>
      <c r="B5451" s="371">
        <v>127</v>
      </c>
      <c r="C5451" s="371" t="s">
        <v>6532</v>
      </c>
      <c r="D5451" s="2716">
        <f t="shared" si="577"/>
        <v>0</v>
      </c>
      <c r="E5451" s="2721">
        <v>1</v>
      </c>
      <c r="F5451" s="293"/>
      <c r="G5451" s="1599" t="s">
        <v>5146</v>
      </c>
      <c r="H5451" s="309"/>
      <c r="I5451" s="422"/>
      <c r="J5451" s="388"/>
      <c r="K5451" s="520"/>
      <c r="L5451" s="438"/>
      <c r="M5451" s="438"/>
      <c r="N5451" s="439"/>
      <c r="O5451" s="437"/>
      <c r="P5451" s="438"/>
      <c r="Q5451" s="442"/>
      <c r="R5451" s="443"/>
      <c r="S5451" s="364"/>
      <c r="Z5451" s="609" t="s">
        <v>2105</v>
      </c>
      <c r="AA5451" s="609" t="s">
        <v>19</v>
      </c>
    </row>
    <row r="5452" spans="1:27" ht="18.75" thickBot="1">
      <c r="A5452" s="2714"/>
      <c r="B5452" s="371"/>
      <c r="C5452" s="371"/>
      <c r="D5452" s="2716">
        <f t="shared" si="577"/>
        <v>1</v>
      </c>
      <c r="E5452" s="2721" t="s">
        <v>2751</v>
      </c>
      <c r="F5452" s="293"/>
      <c r="G5452" s="2234" t="s">
        <v>2752</v>
      </c>
      <c r="H5452" s="2430"/>
      <c r="I5452" s="2235">
        <f>SUMPRODUCT($E5424:$E5451,I5424:I5451)</f>
        <v>0</v>
      </c>
      <c r="J5452" s="2489"/>
      <c r="K5452" s="1508"/>
      <c r="L5452" s="1508"/>
      <c r="M5452" s="1508"/>
      <c r="N5452" s="439"/>
      <c r="O5452" s="437"/>
      <c r="P5452" s="440"/>
      <c r="Q5452" s="442"/>
      <c r="R5452" s="443"/>
      <c r="S5452" s="364"/>
      <c r="Z5452" s="609" t="s">
        <v>2105</v>
      </c>
      <c r="AA5452" s="609" t="s">
        <v>19</v>
      </c>
    </row>
    <row r="5453" spans="1:27" ht="18">
      <c r="A5453" s="2714"/>
      <c r="B5453" s="371"/>
      <c r="C5453" s="371" t="s">
        <v>2755</v>
      </c>
      <c r="D5453" s="2716"/>
      <c r="F5453" s="293"/>
      <c r="G5453" s="376"/>
      <c r="H5453" s="315"/>
      <c r="I5453" s="396"/>
      <c r="J5453" s="427"/>
      <c r="K5453" s="577"/>
      <c r="L5453" s="425"/>
      <c r="M5453" s="425"/>
      <c r="N5453" s="426"/>
      <c r="O5453" s="427"/>
      <c r="P5453" s="425"/>
      <c r="Q5453" s="442"/>
      <c r="R5453" s="443"/>
      <c r="S5453" s="364"/>
      <c r="Z5453" s="609" t="s">
        <v>2105</v>
      </c>
      <c r="AA5453" s="609" t="s">
        <v>19</v>
      </c>
    </row>
    <row r="5454" spans="1:27" ht="18">
      <c r="A5454" s="2714">
        <v>9331</v>
      </c>
      <c r="B5454" s="371" t="s">
        <v>6569</v>
      </c>
      <c r="C5454" s="2716" t="str">
        <f>VLOOKUP($A5454,Sheet_Items,2,0)</f>
        <v>公允价值的披露</v>
      </c>
      <c r="D5454" s="371"/>
      <c r="E5454" s="2716" t="s">
        <v>2739</v>
      </c>
      <c r="F5454" s="294"/>
      <c r="G5454" s="305" t="str">
        <f>B5454&amp;" "&amp;C5454</f>
        <v>九 公允价值的披露</v>
      </c>
      <c r="H5454" s="306"/>
      <c r="I5454" s="306"/>
      <c r="J5454" s="306"/>
      <c r="K5454" s="539"/>
      <c r="L5454" s="342"/>
      <c r="M5454" s="306"/>
      <c r="N5454" s="539"/>
      <c r="O5454" s="306"/>
      <c r="P5454" s="301"/>
      <c r="S5454" s="364"/>
      <c r="Z5454" s="609" t="s">
        <v>2129</v>
      </c>
      <c r="AA5454" s="609"/>
    </row>
    <row r="5455" spans="1:27" ht="24">
      <c r="A5455" s="2714" t="s">
        <v>2127</v>
      </c>
      <c r="B5455" s="371">
        <v>1</v>
      </c>
      <c r="C5455" s="371"/>
      <c r="D5455" s="2716" t="str">
        <f>VLOOKUP($A5455,Sheet_NoteList,2,0)</f>
        <v>以公允价值计量的资产和负债的公允价值</v>
      </c>
      <c r="E5455" s="2716" t="s">
        <v>2742</v>
      </c>
      <c r="F5455" s="294"/>
      <c r="G5455" s="372" t="str">
        <f>"("&amp;B5455&amp;")"&amp;D5455</f>
        <v>(1)以公允价值计量的资产和负债的公允价值</v>
      </c>
      <c r="H5455" s="1517" t="str">
        <f>$A5455</f>
        <v>9331a</v>
      </c>
      <c r="I5455" s="343" t="s">
        <v>2743</v>
      </c>
      <c r="J5455" s="301"/>
      <c r="K5455" s="3084"/>
      <c r="L5455" s="315"/>
      <c r="M5455" s="301"/>
      <c r="N5455" s="3084"/>
      <c r="O5455" s="315"/>
      <c r="P5455" s="301"/>
      <c r="S5455" s="364"/>
      <c r="Z5455" s="609" t="s">
        <v>2129</v>
      </c>
      <c r="AA5455" s="609"/>
    </row>
    <row r="5456" spans="1:27" ht="0.75" customHeight="1">
      <c r="A5456" s="2714"/>
      <c r="B5456" s="371"/>
      <c r="C5456" s="371"/>
      <c r="D5456" s="371"/>
      <c r="E5456" s="586"/>
      <c r="F5456" s="586"/>
      <c r="G5456" s="586" t="s">
        <v>4523</v>
      </c>
      <c r="H5456" s="371" t="s">
        <v>2833</v>
      </c>
      <c r="I5456" s="371" t="s">
        <v>4524</v>
      </c>
      <c r="J5456" s="371" t="s">
        <v>4525</v>
      </c>
      <c r="K5456" s="371" t="s">
        <v>4526</v>
      </c>
      <c r="M5456" s="291"/>
      <c r="N5456" s="291"/>
      <c r="O5456" s="291"/>
      <c r="P5456" s="291"/>
      <c r="S5456" s="364"/>
      <c r="Z5456" s="609" t="s">
        <v>2129</v>
      </c>
      <c r="AA5456" s="609"/>
    </row>
    <row r="5457" spans="1:27" ht="0.75" customHeight="1" thickBot="1">
      <c r="A5457" s="2714"/>
      <c r="B5457" s="371"/>
      <c r="C5457" s="371"/>
      <c r="D5457" s="371"/>
      <c r="E5457" s="586"/>
      <c r="F5457" s="586"/>
      <c r="G5457" s="586"/>
      <c r="H5457" s="371" t="s">
        <v>4527</v>
      </c>
      <c r="I5457" s="371" t="s">
        <v>4528</v>
      </c>
      <c r="J5457" s="371" t="s">
        <v>4529</v>
      </c>
      <c r="K5457" s="371" t="s">
        <v>4530</v>
      </c>
      <c r="M5457" s="291"/>
      <c r="N5457" s="291"/>
      <c r="O5457" s="291"/>
      <c r="P5457" s="291"/>
      <c r="S5457" s="364"/>
      <c r="Z5457" s="609" t="s">
        <v>2129</v>
      </c>
      <c r="AA5457" s="609"/>
    </row>
    <row r="5458" spans="1:27" ht="24" customHeight="1">
      <c r="A5458" s="2714"/>
      <c r="B5458" s="371"/>
      <c r="C5458" s="371"/>
      <c r="D5458" s="371"/>
      <c r="E5458" s="586" t="s">
        <v>2749</v>
      </c>
      <c r="F5458" s="414"/>
      <c r="G5458" s="3293" t="s">
        <v>47</v>
      </c>
      <c r="H5458" s="3349" t="str">
        <f>$W$2&amp;"公允价值"</f>
        <v>2019年12月31日公允价值</v>
      </c>
      <c r="I5458" s="3349"/>
      <c r="J5458" s="3349"/>
      <c r="K5458" s="3350"/>
      <c r="L5458" s="355" t="s">
        <v>5349</v>
      </c>
      <c r="M5458" s="291"/>
      <c r="N5458" s="291"/>
      <c r="O5458" s="291"/>
      <c r="P5458" s="291"/>
      <c r="S5458" s="364"/>
      <c r="Z5458" s="609" t="s">
        <v>2129</v>
      </c>
      <c r="AA5458" s="609"/>
    </row>
    <row r="5459" spans="1:27" ht="24">
      <c r="A5459" s="2714"/>
      <c r="B5459" s="371"/>
      <c r="C5459" s="371"/>
      <c r="D5459" s="371"/>
      <c r="E5459" s="586" t="s">
        <v>2749</v>
      </c>
      <c r="F5459" s="363"/>
      <c r="G5459" s="3294"/>
      <c r="H5459" s="2584" t="s">
        <v>4531</v>
      </c>
      <c r="I5459" s="2584" t="s">
        <v>4532</v>
      </c>
      <c r="J5459" s="2584" t="s">
        <v>4533</v>
      </c>
      <c r="K5459" s="2588" t="s">
        <v>3351</v>
      </c>
      <c r="M5459" s="291"/>
      <c r="N5459" s="291"/>
      <c r="O5459" s="291"/>
      <c r="P5459" s="291"/>
      <c r="S5459" s="364"/>
      <c r="Z5459" s="609" t="s">
        <v>2129</v>
      </c>
      <c r="AA5459" s="609"/>
    </row>
    <row r="5460" spans="1:27" ht="18">
      <c r="A5460" s="2714"/>
      <c r="B5460" s="371">
        <v>101</v>
      </c>
      <c r="C5460" s="371"/>
      <c r="D5460" s="2716">
        <f t="shared" ref="D5460:D5499" si="578">IF(OR(G5460="*",G5460="",G5460=0),0,COUNTIF($G$5460:$G$5499,G5460))</f>
        <v>1</v>
      </c>
      <c r="E5460" s="2721" t="s">
        <v>41</v>
      </c>
      <c r="F5460" s="294"/>
      <c r="G5460" s="632" t="s">
        <v>4534</v>
      </c>
      <c r="H5460" s="2275"/>
      <c r="I5460" s="2275"/>
      <c r="J5460" s="2275"/>
      <c r="K5460" s="2296"/>
      <c r="M5460" s="291"/>
      <c r="N5460" s="291"/>
      <c r="O5460" s="291"/>
      <c r="P5460" s="291"/>
      <c r="S5460" s="364"/>
      <c r="Z5460" s="609" t="s">
        <v>2129</v>
      </c>
      <c r="AA5460" s="609"/>
    </row>
    <row r="5461" spans="1:27" ht="18">
      <c r="A5461" s="2714"/>
      <c r="B5461" s="371">
        <v>102</v>
      </c>
      <c r="C5461" s="371"/>
      <c r="D5461" s="2716">
        <f t="shared" si="578"/>
        <v>1</v>
      </c>
      <c r="E5461" s="2721">
        <v>1</v>
      </c>
      <c r="F5461" s="294"/>
      <c r="G5461" s="1474" t="s">
        <v>4535</v>
      </c>
      <c r="H5461" s="1476">
        <f>SUM(H5462,H5467)</f>
        <v>0</v>
      </c>
      <c r="I5461" s="1476">
        <f>SUM(I5462,I5467)</f>
        <v>0</v>
      </c>
      <c r="J5461" s="1476">
        <f>SUM(J5462,J5467)</f>
        <v>0</v>
      </c>
      <c r="K5461" s="1477">
        <f>SUM(H5461:J5461)</f>
        <v>0</v>
      </c>
      <c r="M5461" s="291"/>
      <c r="N5461" s="291"/>
      <c r="O5461" s="291"/>
      <c r="P5461" s="291"/>
      <c r="S5461" s="364"/>
      <c r="Z5461" s="609" t="s">
        <v>2129</v>
      </c>
      <c r="AA5461" s="609"/>
    </row>
    <row r="5462" spans="1:27" ht="24">
      <c r="A5462" s="2714"/>
      <c r="B5462" s="371">
        <v>103</v>
      </c>
      <c r="C5462" s="371"/>
      <c r="D5462" s="2716">
        <f t="shared" si="578"/>
        <v>1</v>
      </c>
      <c r="E5462" s="2721">
        <v>1</v>
      </c>
      <c r="F5462" s="294"/>
      <c r="G5462" s="1474" t="s">
        <v>4536</v>
      </c>
      <c r="H5462" s="1476">
        <f>SUM(H5463:H5466)</f>
        <v>0</v>
      </c>
      <c r="I5462" s="1476">
        <f>SUM(I5463:I5466)</f>
        <v>0</v>
      </c>
      <c r="J5462" s="1476">
        <f>SUM(J5463:J5466)</f>
        <v>0</v>
      </c>
      <c r="K5462" s="1477">
        <f t="shared" ref="K5462:K5498" si="579">SUM(H5462:J5462)</f>
        <v>0</v>
      </c>
      <c r="M5462" s="291"/>
      <c r="N5462" s="291"/>
      <c r="O5462" s="291"/>
      <c r="P5462" s="291"/>
      <c r="S5462" s="364"/>
      <c r="Z5462" s="609" t="s">
        <v>2129</v>
      </c>
      <c r="AA5462" s="609"/>
    </row>
    <row r="5463" spans="1:27" ht="18">
      <c r="A5463" s="2714"/>
      <c r="B5463" s="371">
        <v>104</v>
      </c>
      <c r="C5463" s="371"/>
      <c r="D5463" s="2716">
        <f t="shared" si="578"/>
        <v>1</v>
      </c>
      <c r="E5463" s="2721">
        <v>1</v>
      </c>
      <c r="F5463" s="294"/>
      <c r="G5463" s="1474" t="s">
        <v>6161</v>
      </c>
      <c r="H5463" s="2275"/>
      <c r="I5463" s="2275"/>
      <c r="J5463" s="2275"/>
      <c r="K5463" s="1477">
        <f t="shared" si="579"/>
        <v>0</v>
      </c>
      <c r="M5463" s="291"/>
      <c r="N5463" s="291"/>
      <c r="O5463" s="291"/>
      <c r="P5463" s="291"/>
      <c r="S5463" s="364"/>
      <c r="Z5463" s="609" t="s">
        <v>2129</v>
      </c>
      <c r="AA5463" s="609"/>
    </row>
    <row r="5464" spans="1:27" ht="18">
      <c r="A5464" s="2714"/>
      <c r="B5464" s="371">
        <v>105</v>
      </c>
      <c r="C5464" s="371"/>
      <c r="D5464" s="2716">
        <f t="shared" si="578"/>
        <v>1</v>
      </c>
      <c r="E5464" s="2721">
        <v>1</v>
      </c>
      <c r="F5464" s="294"/>
      <c r="G5464" s="1474" t="s">
        <v>4537</v>
      </c>
      <c r="H5464" s="2275"/>
      <c r="I5464" s="2275"/>
      <c r="J5464" s="2275"/>
      <c r="K5464" s="1477">
        <f t="shared" si="579"/>
        <v>0</v>
      </c>
      <c r="M5464" s="291"/>
      <c r="N5464" s="291"/>
      <c r="O5464" s="291"/>
      <c r="P5464" s="291"/>
      <c r="S5464" s="364"/>
      <c r="Z5464" s="609" t="s">
        <v>2129</v>
      </c>
      <c r="AA5464" s="609"/>
    </row>
    <row r="5465" spans="1:27" ht="18">
      <c r="A5465" s="2714"/>
      <c r="B5465" s="371">
        <v>106</v>
      </c>
      <c r="C5465" s="371"/>
      <c r="D5465" s="2716">
        <f t="shared" si="578"/>
        <v>1</v>
      </c>
      <c r="E5465" s="2721">
        <v>1</v>
      </c>
      <c r="F5465" s="294"/>
      <c r="G5465" s="1474" t="s">
        <v>4538</v>
      </c>
      <c r="H5465" s="2275"/>
      <c r="I5465" s="2275"/>
      <c r="J5465" s="2275"/>
      <c r="K5465" s="1477">
        <f t="shared" ref="K5465" si="580">SUM(H5465:J5465)</f>
        <v>0</v>
      </c>
      <c r="M5465" s="291"/>
      <c r="N5465" s="291"/>
      <c r="O5465" s="291"/>
      <c r="P5465" s="291"/>
      <c r="S5465" s="364"/>
      <c r="Z5465" s="609" t="s">
        <v>2129</v>
      </c>
      <c r="AA5465" s="609"/>
    </row>
    <row r="5466" spans="1:27" ht="18">
      <c r="A5466" s="2714"/>
      <c r="B5466" s="371">
        <v>107</v>
      </c>
      <c r="C5466" s="371" t="s">
        <v>2791</v>
      </c>
      <c r="D5466" s="2716">
        <f t="shared" si="578"/>
        <v>0</v>
      </c>
      <c r="E5466" s="2721">
        <v>1</v>
      </c>
      <c r="F5466" s="294"/>
      <c r="G5466" s="2589" t="s">
        <v>6168</v>
      </c>
      <c r="H5466" s="2275"/>
      <c r="I5466" s="2275"/>
      <c r="J5466" s="2275"/>
      <c r="K5466" s="1477">
        <f t="shared" si="579"/>
        <v>0</v>
      </c>
      <c r="M5466" s="291"/>
      <c r="N5466" s="291"/>
      <c r="O5466" s="291"/>
      <c r="P5466" s="291"/>
      <c r="S5466" s="364"/>
      <c r="Z5466" s="609" t="s">
        <v>2129</v>
      </c>
      <c r="AA5466" s="609"/>
    </row>
    <row r="5467" spans="1:27" ht="24">
      <c r="A5467" s="2714"/>
      <c r="B5467" s="371">
        <v>108</v>
      </c>
      <c r="C5467" s="371"/>
      <c r="D5467" s="2716">
        <f t="shared" si="578"/>
        <v>1</v>
      </c>
      <c r="E5467" s="2721">
        <v>1</v>
      </c>
      <c r="F5467" s="294"/>
      <c r="G5467" s="1474" t="s">
        <v>4539</v>
      </c>
      <c r="H5467" s="1476">
        <f>SUM(H5468:H5470)</f>
        <v>0</v>
      </c>
      <c r="I5467" s="1476">
        <f>SUM(I5468:I5470)</f>
        <v>0</v>
      </c>
      <c r="J5467" s="1476">
        <f>SUM(J5468:J5470)</f>
        <v>0</v>
      </c>
      <c r="K5467" s="1477">
        <f t="shared" si="579"/>
        <v>0</v>
      </c>
      <c r="M5467" s="291"/>
      <c r="N5467" s="291"/>
      <c r="O5467" s="291"/>
      <c r="P5467" s="291"/>
      <c r="S5467" s="364"/>
      <c r="Z5467" s="609" t="s">
        <v>2129</v>
      </c>
      <c r="AA5467" s="609"/>
    </row>
    <row r="5468" spans="1:27" ht="18">
      <c r="A5468" s="2714"/>
      <c r="B5468" s="371">
        <v>109</v>
      </c>
      <c r="C5468" s="371"/>
      <c r="D5468" s="2716">
        <f t="shared" si="578"/>
        <v>1</v>
      </c>
      <c r="E5468" s="2721">
        <v>1</v>
      </c>
      <c r="F5468" s="294"/>
      <c r="G5468" s="1474" t="s">
        <v>6162</v>
      </c>
      <c r="H5468" s="2275"/>
      <c r="I5468" s="2275"/>
      <c r="J5468" s="2275"/>
      <c r="K5468" s="1477">
        <f t="shared" si="579"/>
        <v>0</v>
      </c>
      <c r="M5468" s="291"/>
      <c r="N5468" s="291"/>
      <c r="O5468" s="291"/>
      <c r="P5468" s="291"/>
      <c r="S5468" s="364"/>
      <c r="Z5468" s="609" t="s">
        <v>2129</v>
      </c>
      <c r="AA5468" s="609"/>
    </row>
    <row r="5469" spans="1:27" ht="18">
      <c r="A5469" s="2714"/>
      <c r="B5469" s="371">
        <v>110</v>
      </c>
      <c r="C5469" s="371"/>
      <c r="D5469" s="2716">
        <f t="shared" si="578"/>
        <v>1</v>
      </c>
      <c r="E5469" s="2721">
        <v>1</v>
      </c>
      <c r="F5469" s="294"/>
      <c r="G5469" s="1474" t="s">
        <v>4540</v>
      </c>
      <c r="H5469" s="2275"/>
      <c r="I5469" s="2275"/>
      <c r="J5469" s="2275"/>
      <c r="K5469" s="1477">
        <f t="shared" ref="K5469" si="581">SUM(H5469:J5469)</f>
        <v>0</v>
      </c>
      <c r="M5469" s="291"/>
      <c r="N5469" s="291"/>
      <c r="O5469" s="291"/>
      <c r="P5469" s="291"/>
      <c r="S5469" s="364"/>
      <c r="Z5469" s="609" t="s">
        <v>2129</v>
      </c>
      <c r="AA5469" s="609"/>
    </row>
    <row r="5470" spans="1:27" ht="18">
      <c r="A5470" s="2714"/>
      <c r="B5470" s="371">
        <v>111</v>
      </c>
      <c r="C5470" s="371" t="s">
        <v>2791</v>
      </c>
      <c r="D5470" s="2716">
        <f t="shared" si="578"/>
        <v>0</v>
      </c>
      <c r="E5470" s="2721">
        <v>1</v>
      </c>
      <c r="F5470" s="294"/>
      <c r="G5470" s="2589" t="s">
        <v>6168</v>
      </c>
      <c r="H5470" s="2275"/>
      <c r="I5470" s="2275"/>
      <c r="J5470" s="2275"/>
      <c r="K5470" s="1477">
        <f t="shared" si="579"/>
        <v>0</v>
      </c>
      <c r="M5470" s="291"/>
      <c r="N5470" s="291"/>
      <c r="O5470" s="291"/>
      <c r="P5470" s="291"/>
      <c r="S5470" s="364"/>
      <c r="Z5470" s="609" t="s">
        <v>2129</v>
      </c>
      <c r="AA5470" s="609"/>
    </row>
    <row r="5471" spans="1:27" ht="18">
      <c r="A5471" s="2714"/>
      <c r="B5471" s="371">
        <v>112</v>
      </c>
      <c r="C5471" s="371"/>
      <c r="D5471" s="2716">
        <f t="shared" si="578"/>
        <v>1</v>
      </c>
      <c r="E5471" s="2721">
        <v>1</v>
      </c>
      <c r="F5471" s="294"/>
      <c r="G5471" s="1474" t="s">
        <v>4541</v>
      </c>
      <c r="H5471" s="2275"/>
      <c r="I5471" s="2275"/>
      <c r="J5471" s="2275"/>
      <c r="K5471" s="1477">
        <f t="shared" si="579"/>
        <v>0</v>
      </c>
      <c r="M5471" s="291"/>
      <c r="N5471" s="291"/>
      <c r="O5471" s="291"/>
      <c r="P5471" s="291"/>
      <c r="S5471" s="364"/>
      <c r="Z5471" s="609" t="s">
        <v>2129</v>
      </c>
      <c r="AA5471" s="609"/>
    </row>
    <row r="5472" spans="1:27" ht="18">
      <c r="A5472" s="2714"/>
      <c r="B5472" s="371">
        <v>113</v>
      </c>
      <c r="C5472" s="371"/>
      <c r="D5472" s="2716">
        <f t="shared" si="578"/>
        <v>1</v>
      </c>
      <c r="E5472" s="2721">
        <v>1</v>
      </c>
      <c r="F5472" s="294"/>
      <c r="G5472" s="1474" t="s">
        <v>4542</v>
      </c>
      <c r="H5472" s="2275"/>
      <c r="I5472" s="2275"/>
      <c r="J5472" s="2275"/>
      <c r="K5472" s="1477">
        <f t="shared" si="579"/>
        <v>0</v>
      </c>
      <c r="M5472" s="291"/>
      <c r="N5472" s="291"/>
      <c r="O5472" s="291"/>
      <c r="P5472" s="291"/>
      <c r="S5472" s="364"/>
      <c r="Z5472" s="609" t="s">
        <v>2129</v>
      </c>
      <c r="AA5472" s="609"/>
    </row>
    <row r="5473" spans="1:27" ht="18">
      <c r="A5473" s="2714"/>
      <c r="B5473" s="371">
        <v>114</v>
      </c>
      <c r="C5473" s="371"/>
      <c r="D5473" s="2716">
        <f t="shared" si="578"/>
        <v>1</v>
      </c>
      <c r="E5473" s="2721">
        <v>1</v>
      </c>
      <c r="F5473" s="294"/>
      <c r="G5473" s="1474" t="s">
        <v>4543</v>
      </c>
      <c r="H5473" s="2275"/>
      <c r="I5473" s="2275"/>
      <c r="J5473" s="2275"/>
      <c r="K5473" s="1477">
        <f t="shared" si="579"/>
        <v>0</v>
      </c>
      <c r="M5473" s="291"/>
      <c r="N5473" s="291"/>
      <c r="O5473" s="291"/>
      <c r="P5473" s="291"/>
      <c r="S5473" s="364"/>
      <c r="Z5473" s="609" t="s">
        <v>2129</v>
      </c>
      <c r="AA5473" s="609"/>
    </row>
    <row r="5474" spans="1:27" ht="18">
      <c r="A5474" s="2714"/>
      <c r="B5474" s="371">
        <v>115</v>
      </c>
      <c r="C5474" s="371"/>
      <c r="D5474" s="2716">
        <f t="shared" si="578"/>
        <v>1</v>
      </c>
      <c r="E5474" s="2721">
        <v>1</v>
      </c>
      <c r="F5474" s="294"/>
      <c r="G5474" s="1474" t="s">
        <v>4544</v>
      </c>
      <c r="H5474" s="1476">
        <f>SUM(H5475:H5478)</f>
        <v>0</v>
      </c>
      <c r="I5474" s="1476">
        <f t="shared" ref="I5474:J5474" si="582">SUM(I5475:I5478)</f>
        <v>0</v>
      </c>
      <c r="J5474" s="1476">
        <f t="shared" si="582"/>
        <v>0</v>
      </c>
      <c r="K5474" s="1477">
        <f t="shared" si="579"/>
        <v>0</v>
      </c>
      <c r="M5474" s="291"/>
      <c r="N5474" s="291"/>
      <c r="O5474" s="291"/>
      <c r="P5474" s="291"/>
      <c r="S5474" s="364"/>
      <c r="Z5474" s="609" t="s">
        <v>2129</v>
      </c>
      <c r="AA5474" s="609"/>
    </row>
    <row r="5475" spans="1:27" ht="18">
      <c r="A5475" s="2714"/>
      <c r="B5475" s="371">
        <v>116</v>
      </c>
      <c r="C5475" s="371"/>
      <c r="D5475" s="2716">
        <f t="shared" si="578"/>
        <v>1</v>
      </c>
      <c r="E5475" s="2721">
        <v>1</v>
      </c>
      <c r="F5475" s="294"/>
      <c r="G5475" s="1474" t="s">
        <v>4545</v>
      </c>
      <c r="H5475" s="2275"/>
      <c r="I5475" s="2275"/>
      <c r="J5475" s="2275"/>
      <c r="K5475" s="1477">
        <f t="shared" si="579"/>
        <v>0</v>
      </c>
      <c r="M5475" s="291"/>
      <c r="N5475" s="291"/>
      <c r="O5475" s="291"/>
      <c r="P5475" s="291"/>
      <c r="S5475" s="364"/>
      <c r="Z5475" s="609" t="s">
        <v>2129</v>
      </c>
      <c r="AA5475" s="609"/>
    </row>
    <row r="5476" spans="1:27" ht="18">
      <c r="A5476" s="2714"/>
      <c r="B5476" s="371">
        <v>117</v>
      </c>
      <c r="C5476" s="371"/>
      <c r="D5476" s="2716">
        <f t="shared" si="578"/>
        <v>1</v>
      </c>
      <c r="E5476" s="2721">
        <v>1</v>
      </c>
      <c r="F5476" s="294"/>
      <c r="G5476" s="1474" t="s">
        <v>4546</v>
      </c>
      <c r="H5476" s="2275"/>
      <c r="I5476" s="2275"/>
      <c r="J5476" s="2275"/>
      <c r="K5476" s="1477">
        <f t="shared" si="579"/>
        <v>0</v>
      </c>
      <c r="M5476" s="291"/>
      <c r="N5476" s="291"/>
      <c r="O5476" s="291"/>
      <c r="P5476" s="291"/>
      <c r="S5476" s="364"/>
      <c r="Z5476" s="609" t="s">
        <v>2129</v>
      </c>
      <c r="AA5476" s="609"/>
    </row>
    <row r="5477" spans="1:27" ht="24">
      <c r="A5477" s="2714"/>
      <c r="B5477" s="371">
        <v>118</v>
      </c>
      <c r="C5477" s="371"/>
      <c r="D5477" s="2716">
        <f t="shared" si="578"/>
        <v>1</v>
      </c>
      <c r="E5477" s="2721">
        <v>1</v>
      </c>
      <c r="F5477" s="294"/>
      <c r="G5477" s="1474" t="s">
        <v>4547</v>
      </c>
      <c r="H5477" s="2275"/>
      <c r="I5477" s="2275"/>
      <c r="J5477" s="2275"/>
      <c r="K5477" s="1477">
        <f t="shared" ref="K5477" si="583">SUM(H5477:J5477)</f>
        <v>0</v>
      </c>
      <c r="M5477" s="291"/>
      <c r="N5477" s="291"/>
      <c r="O5477" s="291"/>
      <c r="P5477" s="291"/>
      <c r="S5477" s="364"/>
      <c r="Z5477" s="609" t="s">
        <v>2129</v>
      </c>
      <c r="AA5477" s="609"/>
    </row>
    <row r="5478" spans="1:27" ht="18">
      <c r="A5478" s="2714"/>
      <c r="B5478" s="371">
        <v>119</v>
      </c>
      <c r="C5478" s="371" t="s">
        <v>2791</v>
      </c>
      <c r="D5478" s="2716">
        <f t="shared" si="578"/>
        <v>0</v>
      </c>
      <c r="E5478" s="2721">
        <v>1</v>
      </c>
      <c r="F5478" s="294"/>
      <c r="G5478" s="2589" t="s">
        <v>6168</v>
      </c>
      <c r="H5478" s="2275"/>
      <c r="I5478" s="2275"/>
      <c r="J5478" s="2275"/>
      <c r="K5478" s="1477">
        <f t="shared" si="579"/>
        <v>0</v>
      </c>
      <c r="M5478" s="291"/>
      <c r="N5478" s="291"/>
      <c r="O5478" s="291"/>
      <c r="P5478" s="291"/>
      <c r="S5478" s="364"/>
      <c r="Z5478" s="609" t="s">
        <v>2129</v>
      </c>
      <c r="AA5478" s="609"/>
    </row>
    <row r="5479" spans="1:27" ht="18">
      <c r="A5479" s="2714"/>
      <c r="B5479" s="371">
        <v>120</v>
      </c>
      <c r="C5479" s="371"/>
      <c r="D5479" s="2716">
        <f t="shared" si="578"/>
        <v>1</v>
      </c>
      <c r="E5479" s="2721">
        <v>1</v>
      </c>
      <c r="F5479" s="294"/>
      <c r="G5479" s="1474" t="s">
        <v>4548</v>
      </c>
      <c r="H5479" s="1476">
        <f>SUM(H5480:H5481)</f>
        <v>0</v>
      </c>
      <c r="I5479" s="1476">
        <f t="shared" ref="I5479:J5479" si="584">SUM(I5480:I5481)</f>
        <v>0</v>
      </c>
      <c r="J5479" s="1476">
        <f t="shared" si="584"/>
        <v>0</v>
      </c>
      <c r="K5479" s="1477">
        <f t="shared" si="579"/>
        <v>0</v>
      </c>
      <c r="M5479" s="291"/>
      <c r="N5479" s="291"/>
      <c r="O5479" s="291"/>
      <c r="P5479" s="291"/>
      <c r="S5479" s="364"/>
      <c r="Z5479" s="609" t="s">
        <v>2129</v>
      </c>
      <c r="AA5479" s="609"/>
    </row>
    <row r="5480" spans="1:27" ht="18">
      <c r="A5480" s="2714"/>
      <c r="B5480" s="371">
        <v>121</v>
      </c>
      <c r="C5480" s="371"/>
      <c r="D5480" s="2716">
        <f t="shared" si="578"/>
        <v>1</v>
      </c>
      <c r="E5480" s="2721">
        <v>1</v>
      </c>
      <c r="F5480" s="294"/>
      <c r="G5480" s="1474" t="s">
        <v>4549</v>
      </c>
      <c r="H5480" s="2275"/>
      <c r="I5480" s="2275"/>
      <c r="J5480" s="2275"/>
      <c r="K5480" s="1477">
        <f t="shared" si="579"/>
        <v>0</v>
      </c>
      <c r="M5480" s="291"/>
      <c r="N5480" s="291"/>
      <c r="O5480" s="291"/>
      <c r="P5480" s="291"/>
      <c r="S5480" s="364"/>
      <c r="Z5480" s="609" t="s">
        <v>2129</v>
      </c>
      <c r="AA5480" s="609"/>
    </row>
    <row r="5481" spans="1:27" ht="18">
      <c r="A5481" s="2714"/>
      <c r="B5481" s="371">
        <v>122</v>
      </c>
      <c r="C5481" s="371"/>
      <c r="D5481" s="2716">
        <f t="shared" si="578"/>
        <v>1</v>
      </c>
      <c r="E5481" s="2721">
        <v>1</v>
      </c>
      <c r="F5481" s="294"/>
      <c r="G5481" s="1474" t="s">
        <v>4550</v>
      </c>
      <c r="H5481" s="2275"/>
      <c r="I5481" s="2275"/>
      <c r="J5481" s="2275"/>
      <c r="K5481" s="1477">
        <f t="shared" si="579"/>
        <v>0</v>
      </c>
      <c r="M5481" s="291"/>
      <c r="N5481" s="291"/>
      <c r="O5481" s="291"/>
      <c r="P5481" s="291"/>
      <c r="S5481" s="364"/>
      <c r="Z5481" s="609" t="s">
        <v>2129</v>
      </c>
      <c r="AA5481" s="609"/>
    </row>
    <row r="5482" spans="1:27" ht="18">
      <c r="A5482" s="2714"/>
      <c r="B5482" s="371">
        <v>123</v>
      </c>
      <c r="C5482" s="371" t="s">
        <v>2791</v>
      </c>
      <c r="D5482" s="2716">
        <f t="shared" si="578"/>
        <v>0</v>
      </c>
      <c r="E5482" s="2721">
        <v>1</v>
      </c>
      <c r="F5482" s="294"/>
      <c r="G5482" s="2589" t="s">
        <v>2792</v>
      </c>
      <c r="H5482" s="2275"/>
      <c r="I5482" s="2275"/>
      <c r="J5482" s="2275"/>
      <c r="K5482" s="1477">
        <f t="shared" si="579"/>
        <v>0</v>
      </c>
      <c r="M5482" s="291"/>
      <c r="N5482" s="291"/>
      <c r="O5482" s="291"/>
      <c r="P5482" s="291"/>
      <c r="S5482" s="364"/>
      <c r="Z5482" s="609" t="s">
        <v>2129</v>
      </c>
      <c r="AA5482" s="609"/>
    </row>
    <row r="5483" spans="1:27" ht="24">
      <c r="A5483" s="2714"/>
      <c r="B5483" s="371">
        <v>124</v>
      </c>
      <c r="C5483" s="371"/>
      <c r="D5483" s="2716">
        <f t="shared" si="578"/>
        <v>1</v>
      </c>
      <c r="E5483" s="2721">
        <v>1</v>
      </c>
      <c r="F5483" s="294"/>
      <c r="G5483" s="1474" t="s">
        <v>4551</v>
      </c>
      <c r="H5483" s="1476">
        <f>SUM(H5479,H5474,H5461,H5471,H5472,H5473)</f>
        <v>0</v>
      </c>
      <c r="I5483" s="1476">
        <f t="shared" ref="I5483:J5483" si="585">SUM(I5479,I5474,I5461,I5471,I5472,I5473)</f>
        <v>0</v>
      </c>
      <c r="J5483" s="1476">
        <f t="shared" si="585"/>
        <v>0</v>
      </c>
      <c r="K5483" s="1477">
        <f t="shared" si="579"/>
        <v>0</v>
      </c>
      <c r="M5483" s="291"/>
      <c r="N5483" s="291"/>
      <c r="O5483" s="291"/>
      <c r="P5483" s="291"/>
      <c r="S5483" s="364"/>
      <c r="Z5483" s="609" t="s">
        <v>2129</v>
      </c>
      <c r="AA5483" s="609"/>
    </row>
    <row r="5484" spans="1:27" ht="18">
      <c r="A5484" s="2714"/>
      <c r="B5484" s="371">
        <v>125</v>
      </c>
      <c r="C5484" s="371"/>
      <c r="D5484" s="2716">
        <f t="shared" si="578"/>
        <v>1</v>
      </c>
      <c r="E5484" s="2721">
        <v>1</v>
      </c>
      <c r="F5484" s="294"/>
      <c r="G5484" s="1474" t="s">
        <v>4552</v>
      </c>
      <c r="H5484" s="1476">
        <f>SUM(H5485:H5488)</f>
        <v>0</v>
      </c>
      <c r="I5484" s="1476">
        <f t="shared" ref="I5484:J5484" si="586">SUM(I5485:I5488)</f>
        <v>0</v>
      </c>
      <c r="J5484" s="1476">
        <f t="shared" si="586"/>
        <v>0</v>
      </c>
      <c r="K5484" s="1477">
        <f t="shared" si="579"/>
        <v>0</v>
      </c>
      <c r="M5484" s="291"/>
      <c r="N5484" s="291"/>
      <c r="O5484" s="291"/>
      <c r="P5484" s="291"/>
      <c r="S5484" s="364"/>
      <c r="Z5484" s="609" t="s">
        <v>2129</v>
      </c>
      <c r="AA5484" s="609"/>
    </row>
    <row r="5485" spans="1:27" ht="18">
      <c r="A5485" s="2714"/>
      <c r="B5485" s="371">
        <v>126</v>
      </c>
      <c r="C5485" s="371"/>
      <c r="D5485" s="2716">
        <f t="shared" si="578"/>
        <v>1</v>
      </c>
      <c r="E5485" s="2721">
        <v>1</v>
      </c>
      <c r="F5485" s="294"/>
      <c r="G5485" s="1474" t="s">
        <v>4553</v>
      </c>
      <c r="H5485" s="2275"/>
      <c r="I5485" s="2275"/>
      <c r="J5485" s="2275"/>
      <c r="K5485" s="1477">
        <f t="shared" si="579"/>
        <v>0</v>
      </c>
      <c r="M5485" s="291"/>
      <c r="N5485" s="291"/>
      <c r="O5485" s="291"/>
      <c r="P5485" s="291"/>
      <c r="S5485" s="364"/>
      <c r="Z5485" s="609" t="s">
        <v>2129</v>
      </c>
      <c r="AA5485" s="609"/>
    </row>
    <row r="5486" spans="1:27" ht="18">
      <c r="A5486" s="2714"/>
      <c r="B5486" s="371">
        <v>127</v>
      </c>
      <c r="C5486" s="371"/>
      <c r="D5486" s="2716">
        <f t="shared" si="578"/>
        <v>1</v>
      </c>
      <c r="E5486" s="2721">
        <v>1</v>
      </c>
      <c r="F5486" s="294"/>
      <c r="G5486" s="1474" t="s">
        <v>4554</v>
      </c>
      <c r="H5486" s="2275"/>
      <c r="I5486" s="2275"/>
      <c r="J5486" s="2275"/>
      <c r="K5486" s="1477">
        <f t="shared" si="579"/>
        <v>0</v>
      </c>
      <c r="M5486" s="291"/>
      <c r="N5486" s="291"/>
      <c r="O5486" s="291"/>
      <c r="P5486" s="291"/>
      <c r="S5486" s="364"/>
      <c r="Z5486" s="609" t="s">
        <v>2129</v>
      </c>
      <c r="AA5486" s="609"/>
    </row>
    <row r="5487" spans="1:27" ht="18">
      <c r="A5487" s="2714"/>
      <c r="B5487" s="371">
        <v>128</v>
      </c>
      <c r="C5487" s="371"/>
      <c r="D5487" s="2716">
        <f t="shared" si="578"/>
        <v>1</v>
      </c>
      <c r="E5487" s="2721">
        <v>1</v>
      </c>
      <c r="F5487" s="294"/>
      <c r="G5487" s="1474" t="s">
        <v>4555</v>
      </c>
      <c r="H5487" s="2275"/>
      <c r="I5487" s="2275"/>
      <c r="J5487" s="2275"/>
      <c r="K5487" s="1477">
        <f t="shared" ref="K5487" si="587">SUM(H5487:J5487)</f>
        <v>0</v>
      </c>
      <c r="M5487" s="291"/>
      <c r="N5487" s="291"/>
      <c r="O5487" s="291"/>
      <c r="P5487" s="291"/>
      <c r="S5487" s="364"/>
      <c r="Z5487" s="609" t="s">
        <v>2129</v>
      </c>
      <c r="AA5487" s="609"/>
    </row>
    <row r="5488" spans="1:27" ht="18">
      <c r="A5488" s="2714"/>
      <c r="B5488" s="371">
        <v>129</v>
      </c>
      <c r="C5488" s="371" t="s">
        <v>2791</v>
      </c>
      <c r="D5488" s="2716">
        <f t="shared" si="578"/>
        <v>0</v>
      </c>
      <c r="E5488" s="2721">
        <v>1</v>
      </c>
      <c r="F5488" s="294"/>
      <c r="G5488" s="2589" t="s">
        <v>2792</v>
      </c>
      <c r="H5488" s="2275"/>
      <c r="I5488" s="2275"/>
      <c r="J5488" s="2275"/>
      <c r="K5488" s="1477">
        <f t="shared" si="579"/>
        <v>0</v>
      </c>
      <c r="M5488" s="291"/>
      <c r="N5488" s="291"/>
      <c r="O5488" s="291"/>
      <c r="P5488" s="291"/>
      <c r="S5488" s="364"/>
      <c r="Z5488" s="609" t="s">
        <v>2129</v>
      </c>
      <c r="AA5488" s="609"/>
    </row>
    <row r="5489" spans="1:31" ht="36">
      <c r="A5489" s="2714"/>
      <c r="B5489" s="371">
        <v>130</v>
      </c>
      <c r="C5489" s="371"/>
      <c r="D5489" s="2716">
        <f t="shared" si="578"/>
        <v>1</v>
      </c>
      <c r="E5489" s="2721">
        <v>1</v>
      </c>
      <c r="F5489" s="294"/>
      <c r="G5489" s="1474" t="s">
        <v>4556</v>
      </c>
      <c r="H5489" s="2275"/>
      <c r="I5489" s="2275"/>
      <c r="J5489" s="2275"/>
      <c r="K5489" s="1477">
        <f t="shared" si="579"/>
        <v>0</v>
      </c>
      <c r="M5489" s="291"/>
      <c r="N5489" s="291"/>
      <c r="O5489" s="291"/>
      <c r="P5489" s="291"/>
      <c r="S5489" s="364"/>
      <c r="Z5489" s="609" t="s">
        <v>2129</v>
      </c>
      <c r="AA5489" s="609"/>
    </row>
    <row r="5490" spans="1:31" ht="18">
      <c r="A5490" s="2714"/>
      <c r="B5490" s="371">
        <v>131</v>
      </c>
      <c r="C5490" s="371" t="s">
        <v>2791</v>
      </c>
      <c r="D5490" s="2716">
        <f t="shared" si="578"/>
        <v>0</v>
      </c>
      <c r="E5490" s="2721">
        <v>1</v>
      </c>
      <c r="F5490" s="294"/>
      <c r="G5490" s="2589" t="s">
        <v>2792</v>
      </c>
      <c r="H5490" s="2275"/>
      <c r="I5490" s="2275"/>
      <c r="J5490" s="2275"/>
      <c r="K5490" s="1477">
        <f t="shared" si="579"/>
        <v>0</v>
      </c>
      <c r="M5490" s="291"/>
      <c r="N5490" s="291"/>
      <c r="O5490" s="291"/>
      <c r="P5490" s="291"/>
      <c r="S5490" s="364"/>
      <c r="Z5490" s="609" t="s">
        <v>2129</v>
      </c>
      <c r="AA5490" s="609"/>
    </row>
    <row r="5491" spans="1:31" ht="24">
      <c r="A5491" s="2714"/>
      <c r="B5491" s="371">
        <v>132</v>
      </c>
      <c r="C5491" s="371"/>
      <c r="D5491" s="2716">
        <f t="shared" si="578"/>
        <v>1</v>
      </c>
      <c r="E5491" s="2721">
        <v>1</v>
      </c>
      <c r="F5491" s="294"/>
      <c r="G5491" s="1474" t="s">
        <v>4557</v>
      </c>
      <c r="H5491" s="1476">
        <f>SUM(H5484,H5489,H5490)</f>
        <v>0</v>
      </c>
      <c r="I5491" s="1476">
        <f t="shared" ref="I5491:J5491" si="588">SUM(I5484,I5489,I5490)</f>
        <v>0</v>
      </c>
      <c r="J5491" s="1476">
        <f t="shared" si="588"/>
        <v>0</v>
      </c>
      <c r="K5491" s="1477">
        <f t="shared" si="579"/>
        <v>0</v>
      </c>
      <c r="M5491" s="291"/>
      <c r="N5491" s="291"/>
      <c r="O5491" s="291"/>
      <c r="P5491" s="291"/>
      <c r="S5491" s="364"/>
      <c r="Z5491" s="609" t="s">
        <v>2129</v>
      </c>
      <c r="AA5491" s="609"/>
    </row>
    <row r="5492" spans="1:31" ht="18">
      <c r="A5492" s="2714"/>
      <c r="B5492" s="371">
        <v>133</v>
      </c>
      <c r="C5492" s="371"/>
      <c r="D5492" s="2716">
        <f t="shared" si="578"/>
        <v>1</v>
      </c>
      <c r="E5492" s="2721" t="s">
        <v>41</v>
      </c>
      <c r="F5492" s="294"/>
      <c r="G5492" s="632" t="s">
        <v>4558</v>
      </c>
      <c r="H5492" s="2275"/>
      <c r="I5492" s="2275"/>
      <c r="J5492" s="2275"/>
      <c r="K5492" s="2296"/>
      <c r="M5492" s="291"/>
      <c r="N5492" s="291"/>
      <c r="O5492" s="291"/>
      <c r="P5492" s="291"/>
      <c r="S5492" s="364"/>
      <c r="Z5492" s="609" t="s">
        <v>2129</v>
      </c>
      <c r="AA5492" s="609"/>
    </row>
    <row r="5493" spans="1:31" ht="18">
      <c r="A5493" s="2714"/>
      <c r="B5493" s="371">
        <v>134</v>
      </c>
      <c r="C5493" s="371"/>
      <c r="D5493" s="2716">
        <f t="shared" si="578"/>
        <v>1</v>
      </c>
      <c r="E5493" s="2721">
        <v>1</v>
      </c>
      <c r="F5493" s="294"/>
      <c r="G5493" s="1474" t="s">
        <v>4559</v>
      </c>
      <c r="H5493" s="2275"/>
      <c r="I5493" s="2275"/>
      <c r="J5493" s="2275"/>
      <c r="K5493" s="1477">
        <f t="shared" si="579"/>
        <v>0</v>
      </c>
      <c r="M5493" s="291"/>
      <c r="N5493" s="291"/>
      <c r="O5493" s="291"/>
      <c r="P5493" s="291"/>
      <c r="S5493" s="364"/>
      <c r="Z5493" s="609" t="s">
        <v>2129</v>
      </c>
      <c r="AA5493" s="609"/>
    </row>
    <row r="5494" spans="1:31" ht="18">
      <c r="A5494" s="2714"/>
      <c r="B5494" s="371">
        <v>135</v>
      </c>
      <c r="C5494" s="371" t="s">
        <v>2791</v>
      </c>
      <c r="D5494" s="2716">
        <f t="shared" si="578"/>
        <v>0</v>
      </c>
      <c r="E5494" s="2721">
        <v>1</v>
      </c>
      <c r="F5494" s="294"/>
      <c r="G5494" s="2589" t="s">
        <v>2792</v>
      </c>
      <c r="H5494" s="2275"/>
      <c r="I5494" s="2275"/>
      <c r="J5494" s="2275"/>
      <c r="K5494" s="1477">
        <f t="shared" si="579"/>
        <v>0</v>
      </c>
      <c r="M5494" s="291"/>
      <c r="N5494" s="291"/>
      <c r="O5494" s="291"/>
      <c r="P5494" s="291"/>
      <c r="S5494" s="364"/>
      <c r="Z5494" s="609" t="s">
        <v>2129</v>
      </c>
      <c r="AA5494" s="609"/>
    </row>
    <row r="5495" spans="1:31" ht="24">
      <c r="A5495" s="2714"/>
      <c r="B5495" s="371">
        <v>136</v>
      </c>
      <c r="C5495" s="371"/>
      <c r="D5495" s="2716">
        <f t="shared" si="578"/>
        <v>1</v>
      </c>
      <c r="E5495" s="2721">
        <v>1</v>
      </c>
      <c r="F5495" s="294"/>
      <c r="G5495" s="1474" t="s">
        <v>4560</v>
      </c>
      <c r="H5495" s="1476">
        <f>SUM(H5493:H5494)</f>
        <v>0</v>
      </c>
      <c r="I5495" s="1476">
        <f>SUM(I5493:I5494)</f>
        <v>0</v>
      </c>
      <c r="J5495" s="1476">
        <f>SUM(J5493:J5494)</f>
        <v>0</v>
      </c>
      <c r="K5495" s="1477">
        <f t="shared" si="579"/>
        <v>0</v>
      </c>
      <c r="M5495" s="291"/>
      <c r="N5495" s="291"/>
      <c r="O5495" s="291"/>
      <c r="P5495" s="291"/>
      <c r="S5495" s="364"/>
      <c r="Z5495" s="609" t="s">
        <v>2129</v>
      </c>
      <c r="AA5495" s="609"/>
    </row>
    <row r="5496" spans="1:31" ht="18">
      <c r="A5496" s="2714"/>
      <c r="B5496" s="371">
        <v>137</v>
      </c>
      <c r="C5496" s="371" t="s">
        <v>2791</v>
      </c>
      <c r="D5496" s="2716">
        <f t="shared" si="578"/>
        <v>0</v>
      </c>
      <c r="E5496" s="2721">
        <v>1</v>
      </c>
      <c r="F5496" s="294"/>
      <c r="G5496" s="2589" t="s">
        <v>2792</v>
      </c>
      <c r="H5496" s="2275"/>
      <c r="I5496" s="2275"/>
      <c r="J5496" s="2275"/>
      <c r="K5496" s="1477">
        <f t="shared" si="579"/>
        <v>0</v>
      </c>
      <c r="M5496" s="291"/>
      <c r="N5496" s="291"/>
      <c r="O5496" s="291"/>
      <c r="P5496" s="291"/>
      <c r="S5496" s="364"/>
      <c r="Z5496" s="609" t="s">
        <v>2129</v>
      </c>
      <c r="AA5496" s="609"/>
    </row>
    <row r="5497" spans="1:31" ht="18">
      <c r="A5497" s="2714"/>
      <c r="B5497" s="371">
        <v>138</v>
      </c>
      <c r="C5497" s="371" t="s">
        <v>2791</v>
      </c>
      <c r="D5497" s="2716">
        <f t="shared" si="578"/>
        <v>0</v>
      </c>
      <c r="E5497" s="2721">
        <v>1</v>
      </c>
      <c r="F5497" s="294"/>
      <c r="G5497" s="2589" t="s">
        <v>2792</v>
      </c>
      <c r="H5497" s="2275"/>
      <c r="I5497" s="2275"/>
      <c r="J5497" s="2275"/>
      <c r="K5497" s="1477">
        <f t="shared" si="579"/>
        <v>0</v>
      </c>
      <c r="M5497" s="291"/>
      <c r="N5497" s="291"/>
      <c r="O5497" s="291"/>
      <c r="P5497" s="291"/>
      <c r="S5497" s="364"/>
      <c r="Z5497" s="609" t="s">
        <v>2129</v>
      </c>
      <c r="AA5497" s="609"/>
    </row>
    <row r="5498" spans="1:31" ht="24">
      <c r="A5498" s="2714"/>
      <c r="B5498" s="371">
        <v>139</v>
      </c>
      <c r="C5498" s="371"/>
      <c r="D5498" s="2716">
        <f t="shared" si="578"/>
        <v>1</v>
      </c>
      <c r="E5498" s="2721">
        <v>1</v>
      </c>
      <c r="F5498" s="294"/>
      <c r="G5498" s="1474" t="s">
        <v>4561</v>
      </c>
      <c r="H5498" s="1476">
        <f>SUM(H5496:H5497)</f>
        <v>0</v>
      </c>
      <c r="I5498" s="1476">
        <f>SUM(I5496:I5497)</f>
        <v>0</v>
      </c>
      <c r="J5498" s="1476">
        <f>SUM(J5496:J5497)</f>
        <v>0</v>
      </c>
      <c r="K5498" s="1477">
        <f t="shared" si="579"/>
        <v>0</v>
      </c>
      <c r="M5498" s="291"/>
      <c r="N5498" s="291"/>
      <c r="O5498" s="291"/>
      <c r="P5498" s="291"/>
      <c r="S5498" s="364"/>
      <c r="Z5498" s="609" t="s">
        <v>2129</v>
      </c>
      <c r="AA5498" s="609"/>
    </row>
    <row r="5499" spans="1:31" ht="18.75" thickBot="1">
      <c r="A5499" s="2714"/>
      <c r="B5499" s="371"/>
      <c r="C5499" s="371"/>
      <c r="D5499" s="2716">
        <f t="shared" si="578"/>
        <v>0</v>
      </c>
      <c r="E5499" s="2721" t="s">
        <v>3595</v>
      </c>
      <c r="F5499" s="294"/>
      <c r="G5499" s="2429"/>
      <c r="H5499" s="2308"/>
      <c r="I5499" s="2308"/>
      <c r="J5499" s="2308"/>
      <c r="K5499" s="2309"/>
      <c r="M5499" s="291"/>
      <c r="N5499" s="291"/>
      <c r="O5499" s="291"/>
      <c r="P5499" s="291"/>
      <c r="S5499" s="364"/>
      <c r="Z5499" s="609" t="s">
        <v>2129</v>
      </c>
      <c r="AA5499" s="609"/>
    </row>
    <row r="5500" spans="1:31" ht="18">
      <c r="A5500" s="2714"/>
      <c r="B5500" s="371"/>
      <c r="C5500" s="371" t="s">
        <v>2755</v>
      </c>
      <c r="D5500" s="371"/>
      <c r="F5500" s="294"/>
      <c r="G5500" s="301"/>
      <c r="H5500" s="315"/>
      <c r="I5500" s="315"/>
      <c r="J5500" s="315"/>
      <c r="K5500" s="315"/>
      <c r="L5500" s="350"/>
      <c r="M5500" s="291"/>
      <c r="N5500" s="291"/>
      <c r="O5500" s="291"/>
      <c r="P5500" s="291"/>
      <c r="S5500" s="364"/>
      <c r="Z5500" s="609" t="s">
        <v>2129</v>
      </c>
      <c r="AA5500" s="609"/>
    </row>
    <row r="5501" spans="1:31" ht="24" hidden="1">
      <c r="A5501" s="2714" t="s">
        <v>6149</v>
      </c>
      <c r="B5501" s="371">
        <v>1</v>
      </c>
      <c r="C5501" s="371"/>
      <c r="D5501" s="2716" t="str">
        <f>VLOOKUP($A5501,Sheet_NoteList,2,0)</f>
        <v>以公允价值计量的资产和负债的期末公允价值</v>
      </c>
      <c r="E5501" s="2716" t="s">
        <v>6613</v>
      </c>
      <c r="F5501" s="293"/>
      <c r="G5501" s="372" t="str">
        <f>"("&amp;B5501&amp;")"&amp;D5501</f>
        <v>(1)以公允价值计量的资产和负债的期末公允价值</v>
      </c>
      <c r="H5501" s="1517" t="str">
        <f>$A5501</f>
        <v>9331k</v>
      </c>
      <c r="I5501" s="343" t="s">
        <v>6616</v>
      </c>
      <c r="J5501" s="301" t="s">
        <v>6614</v>
      </c>
      <c r="K5501" s="391">
        <f>H5547</f>
        <v>0</v>
      </c>
      <c r="L5501" s="349"/>
      <c r="M5501" s="301" t="s">
        <v>6618</v>
      </c>
      <c r="N5501" s="391">
        <f>I5547</f>
        <v>0</v>
      </c>
      <c r="O5501" s="349"/>
      <c r="P5501" s="301"/>
      <c r="S5501" s="364"/>
      <c r="Z5501" s="609" t="s">
        <v>2129</v>
      </c>
      <c r="AA5501" s="609" t="s">
        <v>19</v>
      </c>
      <c r="AE5501" s="369" t="s">
        <v>2761</v>
      </c>
    </row>
    <row r="5502" spans="1:31" ht="0.75" hidden="1" customHeight="1">
      <c r="A5502" s="2714"/>
      <c r="B5502" s="371"/>
      <c r="C5502" s="371"/>
      <c r="D5502" s="2716"/>
      <c r="E5502" s="586"/>
      <c r="F5502" s="586"/>
      <c r="G5502" s="2224" t="s">
        <v>6151</v>
      </c>
      <c r="H5502" s="371" t="s">
        <v>2833</v>
      </c>
      <c r="I5502" s="371" t="s">
        <v>4524</v>
      </c>
      <c r="J5502" s="371" t="s">
        <v>4525</v>
      </c>
      <c r="K5502" s="371" t="s">
        <v>4526</v>
      </c>
      <c r="L5502" s="2211"/>
      <c r="M5502" s="2212"/>
      <c r="N5502" s="2210"/>
      <c r="O5502" s="2211"/>
      <c r="P5502" s="2212"/>
      <c r="Q5502" s="442"/>
      <c r="R5502" s="442"/>
      <c r="S5502" s="364"/>
      <c r="Z5502" s="609" t="s">
        <v>2129</v>
      </c>
      <c r="AA5502" s="609" t="s">
        <v>19</v>
      </c>
      <c r="AE5502" s="369" t="s">
        <v>2761</v>
      </c>
    </row>
    <row r="5503" spans="1:31" ht="0.75" hidden="1" customHeight="1" thickBot="1">
      <c r="A5503" s="2714"/>
      <c r="B5503" s="371"/>
      <c r="C5503" s="371"/>
      <c r="D5503" s="2716"/>
      <c r="E5503" s="586"/>
      <c r="F5503" s="586"/>
      <c r="G5503" s="2224"/>
      <c r="H5503" s="371" t="s">
        <v>4527</v>
      </c>
      <c r="I5503" s="371" t="s">
        <v>4528</v>
      </c>
      <c r="J5503" s="371" t="s">
        <v>4529</v>
      </c>
      <c r="K5503" s="371" t="s">
        <v>4530</v>
      </c>
      <c r="L5503" s="2211"/>
      <c r="M5503" s="2212"/>
      <c r="N5503" s="2210"/>
      <c r="O5503" s="2211"/>
      <c r="P5503" s="2212"/>
      <c r="Q5503" s="442"/>
      <c r="R5503" s="442"/>
      <c r="S5503" s="364"/>
      <c r="Z5503" s="609" t="s">
        <v>2129</v>
      </c>
      <c r="AA5503" s="609" t="s">
        <v>19</v>
      </c>
      <c r="AE5503" s="369" t="s">
        <v>2761</v>
      </c>
    </row>
    <row r="5504" spans="1:31" ht="18" hidden="1" customHeight="1">
      <c r="A5504" s="2714"/>
      <c r="B5504" s="371"/>
      <c r="C5504" s="371"/>
      <c r="D5504" s="2716"/>
      <c r="E5504" s="586" t="s">
        <v>2749</v>
      </c>
      <c r="F5504" s="414"/>
      <c r="G5504" s="3295" t="s">
        <v>47</v>
      </c>
      <c r="H5504" s="3279" t="s">
        <v>6152</v>
      </c>
      <c r="I5504" s="3279"/>
      <c r="J5504" s="3279"/>
      <c r="K5504" s="3280"/>
      <c r="L5504" s="2621" t="s">
        <v>5990</v>
      </c>
      <c r="M5504" s="2212"/>
      <c r="N5504" s="2210"/>
      <c r="O5504" s="2211"/>
      <c r="P5504" s="2212"/>
      <c r="Q5504" s="442"/>
      <c r="R5504" s="442"/>
      <c r="S5504" s="364"/>
      <c r="Z5504" s="609" t="s">
        <v>2129</v>
      </c>
      <c r="AA5504" s="609" t="s">
        <v>19</v>
      </c>
      <c r="AE5504" s="369" t="s">
        <v>2761</v>
      </c>
    </row>
    <row r="5505" spans="1:31" ht="24" hidden="1">
      <c r="A5505" s="2714"/>
      <c r="B5505" s="371"/>
      <c r="C5505" s="371"/>
      <c r="D5505" s="2716"/>
      <c r="E5505" s="586" t="s">
        <v>2749</v>
      </c>
      <c r="F5505" s="414"/>
      <c r="G5505" s="3296"/>
      <c r="H5505" s="2587" t="s">
        <v>4531</v>
      </c>
      <c r="I5505" s="2587" t="s">
        <v>4532</v>
      </c>
      <c r="J5505" s="2587" t="s">
        <v>4533</v>
      </c>
      <c r="K5505" s="2576" t="s">
        <v>3351</v>
      </c>
      <c r="L5505" s="2211"/>
      <c r="M5505" s="2212"/>
      <c r="N5505" s="2210"/>
      <c r="O5505" s="2211"/>
      <c r="P5505" s="2212"/>
      <c r="Q5505" s="442"/>
      <c r="R5505" s="442"/>
      <c r="S5505" s="364"/>
      <c r="Z5505" s="609" t="s">
        <v>2129</v>
      </c>
      <c r="AA5505" s="609" t="s">
        <v>19</v>
      </c>
      <c r="AE5505" s="369" t="s">
        <v>2761</v>
      </c>
    </row>
    <row r="5506" spans="1:31" ht="18" hidden="1">
      <c r="A5506" s="2714"/>
      <c r="B5506" s="371">
        <v>101</v>
      </c>
      <c r="C5506" s="371"/>
      <c r="D5506" s="2716">
        <f t="shared" ref="D5506:D5547" si="589">IF(OR(G5506="*",G5506="",G5506=0),0,COUNTIF($G$5506:$G$5547,G5506))</f>
        <v>1</v>
      </c>
      <c r="E5506" s="2721" t="s">
        <v>41</v>
      </c>
      <c r="F5506" s="293"/>
      <c r="G5506" s="1474" t="s">
        <v>4534</v>
      </c>
      <c r="H5506" s="2275"/>
      <c r="I5506" s="2275"/>
      <c r="J5506" s="2275"/>
      <c r="K5506" s="2296"/>
      <c r="L5506" s="2211"/>
      <c r="M5506" s="2212"/>
      <c r="N5506" s="2210"/>
      <c r="O5506" s="2211"/>
      <c r="P5506" s="2212"/>
      <c r="Q5506" s="442"/>
      <c r="R5506" s="442"/>
      <c r="S5506" s="364"/>
      <c r="Z5506" s="609" t="s">
        <v>2129</v>
      </c>
      <c r="AA5506" s="609" t="s">
        <v>19</v>
      </c>
      <c r="AE5506" s="369" t="s">
        <v>2761</v>
      </c>
    </row>
    <row r="5507" spans="1:31" ht="24" hidden="1">
      <c r="A5507" s="2714"/>
      <c r="B5507" s="371">
        <v>102</v>
      </c>
      <c r="C5507" s="371"/>
      <c r="D5507" s="2716">
        <f t="shared" si="589"/>
        <v>1</v>
      </c>
      <c r="E5507" s="2721">
        <v>1</v>
      </c>
      <c r="F5507" s="293"/>
      <c r="G5507" s="1474" t="s">
        <v>6153</v>
      </c>
      <c r="H5507" s="1476">
        <f>SUM(H5508,H5513)</f>
        <v>0</v>
      </c>
      <c r="I5507" s="1476">
        <f t="shared" ref="I5507:J5507" si="590">SUM(I5508,I5513)</f>
        <v>0</v>
      </c>
      <c r="J5507" s="1476">
        <f t="shared" si="590"/>
        <v>0</v>
      </c>
      <c r="K5507" s="1477">
        <f>SUM(H5507:J5507)</f>
        <v>0</v>
      </c>
      <c r="L5507" s="2211"/>
      <c r="M5507" s="2212"/>
      <c r="N5507" s="2210"/>
      <c r="O5507" s="2211"/>
      <c r="P5507" s="2212"/>
      <c r="Q5507" s="442"/>
      <c r="R5507" s="442"/>
      <c r="S5507" s="364"/>
      <c r="Z5507" s="609" t="s">
        <v>2129</v>
      </c>
      <c r="AA5507" s="609" t="s">
        <v>19</v>
      </c>
      <c r="AE5507" s="369" t="s">
        <v>2761</v>
      </c>
    </row>
    <row r="5508" spans="1:31" ht="18" hidden="1">
      <c r="A5508" s="2714"/>
      <c r="B5508" s="371">
        <v>103</v>
      </c>
      <c r="C5508" s="371"/>
      <c r="D5508" s="2716">
        <f t="shared" si="589"/>
        <v>1</v>
      </c>
      <c r="E5508" s="2721">
        <v>1</v>
      </c>
      <c r="F5508" s="293"/>
      <c r="G5508" s="1474" t="s">
        <v>6159</v>
      </c>
      <c r="H5508" s="1476">
        <f>SUM(H5509:H5512)</f>
        <v>0</v>
      </c>
      <c r="I5508" s="1476">
        <f t="shared" ref="I5508:J5508" si="591">SUM(I5509:I5512)</f>
        <v>0</v>
      </c>
      <c r="J5508" s="1476">
        <f t="shared" si="591"/>
        <v>0</v>
      </c>
      <c r="K5508" s="1477">
        <f t="shared" ref="K5508:K5546" si="592">SUM(H5508:J5508)</f>
        <v>0</v>
      </c>
      <c r="L5508" s="2211"/>
      <c r="M5508" s="2212"/>
      <c r="N5508" s="2210"/>
      <c r="O5508" s="2211"/>
      <c r="P5508" s="2212"/>
      <c r="Q5508" s="442"/>
      <c r="R5508" s="442"/>
      <c r="S5508" s="364"/>
      <c r="Z5508" s="609" t="s">
        <v>2129</v>
      </c>
      <c r="AA5508" s="609" t="s">
        <v>19</v>
      </c>
      <c r="AE5508" s="369" t="s">
        <v>2761</v>
      </c>
    </row>
    <row r="5509" spans="1:31" ht="18" hidden="1">
      <c r="A5509" s="2714"/>
      <c r="B5509" s="371">
        <v>104</v>
      </c>
      <c r="C5509" s="371"/>
      <c r="D5509" s="2716">
        <f t="shared" si="589"/>
        <v>1</v>
      </c>
      <c r="E5509" s="2721">
        <v>1</v>
      </c>
      <c r="F5509" s="293"/>
      <c r="G5509" s="1474" t="s">
        <v>6161</v>
      </c>
      <c r="H5509" s="2275"/>
      <c r="I5509" s="2275"/>
      <c r="J5509" s="2275"/>
      <c r="K5509" s="1477">
        <f t="shared" si="592"/>
        <v>0</v>
      </c>
      <c r="L5509" s="2211"/>
      <c r="M5509" s="2212"/>
      <c r="N5509" s="2210"/>
      <c r="O5509" s="2211"/>
      <c r="P5509" s="2212"/>
      <c r="Q5509" s="442"/>
      <c r="R5509" s="442"/>
      <c r="S5509" s="364"/>
      <c r="Z5509" s="609" t="s">
        <v>2129</v>
      </c>
      <c r="AA5509" s="609" t="s">
        <v>19</v>
      </c>
      <c r="AE5509" s="369" t="s">
        <v>2761</v>
      </c>
    </row>
    <row r="5510" spans="1:31" ht="18" hidden="1">
      <c r="A5510" s="2714"/>
      <c r="B5510" s="371">
        <v>105</v>
      </c>
      <c r="C5510" s="371"/>
      <c r="D5510" s="2716">
        <f t="shared" si="589"/>
        <v>1</v>
      </c>
      <c r="E5510" s="2721">
        <v>1</v>
      </c>
      <c r="F5510" s="293"/>
      <c r="G5510" s="1474" t="s">
        <v>6163</v>
      </c>
      <c r="H5510" s="2275"/>
      <c r="I5510" s="2275"/>
      <c r="J5510" s="2275"/>
      <c r="K5510" s="1477">
        <f t="shared" si="592"/>
        <v>0</v>
      </c>
      <c r="L5510" s="2211"/>
      <c r="M5510" s="2212"/>
      <c r="N5510" s="2210"/>
      <c r="O5510" s="2211"/>
      <c r="P5510" s="2212"/>
      <c r="Q5510" s="442"/>
      <c r="R5510" s="442"/>
      <c r="S5510" s="364"/>
      <c r="Z5510" s="609" t="s">
        <v>2129</v>
      </c>
      <c r="AA5510" s="609" t="s">
        <v>19</v>
      </c>
      <c r="AE5510" s="369" t="s">
        <v>2761</v>
      </c>
    </row>
    <row r="5511" spans="1:31" ht="18" hidden="1">
      <c r="A5511" s="2714"/>
      <c r="B5511" s="371">
        <v>106</v>
      </c>
      <c r="C5511" s="371"/>
      <c r="D5511" s="2716">
        <f t="shared" si="589"/>
        <v>1</v>
      </c>
      <c r="E5511" s="2721">
        <v>1</v>
      </c>
      <c r="F5511" s="293"/>
      <c r="G5511" s="1474" t="s">
        <v>4538</v>
      </c>
      <c r="H5511" s="2275"/>
      <c r="I5511" s="2275"/>
      <c r="J5511" s="2275"/>
      <c r="K5511" s="1477">
        <f t="shared" si="592"/>
        <v>0</v>
      </c>
      <c r="L5511" s="2211"/>
      <c r="M5511" s="2212"/>
      <c r="N5511" s="2210"/>
      <c r="O5511" s="2211"/>
      <c r="P5511" s="2212"/>
      <c r="Q5511" s="442"/>
      <c r="R5511" s="442"/>
      <c r="S5511" s="364"/>
      <c r="Z5511" s="609" t="s">
        <v>2129</v>
      </c>
      <c r="AA5511" s="609" t="s">
        <v>19</v>
      </c>
      <c r="AE5511" s="369" t="s">
        <v>2761</v>
      </c>
    </row>
    <row r="5512" spans="1:31" ht="18" hidden="1">
      <c r="A5512" s="2714"/>
      <c r="B5512" s="371">
        <v>107</v>
      </c>
      <c r="C5512" s="371" t="s">
        <v>6535</v>
      </c>
      <c r="D5512" s="2716">
        <f t="shared" si="589"/>
        <v>0</v>
      </c>
      <c r="E5512" s="2721">
        <v>1</v>
      </c>
      <c r="F5512" s="293"/>
      <c r="G5512" s="2589" t="s">
        <v>2792</v>
      </c>
      <c r="H5512" s="2275"/>
      <c r="I5512" s="2275"/>
      <c r="J5512" s="2275"/>
      <c r="K5512" s="1477">
        <f t="shared" si="592"/>
        <v>0</v>
      </c>
      <c r="L5512" s="2211"/>
      <c r="M5512" s="2212"/>
      <c r="N5512" s="2210"/>
      <c r="O5512" s="2211"/>
      <c r="P5512" s="2212"/>
      <c r="Q5512" s="442"/>
      <c r="R5512" s="442"/>
      <c r="S5512" s="364"/>
      <c r="Z5512" s="609" t="s">
        <v>2129</v>
      </c>
      <c r="AA5512" s="609" t="s">
        <v>19</v>
      </c>
      <c r="AE5512" s="369" t="s">
        <v>2761</v>
      </c>
    </row>
    <row r="5513" spans="1:31" ht="24" hidden="1">
      <c r="A5513" s="2714"/>
      <c r="B5513" s="371">
        <v>108</v>
      </c>
      <c r="C5513" s="371"/>
      <c r="D5513" s="2716">
        <f t="shared" si="589"/>
        <v>1</v>
      </c>
      <c r="E5513" s="2721">
        <v>1</v>
      </c>
      <c r="F5513" s="293"/>
      <c r="G5513" s="1474" t="s">
        <v>4539</v>
      </c>
      <c r="H5513" s="1476">
        <f>SUM(H5514:H5516)</f>
        <v>0</v>
      </c>
      <c r="I5513" s="1476">
        <f t="shared" ref="I5513:J5513" si="593">SUM(I5514:I5516)</f>
        <v>0</v>
      </c>
      <c r="J5513" s="1476">
        <f t="shared" si="593"/>
        <v>0</v>
      </c>
      <c r="K5513" s="1477">
        <f t="shared" si="592"/>
        <v>0</v>
      </c>
      <c r="L5513" s="2211"/>
      <c r="M5513" s="2212"/>
      <c r="N5513" s="2210"/>
      <c r="O5513" s="2211"/>
      <c r="P5513" s="2212"/>
      <c r="Q5513" s="442"/>
      <c r="R5513" s="442"/>
      <c r="S5513" s="364"/>
      <c r="Z5513" s="609" t="s">
        <v>2129</v>
      </c>
      <c r="AA5513" s="609" t="s">
        <v>19</v>
      </c>
      <c r="AE5513" s="369" t="s">
        <v>2761</v>
      </c>
    </row>
    <row r="5514" spans="1:31" ht="18" hidden="1">
      <c r="A5514" s="2714"/>
      <c r="B5514" s="371">
        <v>109</v>
      </c>
      <c r="C5514" s="371"/>
      <c r="D5514" s="2716">
        <f t="shared" si="589"/>
        <v>1</v>
      </c>
      <c r="E5514" s="2721">
        <v>1</v>
      </c>
      <c r="F5514" s="293"/>
      <c r="G5514" s="1474" t="s">
        <v>6162</v>
      </c>
      <c r="H5514" s="2275"/>
      <c r="I5514" s="2275"/>
      <c r="J5514" s="2275"/>
      <c r="K5514" s="1477">
        <f t="shared" si="592"/>
        <v>0</v>
      </c>
      <c r="L5514" s="2211"/>
      <c r="M5514" s="2212"/>
      <c r="N5514" s="2210"/>
      <c r="O5514" s="2211"/>
      <c r="P5514" s="2212"/>
      <c r="Q5514" s="442"/>
      <c r="R5514" s="442"/>
      <c r="S5514" s="364"/>
      <c r="Z5514" s="609" t="s">
        <v>2129</v>
      </c>
      <c r="AA5514" s="609" t="s">
        <v>19</v>
      </c>
      <c r="AE5514" s="369" t="s">
        <v>2761</v>
      </c>
    </row>
    <row r="5515" spans="1:31" ht="18" hidden="1">
      <c r="A5515" s="2714"/>
      <c r="B5515" s="371">
        <v>110</v>
      </c>
      <c r="C5515" s="371"/>
      <c r="D5515" s="2716">
        <f t="shared" si="589"/>
        <v>1</v>
      </c>
      <c r="E5515" s="2721">
        <v>1</v>
      </c>
      <c r="F5515" s="293"/>
      <c r="G5515" s="1474" t="s">
        <v>6164</v>
      </c>
      <c r="H5515" s="2275"/>
      <c r="I5515" s="2275"/>
      <c r="J5515" s="2275"/>
      <c r="K5515" s="1477">
        <f t="shared" si="592"/>
        <v>0</v>
      </c>
      <c r="L5515" s="2211"/>
      <c r="M5515" s="2212"/>
      <c r="N5515" s="2210"/>
      <c r="O5515" s="2211"/>
      <c r="P5515" s="2212"/>
      <c r="Q5515" s="442"/>
      <c r="R5515" s="442"/>
      <c r="S5515" s="364"/>
      <c r="Z5515" s="609" t="s">
        <v>2129</v>
      </c>
      <c r="AA5515" s="609" t="s">
        <v>19</v>
      </c>
      <c r="AE5515" s="369" t="s">
        <v>2761</v>
      </c>
    </row>
    <row r="5516" spans="1:31" ht="18" hidden="1">
      <c r="A5516" s="2714"/>
      <c r="B5516" s="371">
        <v>111</v>
      </c>
      <c r="C5516" s="371" t="s">
        <v>6535</v>
      </c>
      <c r="D5516" s="2716">
        <f t="shared" si="589"/>
        <v>0</v>
      </c>
      <c r="E5516" s="2721">
        <v>1</v>
      </c>
      <c r="F5516" s="293"/>
      <c r="G5516" s="2589" t="s">
        <v>2792</v>
      </c>
      <c r="H5516" s="2275"/>
      <c r="I5516" s="2275"/>
      <c r="J5516" s="2275"/>
      <c r="K5516" s="1477">
        <f t="shared" si="592"/>
        <v>0</v>
      </c>
      <c r="L5516" s="2211"/>
      <c r="M5516" s="2212"/>
      <c r="N5516" s="2210"/>
      <c r="O5516" s="2211"/>
      <c r="P5516" s="2212"/>
      <c r="Q5516" s="442"/>
      <c r="R5516" s="442"/>
      <c r="S5516" s="364"/>
      <c r="Z5516" s="609" t="s">
        <v>2129</v>
      </c>
      <c r="AA5516" s="609" t="s">
        <v>19</v>
      </c>
      <c r="AE5516" s="369" t="s">
        <v>2761</v>
      </c>
    </row>
    <row r="5517" spans="1:31" ht="18" hidden="1">
      <c r="A5517" s="2714"/>
      <c r="B5517" s="371">
        <v>112</v>
      </c>
      <c r="C5517" s="371"/>
      <c r="D5517" s="2716">
        <f t="shared" si="589"/>
        <v>1</v>
      </c>
      <c r="E5517" s="2721">
        <v>1</v>
      </c>
      <c r="F5517" s="293"/>
      <c r="G5517" s="1474" t="s">
        <v>6154</v>
      </c>
      <c r="H5517" s="1476">
        <f>SUM(H5518:H5521)</f>
        <v>0</v>
      </c>
      <c r="I5517" s="1476">
        <f t="shared" ref="I5517:J5517" si="594">SUM(I5518:I5521)</f>
        <v>0</v>
      </c>
      <c r="J5517" s="1476">
        <f t="shared" si="594"/>
        <v>0</v>
      </c>
      <c r="K5517" s="1477">
        <f t="shared" si="592"/>
        <v>0</v>
      </c>
      <c r="L5517" s="2211"/>
      <c r="M5517" s="2212"/>
      <c r="N5517" s="2210"/>
      <c r="O5517" s="2211"/>
      <c r="P5517" s="2212"/>
      <c r="Q5517" s="442"/>
      <c r="R5517" s="442"/>
      <c r="S5517" s="364"/>
      <c r="Z5517" s="609" t="s">
        <v>2129</v>
      </c>
      <c r="AA5517" s="609" t="s">
        <v>19</v>
      </c>
      <c r="AE5517" s="369" t="s">
        <v>2761</v>
      </c>
    </row>
    <row r="5518" spans="1:31" ht="18" hidden="1">
      <c r="A5518" s="2714"/>
      <c r="B5518" s="371">
        <v>113</v>
      </c>
      <c r="C5518" s="371"/>
      <c r="D5518" s="2716">
        <f t="shared" si="589"/>
        <v>1</v>
      </c>
      <c r="E5518" s="2721">
        <v>1</v>
      </c>
      <c r="F5518" s="293"/>
      <c r="G5518" s="1474" t="s">
        <v>6165</v>
      </c>
      <c r="H5518" s="2275"/>
      <c r="I5518" s="2275"/>
      <c r="J5518" s="2275"/>
      <c r="K5518" s="1477">
        <f>SUM(H5518:J5518)</f>
        <v>0</v>
      </c>
      <c r="L5518" s="2211"/>
      <c r="M5518" s="2212"/>
      <c r="N5518" s="2210"/>
      <c r="O5518" s="2211"/>
      <c r="P5518" s="2212"/>
      <c r="Q5518" s="442"/>
      <c r="R5518" s="442"/>
      <c r="S5518" s="364"/>
      <c r="Z5518" s="609" t="s">
        <v>2129</v>
      </c>
      <c r="AA5518" s="609" t="s">
        <v>19</v>
      </c>
      <c r="AE5518" s="369" t="s">
        <v>2761</v>
      </c>
    </row>
    <row r="5519" spans="1:31" ht="18" hidden="1">
      <c r="A5519" s="2714"/>
      <c r="B5519" s="371">
        <v>114</v>
      </c>
      <c r="C5519" s="371"/>
      <c r="D5519" s="2716">
        <f t="shared" si="589"/>
        <v>1</v>
      </c>
      <c r="E5519" s="2721">
        <v>1</v>
      </c>
      <c r="F5519" s="293"/>
      <c r="G5519" s="1474" t="s">
        <v>6166</v>
      </c>
      <c r="H5519" s="2275"/>
      <c r="I5519" s="2275"/>
      <c r="J5519" s="2275"/>
      <c r="K5519" s="1477">
        <f t="shared" si="592"/>
        <v>0</v>
      </c>
      <c r="L5519" s="2211"/>
      <c r="M5519" s="2212"/>
      <c r="N5519" s="2210"/>
      <c r="O5519" s="2211"/>
      <c r="P5519" s="2212"/>
      <c r="Q5519" s="442"/>
      <c r="R5519" s="442"/>
      <c r="S5519" s="364"/>
      <c r="Z5519" s="609" t="s">
        <v>2129</v>
      </c>
      <c r="AA5519" s="609" t="s">
        <v>19</v>
      </c>
      <c r="AE5519" s="369" t="s">
        <v>2761</v>
      </c>
    </row>
    <row r="5520" spans="1:31" ht="18" hidden="1">
      <c r="A5520" s="2714"/>
      <c r="B5520" s="371">
        <v>115</v>
      </c>
      <c r="C5520" s="371"/>
      <c r="D5520" s="2716">
        <f t="shared" si="589"/>
        <v>1</v>
      </c>
      <c r="E5520" s="2721">
        <v>1</v>
      </c>
      <c r="F5520" s="293"/>
      <c r="G5520" s="1474" t="s">
        <v>6160</v>
      </c>
      <c r="H5520" s="2275"/>
      <c r="I5520" s="2275"/>
      <c r="J5520" s="2275"/>
      <c r="K5520" s="1477">
        <f t="shared" si="592"/>
        <v>0</v>
      </c>
      <c r="L5520" s="2211"/>
      <c r="M5520" s="2212"/>
      <c r="N5520" s="2210"/>
      <c r="O5520" s="2211"/>
      <c r="P5520" s="2212"/>
      <c r="Q5520" s="442"/>
      <c r="R5520" s="442"/>
      <c r="S5520" s="364"/>
      <c r="Z5520" s="609" t="s">
        <v>2129</v>
      </c>
      <c r="AA5520" s="609" t="s">
        <v>19</v>
      </c>
      <c r="AE5520" s="369" t="s">
        <v>2761</v>
      </c>
    </row>
    <row r="5521" spans="1:31" ht="18" hidden="1">
      <c r="A5521" s="2714"/>
      <c r="B5521" s="371">
        <v>116</v>
      </c>
      <c r="C5521" s="371" t="s">
        <v>6535</v>
      </c>
      <c r="D5521" s="2716">
        <f t="shared" si="589"/>
        <v>0</v>
      </c>
      <c r="E5521" s="2721">
        <v>1</v>
      </c>
      <c r="F5521" s="293"/>
      <c r="G5521" s="2589" t="s">
        <v>2792</v>
      </c>
      <c r="H5521" s="2275"/>
      <c r="I5521" s="2275"/>
      <c r="J5521" s="2275"/>
      <c r="K5521" s="1477">
        <f t="shared" si="592"/>
        <v>0</v>
      </c>
      <c r="L5521" s="2211"/>
      <c r="M5521" s="2212"/>
      <c r="N5521" s="2210"/>
      <c r="O5521" s="2211"/>
      <c r="P5521" s="2212"/>
      <c r="Q5521" s="442"/>
      <c r="R5521" s="442"/>
      <c r="S5521" s="364"/>
      <c r="Z5521" s="609" t="s">
        <v>2129</v>
      </c>
      <c r="AA5521" s="609" t="s">
        <v>19</v>
      </c>
      <c r="AE5521" s="369" t="s">
        <v>2761</v>
      </c>
    </row>
    <row r="5522" spans="1:31" ht="18" hidden="1">
      <c r="A5522" s="2714"/>
      <c r="B5522" s="371">
        <v>117</v>
      </c>
      <c r="C5522" s="371"/>
      <c r="D5522" s="2716">
        <f t="shared" si="589"/>
        <v>1</v>
      </c>
      <c r="E5522" s="2721">
        <v>1</v>
      </c>
      <c r="F5522" s="293"/>
      <c r="G5522" s="1474" t="s">
        <v>6155</v>
      </c>
      <c r="H5522" s="1476">
        <f>SUM(H5523:H5526)</f>
        <v>0</v>
      </c>
      <c r="I5522" s="1476">
        <f t="shared" ref="I5522:J5522" si="595">SUM(I5523:I5526)</f>
        <v>0</v>
      </c>
      <c r="J5522" s="1476">
        <f t="shared" si="595"/>
        <v>0</v>
      </c>
      <c r="K5522" s="1477">
        <f t="shared" si="592"/>
        <v>0</v>
      </c>
      <c r="L5522" s="2211"/>
      <c r="M5522" s="2212"/>
      <c r="N5522" s="2210"/>
      <c r="O5522" s="2211"/>
      <c r="P5522" s="2212"/>
      <c r="Q5522" s="442"/>
      <c r="R5522" s="442"/>
      <c r="S5522" s="364"/>
      <c r="Z5522" s="609" t="s">
        <v>2129</v>
      </c>
      <c r="AA5522" s="609" t="s">
        <v>19</v>
      </c>
      <c r="AE5522" s="369" t="s">
        <v>2761</v>
      </c>
    </row>
    <row r="5523" spans="1:31" ht="18" hidden="1">
      <c r="A5523" s="2714"/>
      <c r="B5523" s="371">
        <v>118</v>
      </c>
      <c r="C5523" s="371"/>
      <c r="D5523" s="2716">
        <f t="shared" si="589"/>
        <v>1</v>
      </c>
      <c r="E5523" s="2721">
        <v>1</v>
      </c>
      <c r="F5523" s="293"/>
      <c r="G5523" s="1474" t="s">
        <v>4545</v>
      </c>
      <c r="H5523" s="2275"/>
      <c r="I5523" s="2275"/>
      <c r="J5523" s="2275"/>
      <c r="K5523" s="1477">
        <f t="shared" si="592"/>
        <v>0</v>
      </c>
      <c r="L5523" s="2211"/>
      <c r="M5523" s="2212"/>
      <c r="N5523" s="2210"/>
      <c r="O5523" s="2211"/>
      <c r="P5523" s="2212"/>
      <c r="Q5523" s="442"/>
      <c r="R5523" s="442"/>
      <c r="S5523" s="364"/>
      <c r="Z5523" s="609" t="s">
        <v>2129</v>
      </c>
      <c r="AA5523" s="609" t="s">
        <v>19</v>
      </c>
      <c r="AE5523" s="369" t="s">
        <v>2761</v>
      </c>
    </row>
    <row r="5524" spans="1:31" ht="18" hidden="1">
      <c r="A5524" s="2714"/>
      <c r="B5524" s="371">
        <v>119</v>
      </c>
      <c r="C5524" s="371"/>
      <c r="D5524" s="2716">
        <f t="shared" si="589"/>
        <v>1</v>
      </c>
      <c r="E5524" s="2721">
        <v>1</v>
      </c>
      <c r="F5524" s="293"/>
      <c r="G5524" s="1474" t="s">
        <v>4546</v>
      </c>
      <c r="H5524" s="2275"/>
      <c r="I5524" s="2275"/>
      <c r="J5524" s="2275"/>
      <c r="K5524" s="1477">
        <f t="shared" si="592"/>
        <v>0</v>
      </c>
      <c r="L5524" s="2211"/>
      <c r="M5524" s="2212"/>
      <c r="N5524" s="2210"/>
      <c r="O5524" s="2211"/>
      <c r="P5524" s="2212"/>
      <c r="Q5524" s="442"/>
      <c r="R5524" s="442"/>
      <c r="S5524" s="364"/>
      <c r="Z5524" s="609" t="s">
        <v>2129</v>
      </c>
      <c r="AA5524" s="609" t="s">
        <v>19</v>
      </c>
      <c r="AE5524" s="369" t="s">
        <v>2761</v>
      </c>
    </row>
    <row r="5525" spans="1:31" ht="24" hidden="1">
      <c r="A5525" s="2714"/>
      <c r="B5525" s="371">
        <v>120</v>
      </c>
      <c r="C5525" s="371"/>
      <c r="D5525" s="2716">
        <f t="shared" si="589"/>
        <v>1</v>
      </c>
      <c r="E5525" s="2721">
        <v>1</v>
      </c>
      <c r="F5525" s="293"/>
      <c r="G5525" s="1474" t="s">
        <v>4547</v>
      </c>
      <c r="H5525" s="2275"/>
      <c r="I5525" s="2275"/>
      <c r="J5525" s="2275"/>
      <c r="K5525" s="1477">
        <f t="shared" si="592"/>
        <v>0</v>
      </c>
      <c r="L5525" s="2211"/>
      <c r="M5525" s="2212"/>
      <c r="N5525" s="2210"/>
      <c r="O5525" s="2211"/>
      <c r="P5525" s="2212"/>
      <c r="Q5525" s="442"/>
      <c r="R5525" s="442"/>
      <c r="S5525" s="364"/>
      <c r="Z5525" s="609" t="s">
        <v>2129</v>
      </c>
      <c r="AA5525" s="609" t="s">
        <v>19</v>
      </c>
      <c r="AE5525" s="369" t="s">
        <v>2761</v>
      </c>
    </row>
    <row r="5526" spans="1:31" ht="18" hidden="1">
      <c r="A5526" s="2714"/>
      <c r="B5526" s="371">
        <v>121</v>
      </c>
      <c r="C5526" s="371" t="s">
        <v>6535</v>
      </c>
      <c r="D5526" s="2716">
        <f t="shared" si="589"/>
        <v>0</v>
      </c>
      <c r="E5526" s="2721">
        <v>1</v>
      </c>
      <c r="F5526" s="293"/>
      <c r="G5526" s="2589" t="s">
        <v>2792</v>
      </c>
      <c r="H5526" s="2275"/>
      <c r="I5526" s="2275"/>
      <c r="J5526" s="2275"/>
      <c r="K5526" s="1477">
        <f>SUM(H5526:J5526)</f>
        <v>0</v>
      </c>
      <c r="L5526" s="2211"/>
      <c r="M5526" s="2212"/>
      <c r="N5526" s="2210"/>
      <c r="O5526" s="2211"/>
      <c r="P5526" s="2212"/>
      <c r="Q5526" s="442"/>
      <c r="R5526" s="442"/>
      <c r="S5526" s="364"/>
      <c r="Z5526" s="609" t="s">
        <v>2129</v>
      </c>
      <c r="AA5526" s="609" t="s">
        <v>19</v>
      </c>
      <c r="AE5526" s="369" t="s">
        <v>2761</v>
      </c>
    </row>
    <row r="5527" spans="1:31" ht="18" hidden="1">
      <c r="A5527" s="2714"/>
      <c r="B5527" s="371">
        <v>122</v>
      </c>
      <c r="C5527" s="371"/>
      <c r="D5527" s="2716">
        <f t="shared" si="589"/>
        <v>1</v>
      </c>
      <c r="E5527" s="2721">
        <v>1</v>
      </c>
      <c r="F5527" s="293"/>
      <c r="G5527" s="1474" t="s">
        <v>6156</v>
      </c>
      <c r="H5527" s="1476">
        <f>SUM(H5528:H5529)</f>
        <v>0</v>
      </c>
      <c r="I5527" s="1476">
        <f t="shared" ref="I5527:J5527" si="596">SUM(I5528:I5529)</f>
        <v>0</v>
      </c>
      <c r="J5527" s="1476">
        <f t="shared" si="596"/>
        <v>0</v>
      </c>
      <c r="K5527" s="1477">
        <f t="shared" si="592"/>
        <v>0</v>
      </c>
      <c r="L5527" s="2211"/>
      <c r="M5527" s="2212"/>
      <c r="N5527" s="2210"/>
      <c r="O5527" s="2211"/>
      <c r="P5527" s="2212"/>
      <c r="Q5527" s="442"/>
      <c r="R5527" s="442"/>
      <c r="S5527" s="364"/>
      <c r="Z5527" s="609" t="s">
        <v>2129</v>
      </c>
      <c r="AA5527" s="609" t="s">
        <v>19</v>
      </c>
      <c r="AE5527" s="369" t="s">
        <v>2761</v>
      </c>
    </row>
    <row r="5528" spans="1:31" ht="18" hidden="1">
      <c r="A5528" s="2714"/>
      <c r="B5528" s="371">
        <v>123</v>
      </c>
      <c r="C5528" s="371"/>
      <c r="D5528" s="2716">
        <f t="shared" si="589"/>
        <v>1</v>
      </c>
      <c r="E5528" s="2721">
        <v>1</v>
      </c>
      <c r="F5528" s="293"/>
      <c r="G5528" s="1474" t="s">
        <v>4549</v>
      </c>
      <c r="H5528" s="2275"/>
      <c r="I5528" s="2275"/>
      <c r="J5528" s="2275"/>
      <c r="K5528" s="1477">
        <f t="shared" si="592"/>
        <v>0</v>
      </c>
      <c r="L5528" s="2211"/>
      <c r="M5528" s="2212"/>
      <c r="N5528" s="2210"/>
      <c r="O5528" s="2211"/>
      <c r="P5528" s="2212"/>
      <c r="Q5528" s="442"/>
      <c r="R5528" s="442"/>
      <c r="S5528" s="364"/>
      <c r="Z5528" s="609" t="s">
        <v>2129</v>
      </c>
      <c r="AA5528" s="609" t="s">
        <v>19</v>
      </c>
      <c r="AE5528" s="369" t="s">
        <v>2761</v>
      </c>
    </row>
    <row r="5529" spans="1:31" ht="18" hidden="1">
      <c r="A5529" s="2714"/>
      <c r="B5529" s="371">
        <v>124</v>
      </c>
      <c r="C5529" s="371"/>
      <c r="D5529" s="2716">
        <f t="shared" si="589"/>
        <v>1</v>
      </c>
      <c r="E5529" s="2721">
        <v>1</v>
      </c>
      <c r="F5529" s="293"/>
      <c r="G5529" s="1474" t="s">
        <v>4550</v>
      </c>
      <c r="H5529" s="2275"/>
      <c r="I5529" s="2275"/>
      <c r="J5529" s="2275"/>
      <c r="K5529" s="1477">
        <f t="shared" si="592"/>
        <v>0</v>
      </c>
      <c r="L5529" s="2211"/>
      <c r="M5529" s="2212"/>
      <c r="N5529" s="2210"/>
      <c r="O5529" s="2211"/>
      <c r="P5529" s="2212"/>
      <c r="Q5529" s="442"/>
      <c r="R5529" s="442"/>
      <c r="S5529" s="364"/>
      <c r="Z5529" s="609" t="s">
        <v>2129</v>
      </c>
      <c r="AA5529" s="609" t="s">
        <v>19</v>
      </c>
      <c r="AE5529" s="369" t="s">
        <v>2761</v>
      </c>
    </row>
    <row r="5530" spans="1:31" ht="18" hidden="1">
      <c r="A5530" s="2714"/>
      <c r="B5530" s="371">
        <v>125</v>
      </c>
      <c r="C5530" s="371" t="s">
        <v>2791</v>
      </c>
      <c r="D5530" s="2716">
        <f t="shared" si="589"/>
        <v>0</v>
      </c>
      <c r="E5530" s="2721">
        <v>1</v>
      </c>
      <c r="F5530" s="293"/>
      <c r="G5530" s="2589" t="s">
        <v>2792</v>
      </c>
      <c r="H5530" s="2275"/>
      <c r="I5530" s="2275"/>
      <c r="J5530" s="2275"/>
      <c r="K5530" s="1477">
        <f t="shared" si="592"/>
        <v>0</v>
      </c>
      <c r="L5530" s="2211"/>
      <c r="M5530" s="2212"/>
      <c r="N5530" s="2210"/>
      <c r="O5530" s="2211"/>
      <c r="P5530" s="2212"/>
      <c r="Q5530" s="442"/>
      <c r="R5530" s="442"/>
      <c r="S5530" s="364"/>
      <c r="Z5530" s="609" t="s">
        <v>2129</v>
      </c>
      <c r="AA5530" s="609" t="s">
        <v>19</v>
      </c>
      <c r="AE5530" s="369" t="s">
        <v>2761</v>
      </c>
    </row>
    <row r="5531" spans="1:31" ht="24" hidden="1">
      <c r="A5531" s="2714"/>
      <c r="B5531" s="371">
        <v>126</v>
      </c>
      <c r="C5531" s="371"/>
      <c r="D5531" s="2716">
        <f t="shared" si="589"/>
        <v>1</v>
      </c>
      <c r="E5531" s="2721">
        <v>1</v>
      </c>
      <c r="F5531" s="293"/>
      <c r="G5531" s="1474" t="s">
        <v>4551</v>
      </c>
      <c r="H5531" s="1476">
        <f>SUM(H5507,H5517,H5522,H5527,H5530)</f>
        <v>0</v>
      </c>
      <c r="I5531" s="1476">
        <f t="shared" ref="I5531:J5531" si="597">SUM(I5507,I5517,I5522,I5527,I5530)</f>
        <v>0</v>
      </c>
      <c r="J5531" s="1476">
        <f t="shared" si="597"/>
        <v>0</v>
      </c>
      <c r="K5531" s="1477">
        <f t="shared" si="592"/>
        <v>0</v>
      </c>
      <c r="L5531" s="2211"/>
      <c r="M5531" s="2212"/>
      <c r="N5531" s="2210"/>
      <c r="O5531" s="2211"/>
      <c r="P5531" s="2212"/>
      <c r="Q5531" s="442"/>
      <c r="R5531" s="442"/>
      <c r="S5531" s="364"/>
      <c r="Z5531" s="609" t="s">
        <v>2129</v>
      </c>
      <c r="AA5531" s="609" t="s">
        <v>19</v>
      </c>
      <c r="AE5531" s="369" t="s">
        <v>2761</v>
      </c>
    </row>
    <row r="5532" spans="1:31" ht="18" hidden="1">
      <c r="A5532" s="2714"/>
      <c r="B5532" s="371">
        <v>127</v>
      </c>
      <c r="C5532" s="371"/>
      <c r="D5532" s="2716">
        <f t="shared" si="589"/>
        <v>1</v>
      </c>
      <c r="E5532" s="2721">
        <v>1</v>
      </c>
      <c r="F5532" s="293"/>
      <c r="G5532" s="1474" t="s">
        <v>6157</v>
      </c>
      <c r="H5532" s="1476">
        <f>SUM(H5533:H5536)</f>
        <v>0</v>
      </c>
      <c r="I5532" s="1476">
        <f t="shared" ref="I5532:J5532" si="598">SUM(I5533:I5536)</f>
        <v>0</v>
      </c>
      <c r="J5532" s="1476">
        <f t="shared" si="598"/>
        <v>0</v>
      </c>
      <c r="K5532" s="1477">
        <f>SUM(H5532:J5532)</f>
        <v>0</v>
      </c>
      <c r="L5532" s="2211"/>
      <c r="M5532" s="2212"/>
      <c r="N5532" s="2210"/>
      <c r="O5532" s="2211"/>
      <c r="P5532" s="2212"/>
      <c r="Q5532" s="442"/>
      <c r="R5532" s="442"/>
      <c r="S5532" s="364"/>
      <c r="Z5532" s="609" t="s">
        <v>2129</v>
      </c>
      <c r="AA5532" s="609" t="s">
        <v>19</v>
      </c>
      <c r="AE5532" s="369" t="s">
        <v>2761</v>
      </c>
    </row>
    <row r="5533" spans="1:31" ht="18" hidden="1">
      <c r="A5533" s="2714"/>
      <c r="B5533" s="371">
        <v>128</v>
      </c>
      <c r="C5533" s="371"/>
      <c r="D5533" s="2716">
        <f t="shared" si="589"/>
        <v>1</v>
      </c>
      <c r="E5533" s="2721">
        <v>1</v>
      </c>
      <c r="F5533" s="293"/>
      <c r="G5533" s="1474" t="s">
        <v>6167</v>
      </c>
      <c r="H5533" s="2275"/>
      <c r="I5533" s="2275"/>
      <c r="J5533" s="2275"/>
      <c r="K5533" s="1477">
        <f t="shared" si="592"/>
        <v>0</v>
      </c>
      <c r="L5533" s="2211"/>
      <c r="M5533" s="2212"/>
      <c r="N5533" s="2210"/>
      <c r="O5533" s="2211"/>
      <c r="P5533" s="2212"/>
      <c r="Q5533" s="442"/>
      <c r="R5533" s="442"/>
      <c r="S5533" s="364"/>
      <c r="Z5533" s="609" t="s">
        <v>2129</v>
      </c>
      <c r="AA5533" s="609" t="s">
        <v>19</v>
      </c>
      <c r="AE5533" s="369" t="s">
        <v>2761</v>
      </c>
    </row>
    <row r="5534" spans="1:31" ht="18" hidden="1">
      <c r="A5534" s="2714"/>
      <c r="B5534" s="371">
        <v>129</v>
      </c>
      <c r="C5534" s="371"/>
      <c r="D5534" s="2716">
        <f t="shared" si="589"/>
        <v>1</v>
      </c>
      <c r="E5534" s="2721">
        <v>1</v>
      </c>
      <c r="F5534" s="293"/>
      <c r="G5534" s="1474" t="s">
        <v>467</v>
      </c>
      <c r="H5534" s="2275"/>
      <c r="I5534" s="2275"/>
      <c r="J5534" s="2275"/>
      <c r="K5534" s="1477">
        <f t="shared" si="592"/>
        <v>0</v>
      </c>
      <c r="L5534" s="2211"/>
      <c r="M5534" s="2212"/>
      <c r="N5534" s="2210"/>
      <c r="O5534" s="2211"/>
      <c r="P5534" s="2212"/>
      <c r="Q5534" s="442"/>
      <c r="R5534" s="442"/>
      <c r="S5534" s="364"/>
      <c r="Z5534" s="609" t="s">
        <v>2129</v>
      </c>
      <c r="AA5534" s="609" t="s">
        <v>19</v>
      </c>
      <c r="AE5534" s="369" t="s">
        <v>2761</v>
      </c>
    </row>
    <row r="5535" spans="1:31" ht="18" hidden="1">
      <c r="A5535" s="2714"/>
      <c r="B5535" s="371">
        <v>130</v>
      </c>
      <c r="C5535" s="371"/>
      <c r="D5535" s="2716">
        <f t="shared" si="589"/>
        <v>1</v>
      </c>
      <c r="E5535" s="2721">
        <v>1</v>
      </c>
      <c r="F5535" s="293"/>
      <c r="G5535" s="1474" t="s">
        <v>932</v>
      </c>
      <c r="H5535" s="2275"/>
      <c r="I5535" s="2275"/>
      <c r="J5535" s="2275"/>
      <c r="K5535" s="1477">
        <f t="shared" si="592"/>
        <v>0</v>
      </c>
      <c r="L5535" s="2211"/>
      <c r="M5535" s="2212"/>
      <c r="N5535" s="2210"/>
      <c r="O5535" s="2211"/>
      <c r="P5535" s="2212"/>
      <c r="Q5535" s="442"/>
      <c r="R5535" s="442"/>
      <c r="S5535" s="364"/>
      <c r="Z5535" s="609" t="s">
        <v>2129</v>
      </c>
      <c r="AA5535" s="609" t="s">
        <v>19</v>
      </c>
      <c r="AE5535" s="369" t="s">
        <v>2761</v>
      </c>
    </row>
    <row r="5536" spans="1:31" ht="18" hidden="1">
      <c r="A5536" s="2714"/>
      <c r="B5536" s="371">
        <v>131</v>
      </c>
      <c r="C5536" s="371" t="s">
        <v>6532</v>
      </c>
      <c r="D5536" s="2716">
        <f t="shared" si="589"/>
        <v>0</v>
      </c>
      <c r="E5536" s="2721">
        <v>1</v>
      </c>
      <c r="F5536" s="293"/>
      <c r="G5536" s="2589" t="s">
        <v>2792</v>
      </c>
      <c r="H5536" s="2275"/>
      <c r="I5536" s="2275"/>
      <c r="J5536" s="2275"/>
      <c r="K5536" s="1477">
        <f t="shared" si="592"/>
        <v>0</v>
      </c>
      <c r="L5536" s="2211"/>
      <c r="M5536" s="2212"/>
      <c r="N5536" s="2210"/>
      <c r="O5536" s="2211"/>
      <c r="P5536" s="2212"/>
      <c r="Q5536" s="442"/>
      <c r="R5536" s="442"/>
      <c r="S5536" s="364"/>
      <c r="Z5536" s="609" t="s">
        <v>2129</v>
      </c>
      <c r="AA5536" s="609" t="s">
        <v>19</v>
      </c>
      <c r="AE5536" s="369" t="s">
        <v>2761</v>
      </c>
    </row>
    <row r="5537" spans="1:31" ht="36" hidden="1">
      <c r="A5537" s="2714"/>
      <c r="B5537" s="371">
        <v>132</v>
      </c>
      <c r="C5537" s="371"/>
      <c r="D5537" s="2716">
        <f t="shared" si="589"/>
        <v>1</v>
      </c>
      <c r="E5537" s="2721">
        <v>1</v>
      </c>
      <c r="F5537" s="293"/>
      <c r="G5537" s="1474" t="s">
        <v>6158</v>
      </c>
      <c r="H5537" s="2275"/>
      <c r="I5537" s="2275"/>
      <c r="J5537" s="2275"/>
      <c r="K5537" s="1477">
        <f t="shared" si="592"/>
        <v>0</v>
      </c>
      <c r="L5537" s="2211"/>
      <c r="M5537" s="2212"/>
      <c r="N5537" s="2210"/>
      <c r="O5537" s="2211"/>
      <c r="P5537" s="2212"/>
      <c r="Q5537" s="442"/>
      <c r="R5537" s="442"/>
      <c r="S5537" s="364"/>
      <c r="Z5537" s="609" t="s">
        <v>2129</v>
      </c>
      <c r="AA5537" s="609" t="s">
        <v>19</v>
      </c>
      <c r="AE5537" s="369" t="s">
        <v>2761</v>
      </c>
    </row>
    <row r="5538" spans="1:31" ht="18" hidden="1">
      <c r="A5538" s="2714"/>
      <c r="B5538" s="371">
        <v>133</v>
      </c>
      <c r="C5538" s="371" t="s">
        <v>2791</v>
      </c>
      <c r="D5538" s="2716">
        <f t="shared" si="589"/>
        <v>0</v>
      </c>
      <c r="E5538" s="2721">
        <v>1</v>
      </c>
      <c r="F5538" s="293"/>
      <c r="G5538" s="2589" t="s">
        <v>2792</v>
      </c>
      <c r="H5538" s="2275"/>
      <c r="I5538" s="2275"/>
      <c r="J5538" s="2275"/>
      <c r="K5538" s="1477">
        <f t="shared" si="592"/>
        <v>0</v>
      </c>
      <c r="L5538" s="2211"/>
      <c r="M5538" s="2212"/>
      <c r="N5538" s="2210"/>
      <c r="O5538" s="2211"/>
      <c r="P5538" s="2212"/>
      <c r="Q5538" s="442"/>
      <c r="R5538" s="442"/>
      <c r="S5538" s="364"/>
      <c r="Z5538" s="609" t="s">
        <v>2129</v>
      </c>
      <c r="AA5538" s="609" t="s">
        <v>19</v>
      </c>
      <c r="AE5538" s="369" t="s">
        <v>2761</v>
      </c>
    </row>
    <row r="5539" spans="1:31" ht="24" hidden="1">
      <c r="A5539" s="2714"/>
      <c r="B5539" s="371">
        <v>134</v>
      </c>
      <c r="C5539" s="371"/>
      <c r="D5539" s="2716">
        <f t="shared" si="589"/>
        <v>1</v>
      </c>
      <c r="E5539" s="2721">
        <v>1</v>
      </c>
      <c r="F5539" s="293"/>
      <c r="G5539" s="1474" t="s">
        <v>4557</v>
      </c>
      <c r="H5539" s="1476">
        <f>SUM(H5532,H5537,H5538)</f>
        <v>0</v>
      </c>
      <c r="I5539" s="1476">
        <f t="shared" ref="I5539:J5539" si="599">SUM(I5532,I5537,I5538)</f>
        <v>0</v>
      </c>
      <c r="J5539" s="1476">
        <f t="shared" si="599"/>
        <v>0</v>
      </c>
      <c r="K5539" s="1477">
        <f t="shared" si="592"/>
        <v>0</v>
      </c>
      <c r="L5539" s="2211"/>
      <c r="M5539" s="2212"/>
      <c r="N5539" s="2210"/>
      <c r="O5539" s="2211"/>
      <c r="P5539" s="2212"/>
      <c r="Q5539" s="442"/>
      <c r="R5539" s="442"/>
      <c r="S5539" s="364"/>
      <c r="Z5539" s="609" t="s">
        <v>2129</v>
      </c>
      <c r="AA5539" s="609" t="s">
        <v>19</v>
      </c>
      <c r="AE5539" s="369" t="s">
        <v>2761</v>
      </c>
    </row>
    <row r="5540" spans="1:31" ht="18" hidden="1">
      <c r="A5540" s="2714"/>
      <c r="B5540" s="371">
        <v>135</v>
      </c>
      <c r="C5540" s="371"/>
      <c r="D5540" s="2716">
        <f t="shared" si="589"/>
        <v>1</v>
      </c>
      <c r="E5540" s="2721" t="s">
        <v>41</v>
      </c>
      <c r="F5540" s="293"/>
      <c r="G5540" s="1474" t="s">
        <v>4558</v>
      </c>
      <c r="H5540" s="2275"/>
      <c r="I5540" s="2275"/>
      <c r="J5540" s="2275"/>
      <c r="K5540" s="2296"/>
      <c r="L5540" s="2211"/>
      <c r="M5540" s="2212"/>
      <c r="N5540" s="2210"/>
      <c r="O5540" s="2211"/>
      <c r="P5540" s="2212"/>
      <c r="Q5540" s="442"/>
      <c r="R5540" s="442"/>
      <c r="S5540" s="364"/>
      <c r="Z5540" s="609" t="s">
        <v>2129</v>
      </c>
      <c r="AA5540" s="609" t="s">
        <v>19</v>
      </c>
      <c r="AE5540" s="369" t="s">
        <v>2761</v>
      </c>
    </row>
    <row r="5541" spans="1:31" ht="18" hidden="1">
      <c r="A5541" s="2714"/>
      <c r="B5541" s="371">
        <v>136</v>
      </c>
      <c r="C5541" s="371"/>
      <c r="D5541" s="2716">
        <f t="shared" si="589"/>
        <v>1</v>
      </c>
      <c r="E5541" s="2721">
        <v>1</v>
      </c>
      <c r="F5541" s="293"/>
      <c r="G5541" s="1474" t="s">
        <v>4559</v>
      </c>
      <c r="H5541" s="2275"/>
      <c r="I5541" s="2275"/>
      <c r="J5541" s="2275"/>
      <c r="K5541" s="1477">
        <f t="shared" si="592"/>
        <v>0</v>
      </c>
      <c r="L5541" s="2211"/>
      <c r="M5541" s="2212"/>
      <c r="N5541" s="2210"/>
      <c r="O5541" s="2211"/>
      <c r="P5541" s="2212"/>
      <c r="Q5541" s="442"/>
      <c r="R5541" s="442"/>
      <c r="S5541" s="364"/>
      <c r="Z5541" s="609" t="s">
        <v>2129</v>
      </c>
      <c r="AA5541" s="609" t="s">
        <v>19</v>
      </c>
      <c r="AE5541" s="369" t="s">
        <v>2761</v>
      </c>
    </row>
    <row r="5542" spans="1:31" ht="18" hidden="1">
      <c r="A5542" s="2714"/>
      <c r="B5542" s="371">
        <v>137</v>
      </c>
      <c r="C5542" s="371" t="s">
        <v>2791</v>
      </c>
      <c r="D5542" s="2716">
        <f t="shared" si="589"/>
        <v>0</v>
      </c>
      <c r="E5542" s="2721">
        <v>1</v>
      </c>
      <c r="F5542" s="293"/>
      <c r="G5542" s="2589" t="s">
        <v>2792</v>
      </c>
      <c r="H5542" s="2275"/>
      <c r="I5542" s="2275"/>
      <c r="J5542" s="2275"/>
      <c r="K5542" s="1477">
        <f t="shared" si="592"/>
        <v>0</v>
      </c>
      <c r="L5542" s="2211"/>
      <c r="M5542" s="2212"/>
      <c r="N5542" s="2210"/>
      <c r="O5542" s="2211"/>
      <c r="P5542" s="2212"/>
      <c r="Q5542" s="442"/>
      <c r="R5542" s="442"/>
      <c r="S5542" s="364"/>
      <c r="Z5542" s="609" t="s">
        <v>2129</v>
      </c>
      <c r="AA5542" s="609" t="s">
        <v>19</v>
      </c>
      <c r="AE5542" s="369" t="s">
        <v>2761</v>
      </c>
    </row>
    <row r="5543" spans="1:31" ht="24" hidden="1">
      <c r="A5543" s="2714"/>
      <c r="B5543" s="371">
        <v>138</v>
      </c>
      <c r="C5543" s="371"/>
      <c r="D5543" s="2716">
        <f t="shared" si="589"/>
        <v>1</v>
      </c>
      <c r="E5543" s="2721">
        <v>1</v>
      </c>
      <c r="F5543" s="293"/>
      <c r="G5543" s="1474" t="s">
        <v>4560</v>
      </c>
      <c r="H5543" s="1476">
        <f>SUM(H5541:H5542)</f>
        <v>0</v>
      </c>
      <c r="I5543" s="1476">
        <f t="shared" ref="I5543:J5543" si="600">SUM(I5541:I5542)</f>
        <v>0</v>
      </c>
      <c r="J5543" s="1476">
        <f t="shared" si="600"/>
        <v>0</v>
      </c>
      <c r="K5543" s="1477">
        <f t="shared" si="592"/>
        <v>0</v>
      </c>
      <c r="L5543" s="2211"/>
      <c r="M5543" s="2212"/>
      <c r="N5543" s="2210"/>
      <c r="O5543" s="2211"/>
      <c r="P5543" s="2212"/>
      <c r="Q5543" s="442"/>
      <c r="R5543" s="442"/>
      <c r="S5543" s="364"/>
      <c r="Z5543" s="609" t="s">
        <v>2129</v>
      </c>
      <c r="AA5543" s="609" t="s">
        <v>19</v>
      </c>
      <c r="AE5543" s="369" t="s">
        <v>2761</v>
      </c>
    </row>
    <row r="5544" spans="1:31" ht="18" hidden="1">
      <c r="A5544" s="2714"/>
      <c r="B5544" s="371">
        <v>139</v>
      </c>
      <c r="C5544" s="371" t="s">
        <v>2791</v>
      </c>
      <c r="D5544" s="2716">
        <f t="shared" si="589"/>
        <v>0</v>
      </c>
      <c r="E5544" s="2721">
        <v>1</v>
      </c>
      <c r="F5544" s="293"/>
      <c r="G5544" s="2589" t="s">
        <v>2792</v>
      </c>
      <c r="H5544" s="2275"/>
      <c r="I5544" s="2275"/>
      <c r="J5544" s="2275"/>
      <c r="K5544" s="1477">
        <f t="shared" si="592"/>
        <v>0</v>
      </c>
      <c r="L5544" s="2211"/>
      <c r="M5544" s="2212"/>
      <c r="N5544" s="2210"/>
      <c r="O5544" s="2211"/>
      <c r="P5544" s="2212"/>
      <c r="Q5544" s="442"/>
      <c r="R5544" s="442"/>
      <c r="S5544" s="364"/>
      <c r="Z5544" s="609" t="s">
        <v>2129</v>
      </c>
      <c r="AA5544" s="609" t="s">
        <v>19</v>
      </c>
      <c r="AE5544" s="369" t="s">
        <v>2761</v>
      </c>
    </row>
    <row r="5545" spans="1:31" ht="18" hidden="1">
      <c r="A5545" s="2714"/>
      <c r="B5545" s="371">
        <v>140</v>
      </c>
      <c r="C5545" s="371" t="s">
        <v>6532</v>
      </c>
      <c r="D5545" s="2716">
        <f t="shared" si="589"/>
        <v>0</v>
      </c>
      <c r="E5545" s="2721">
        <v>1</v>
      </c>
      <c r="F5545" s="293"/>
      <c r="G5545" s="2589" t="s">
        <v>2792</v>
      </c>
      <c r="H5545" s="2275"/>
      <c r="I5545" s="2275"/>
      <c r="J5545" s="2275"/>
      <c r="K5545" s="1477">
        <f t="shared" si="592"/>
        <v>0</v>
      </c>
      <c r="L5545" s="2211"/>
      <c r="M5545" s="2212"/>
      <c r="N5545" s="2210"/>
      <c r="O5545" s="2211"/>
      <c r="P5545" s="2212"/>
      <c r="Q5545" s="442"/>
      <c r="R5545" s="442"/>
      <c r="S5545" s="364"/>
      <c r="Z5545" s="609" t="s">
        <v>2129</v>
      </c>
      <c r="AA5545" s="609" t="s">
        <v>19</v>
      </c>
      <c r="AE5545" s="369" t="s">
        <v>2761</v>
      </c>
    </row>
    <row r="5546" spans="1:31" ht="24" hidden="1">
      <c r="A5546" s="2714"/>
      <c r="B5546" s="371">
        <v>141</v>
      </c>
      <c r="C5546" s="371"/>
      <c r="D5546" s="2716">
        <f t="shared" si="589"/>
        <v>1</v>
      </c>
      <c r="E5546" s="2721">
        <v>1</v>
      </c>
      <c r="F5546" s="293"/>
      <c r="G5546" s="1474" t="s">
        <v>4561</v>
      </c>
      <c r="H5546" s="1476">
        <f>SUM(H5544:H5545)</f>
        <v>0</v>
      </c>
      <c r="I5546" s="1476">
        <f t="shared" ref="I5546:J5546" si="601">SUM(I5544:I5545)</f>
        <v>0</v>
      </c>
      <c r="J5546" s="1476">
        <f t="shared" si="601"/>
        <v>0</v>
      </c>
      <c r="K5546" s="1477">
        <f t="shared" si="592"/>
        <v>0</v>
      </c>
      <c r="L5546" s="2211"/>
      <c r="M5546" s="2212"/>
      <c r="N5546" s="2210"/>
      <c r="O5546" s="2211"/>
      <c r="P5546" s="2212"/>
      <c r="Q5546" s="442"/>
      <c r="R5546" s="442"/>
      <c r="S5546" s="364"/>
      <c r="Z5546" s="609" t="s">
        <v>2129</v>
      </c>
      <c r="AA5546" s="609" t="s">
        <v>19</v>
      </c>
      <c r="AE5546" s="369" t="s">
        <v>2761</v>
      </c>
    </row>
    <row r="5547" spans="1:31" ht="18.75" hidden="1" thickBot="1">
      <c r="A5547" s="2714"/>
      <c r="B5547" s="371"/>
      <c r="C5547" s="371"/>
      <c r="D5547" s="2716">
        <f t="shared" si="589"/>
        <v>0</v>
      </c>
      <c r="E5547" s="2721" t="s">
        <v>3595</v>
      </c>
      <c r="F5547" s="293"/>
      <c r="G5547" s="2622"/>
      <c r="H5547" s="2624"/>
      <c r="I5547" s="2624"/>
      <c r="J5547" s="2624"/>
      <c r="K5547" s="2623"/>
      <c r="L5547" s="2211"/>
      <c r="M5547" s="2212"/>
      <c r="N5547" s="2210"/>
      <c r="O5547" s="2211"/>
      <c r="P5547" s="2212"/>
      <c r="Q5547" s="442"/>
      <c r="R5547" s="442"/>
      <c r="S5547" s="364"/>
      <c r="Z5547" s="609" t="s">
        <v>2129</v>
      </c>
      <c r="AA5547" s="609" t="s">
        <v>19</v>
      </c>
      <c r="AE5547" s="369" t="s">
        <v>2761</v>
      </c>
    </row>
    <row r="5548" spans="1:31" ht="18" hidden="1">
      <c r="A5548" s="2714"/>
      <c r="B5548" s="371"/>
      <c r="C5548" s="371" t="s">
        <v>2755</v>
      </c>
      <c r="D5548" s="2716"/>
      <c r="F5548" s="293"/>
      <c r="G5548" s="376"/>
      <c r="H5548" s="1576"/>
      <c r="I5548" s="396"/>
      <c r="J5548" s="315"/>
      <c r="K5548" s="423"/>
      <c r="L5548" s="2211"/>
      <c r="M5548" s="2212"/>
      <c r="N5548" s="2210"/>
      <c r="O5548" s="2211"/>
      <c r="P5548" s="2212"/>
      <c r="Q5548" s="442"/>
      <c r="R5548" s="442"/>
      <c r="S5548" s="364"/>
      <c r="Z5548" s="609" t="s">
        <v>2129</v>
      </c>
      <c r="AA5548" s="609" t="s">
        <v>19</v>
      </c>
      <c r="AE5548" s="369" t="s">
        <v>2761</v>
      </c>
    </row>
    <row r="5549" spans="1:31" ht="48">
      <c r="A5549" s="2714" t="s">
        <v>2149</v>
      </c>
      <c r="B5549" s="371">
        <v>2</v>
      </c>
      <c r="C5549" s="371"/>
      <c r="D5549" s="2716" t="str">
        <f>VLOOKUP($A5549,Sheet_NoteList,2,0)</f>
        <v>持续和非持续第二层次公允价值计量项目采用的估值技术和重要参数的定性及定量信息</v>
      </c>
      <c r="E5549" s="2716" t="s">
        <v>2742</v>
      </c>
      <c r="F5549" s="293"/>
      <c r="G5549" s="372" t="str">
        <f>"("&amp;B5549&amp;")"&amp;D5549</f>
        <v>(2)持续和非持续第二层次公允价值计量项目采用的估值技术和重要参数的定性及定量信息</v>
      </c>
      <c r="H5549" s="1517" t="str">
        <f>$A5549</f>
        <v>9331i</v>
      </c>
      <c r="I5549" s="343" t="s">
        <v>2743</v>
      </c>
      <c r="J5549" s="301" t="s">
        <v>2744</v>
      </c>
      <c r="K5549" s="2210">
        <f>H5556</f>
        <v>0</v>
      </c>
      <c r="L5549" s="349"/>
      <c r="M5549" s="301"/>
      <c r="N5549" s="391"/>
      <c r="O5549" s="349"/>
      <c r="P5549" s="301"/>
      <c r="S5549" s="364"/>
      <c r="Z5549" s="609" t="s">
        <v>2129</v>
      </c>
      <c r="AA5549" s="609" t="s">
        <v>19</v>
      </c>
    </row>
    <row r="5550" spans="1:31" ht="0.75" customHeight="1" thickBot="1">
      <c r="A5550" s="2714"/>
      <c r="B5550" s="371"/>
      <c r="C5550" s="371"/>
      <c r="D5550" s="2716"/>
      <c r="E5550" s="586"/>
      <c r="F5550" s="586"/>
      <c r="G5550" s="2224" t="s">
        <v>4562</v>
      </c>
      <c r="H5550" s="371" t="s">
        <v>2747</v>
      </c>
      <c r="I5550" s="371" t="s">
        <v>4563</v>
      </c>
      <c r="J5550" s="371" t="s">
        <v>4564</v>
      </c>
      <c r="K5550" s="428"/>
      <c r="L5550" s="428"/>
      <c r="M5550" s="433"/>
      <c r="N5550" s="428"/>
      <c r="O5550" s="428"/>
      <c r="P5550" s="433"/>
      <c r="Q5550" s="442"/>
      <c r="R5550" s="443"/>
      <c r="S5550" s="364"/>
      <c r="Z5550" s="609" t="s">
        <v>2129</v>
      </c>
      <c r="AA5550" s="609" t="s">
        <v>19</v>
      </c>
    </row>
    <row r="5551" spans="1:31" ht="24">
      <c r="A5551" s="2714"/>
      <c r="B5551" s="371"/>
      <c r="C5551" s="371"/>
      <c r="D5551" s="2716"/>
      <c r="E5551" s="586" t="s">
        <v>2749</v>
      </c>
      <c r="F5551" s="414"/>
      <c r="G5551" s="2453" t="s">
        <v>4565</v>
      </c>
      <c r="H5551" s="2461" t="str">
        <f>$W$2&amp;"公允价值"</f>
        <v>2019年12月31日公允价值</v>
      </c>
      <c r="I5551" s="2461" t="s">
        <v>4566</v>
      </c>
      <c r="J5551" s="2462" t="s">
        <v>4567</v>
      </c>
      <c r="K5551" s="355" t="s">
        <v>5349</v>
      </c>
      <c r="L5551" s="434"/>
      <c r="M5551" s="435"/>
      <c r="N5551" s="434"/>
      <c r="O5551" s="434"/>
      <c r="P5551" s="435"/>
      <c r="Q5551" s="442"/>
      <c r="R5551" s="443"/>
      <c r="S5551" s="364"/>
      <c r="Z5551" s="609" t="s">
        <v>2129</v>
      </c>
      <c r="AA5551" s="609" t="s">
        <v>19</v>
      </c>
    </row>
    <row r="5552" spans="1:31" ht="18">
      <c r="A5552" s="2714"/>
      <c r="B5552" s="371">
        <v>101</v>
      </c>
      <c r="C5552" s="371"/>
      <c r="D5552" s="2716">
        <f>IF(OR(G5552="*",G5552="",G5552=0),0,COUNTIF($G$5552:$G$5556,G5552))</f>
        <v>1</v>
      </c>
      <c r="E5552" s="2721" t="s">
        <v>41</v>
      </c>
      <c r="F5552" s="293"/>
      <c r="G5552" s="1474" t="s">
        <v>4568</v>
      </c>
      <c r="H5552" s="2275"/>
      <c r="I5552" s="2298"/>
      <c r="J5552" s="2276"/>
      <c r="K5552" s="439"/>
      <c r="L5552" s="437"/>
      <c r="M5552" s="438"/>
      <c r="N5552" s="439"/>
      <c r="O5552" s="437"/>
      <c r="P5552" s="438"/>
      <c r="Q5552" s="442"/>
      <c r="R5552" s="443"/>
      <c r="S5552" s="364"/>
      <c r="Z5552" s="609" t="s">
        <v>2129</v>
      </c>
      <c r="AA5552" s="609" t="s">
        <v>19</v>
      </c>
    </row>
    <row r="5553" spans="1:27" ht="38.25">
      <c r="A5553" s="2714"/>
      <c r="B5553" s="371">
        <v>102</v>
      </c>
      <c r="C5553" s="371"/>
      <c r="D5553" s="2716">
        <f>IF(OR(G5553="*",G5553="",G5553=0),0,COUNTIF($G$5552:$G$5556,G5553))</f>
        <v>1</v>
      </c>
      <c r="E5553" s="2721">
        <v>1</v>
      </c>
      <c r="F5553" s="293"/>
      <c r="G5553" s="1474" t="s">
        <v>90</v>
      </c>
      <c r="H5553" s="2275"/>
      <c r="I5553" s="2298" t="s">
        <v>4569</v>
      </c>
      <c r="J5553" s="2494" t="s">
        <v>4570</v>
      </c>
      <c r="K5553" s="439"/>
      <c r="L5553" s="437"/>
      <c r="M5553" s="438"/>
      <c r="N5553" s="439"/>
      <c r="O5553" s="437"/>
      <c r="P5553" s="438"/>
      <c r="Q5553" s="442"/>
      <c r="R5553" s="443"/>
      <c r="S5553" s="364"/>
      <c r="Z5553" s="609" t="s">
        <v>2129</v>
      </c>
      <c r="AA5553" s="609" t="s">
        <v>19</v>
      </c>
    </row>
    <row r="5554" spans="1:27" ht="38.25">
      <c r="A5554" s="2714"/>
      <c r="B5554" s="371">
        <v>103</v>
      </c>
      <c r="C5554" s="371"/>
      <c r="D5554" s="2716">
        <f>IF(OR(G5554="*",G5554="",G5554=0),0,COUNTIF($G$5552:$G$5556,G5554))</f>
        <v>1</v>
      </c>
      <c r="E5554" s="2721">
        <v>1</v>
      </c>
      <c r="F5554" s="293"/>
      <c r="G5554" s="1474" t="s">
        <v>467</v>
      </c>
      <c r="H5554" s="2275"/>
      <c r="I5554" s="2298" t="s">
        <v>4569</v>
      </c>
      <c r="J5554" s="2494" t="s">
        <v>4570</v>
      </c>
      <c r="K5554" s="439"/>
      <c r="L5554" s="437"/>
      <c r="M5554" s="438"/>
      <c r="N5554" s="439"/>
      <c r="O5554" s="437"/>
      <c r="P5554" s="438"/>
      <c r="Q5554" s="442"/>
      <c r="R5554" s="443"/>
      <c r="S5554" s="364"/>
      <c r="Z5554" s="609" t="s">
        <v>2129</v>
      </c>
      <c r="AA5554" s="609" t="s">
        <v>19</v>
      </c>
    </row>
    <row r="5555" spans="1:27" ht="18">
      <c r="A5555" s="2714"/>
      <c r="B5555" s="371">
        <v>104</v>
      </c>
      <c r="C5555" s="371" t="s">
        <v>2791</v>
      </c>
      <c r="D5555" s="2716">
        <f>IF(OR(G5555="*",G5555="",G5555=0),0,COUNTIF($G$5552:$G$5556,G5555))</f>
        <v>0</v>
      </c>
      <c r="E5555" s="2721">
        <v>1</v>
      </c>
      <c r="F5555" s="293"/>
      <c r="G5555" s="2467" t="s">
        <v>2792</v>
      </c>
      <c r="H5555" s="2275"/>
      <c r="I5555" s="2298"/>
      <c r="J5555" s="2276"/>
      <c r="K5555" s="439"/>
      <c r="L5555" s="437"/>
      <c r="M5555" s="438"/>
      <c r="N5555" s="439"/>
      <c r="O5555" s="437"/>
      <c r="P5555" s="438"/>
      <c r="Q5555" s="442"/>
      <c r="R5555" s="443"/>
      <c r="S5555" s="364"/>
      <c r="Z5555" s="609" t="s">
        <v>2129</v>
      </c>
      <c r="AA5555" s="609" t="s">
        <v>19</v>
      </c>
    </row>
    <row r="5556" spans="1:27" ht="18.75" thickBot="1">
      <c r="A5556" s="2714"/>
      <c r="B5556" s="371"/>
      <c r="C5556" s="371"/>
      <c r="D5556" s="2716">
        <f>IF(OR(G5556="*",G5556="",G5556=0),0,COUNTIF($G$5552:$G$5556,G5556))</f>
        <v>0</v>
      </c>
      <c r="E5556" s="2721" t="s">
        <v>6555</v>
      </c>
      <c r="F5556" s="293"/>
      <c r="G5556" s="2429"/>
      <c r="H5556" s="2308"/>
      <c r="I5556" s="2241"/>
      <c r="J5556" s="2244"/>
      <c r="K5556" s="439"/>
      <c r="L5556" s="437"/>
      <c r="M5556" s="440"/>
      <c r="N5556" s="439"/>
      <c r="O5556" s="437"/>
      <c r="P5556" s="440"/>
      <c r="Q5556" s="442"/>
      <c r="R5556" s="443"/>
      <c r="S5556" s="364"/>
      <c r="Z5556" s="609" t="s">
        <v>2129</v>
      </c>
      <c r="AA5556" s="609" t="s">
        <v>19</v>
      </c>
    </row>
    <row r="5557" spans="1:27" ht="18">
      <c r="A5557" s="2714"/>
      <c r="B5557" s="371"/>
      <c r="C5557" s="371" t="s">
        <v>2755</v>
      </c>
      <c r="D5557" s="2716"/>
      <c r="F5557" s="293"/>
      <c r="G5557" s="376"/>
      <c r="H5557" s="315"/>
      <c r="I5557" s="432"/>
      <c r="J5557" s="393"/>
      <c r="K5557" s="426"/>
      <c r="L5557" s="427"/>
      <c r="M5557" s="425"/>
      <c r="N5557" s="426"/>
      <c r="O5557" s="427"/>
      <c r="P5557" s="425"/>
      <c r="Q5557" s="442"/>
      <c r="R5557" s="443"/>
      <c r="S5557" s="364"/>
      <c r="Z5557" s="609" t="s">
        <v>2129</v>
      </c>
      <c r="AA5557" s="609" t="s">
        <v>19</v>
      </c>
    </row>
    <row r="5558" spans="1:27" ht="48">
      <c r="A5558" s="2714" t="s">
        <v>2160</v>
      </c>
      <c r="B5558" s="371">
        <v>3</v>
      </c>
      <c r="C5558" s="371"/>
      <c r="D5558" s="2716" t="str">
        <f>VLOOKUP($A5558,Sheet_NoteList,2,0)</f>
        <v>持续和非持续第三层次公允价值计量项目采用的估值技术和重要参数的定性及定量信息</v>
      </c>
      <c r="E5558" s="2716" t="s">
        <v>2742</v>
      </c>
      <c r="F5558" s="293"/>
      <c r="G5558" s="372" t="str">
        <f>"("&amp;B5558&amp;")"&amp;D5558</f>
        <v>(3)持续和非持续第三层次公允价值计量项目采用的估值技术和重要参数的定性及定量信息</v>
      </c>
      <c r="H5558" s="1517" t="str">
        <f>$A5558</f>
        <v>9331j</v>
      </c>
      <c r="I5558" s="343" t="s">
        <v>2743</v>
      </c>
      <c r="J5558" s="368" t="s">
        <v>2744</v>
      </c>
      <c r="K5558" s="2210">
        <f>H5574</f>
        <v>0</v>
      </c>
      <c r="L5558" s="349"/>
      <c r="M5558" s="301"/>
      <c r="N5558" s="391"/>
      <c r="O5558" s="349"/>
      <c r="P5558" s="301"/>
      <c r="S5558" s="364"/>
      <c r="Z5558" s="609" t="s">
        <v>2129</v>
      </c>
      <c r="AA5558" s="609" t="s">
        <v>19</v>
      </c>
    </row>
    <row r="5559" spans="1:27" ht="0.75" customHeight="1" thickBot="1">
      <c r="A5559" s="2714"/>
      <c r="B5559" s="371"/>
      <c r="C5559" s="371"/>
      <c r="D5559" s="2716"/>
      <c r="F5559" s="371"/>
      <c r="G5559" s="405" t="s">
        <v>4571</v>
      </c>
      <c r="H5559" s="371" t="s">
        <v>2747</v>
      </c>
      <c r="I5559" s="371" t="s">
        <v>4572</v>
      </c>
      <c r="J5559" s="371" t="s">
        <v>3671</v>
      </c>
      <c r="K5559" s="547" t="s">
        <v>4472</v>
      </c>
      <c r="L5559" s="428"/>
      <c r="M5559" s="433"/>
      <c r="N5559" s="428"/>
      <c r="O5559" s="428"/>
      <c r="P5559" s="433"/>
      <c r="Q5559" s="442"/>
      <c r="R5559" s="443"/>
      <c r="S5559" s="364"/>
      <c r="Z5559" s="609" t="s">
        <v>2129</v>
      </c>
      <c r="AA5559" s="609" t="s">
        <v>19</v>
      </c>
    </row>
    <row r="5560" spans="1:27" ht="25.5">
      <c r="A5560" s="2714"/>
      <c r="B5560" s="371"/>
      <c r="C5560" s="371"/>
      <c r="D5560" s="2716"/>
      <c r="E5560" s="2716" t="s">
        <v>2749</v>
      </c>
      <c r="F5560" s="293"/>
      <c r="G5560" s="2454" t="s">
        <v>4573</v>
      </c>
      <c r="H5560" s="2461" t="str">
        <f>$W$2&amp;"公允价值"</f>
        <v>2019年12月31日公允价值</v>
      </c>
      <c r="I5560" s="2461" t="s">
        <v>4566</v>
      </c>
      <c r="J5560" s="2461" t="s">
        <v>4574</v>
      </c>
      <c r="K5560" s="2470" t="s">
        <v>4575</v>
      </c>
      <c r="L5560" s="355" t="s">
        <v>5349</v>
      </c>
      <c r="M5560" s="435"/>
      <c r="N5560" s="434"/>
      <c r="O5560" s="434"/>
      <c r="P5560" s="435"/>
      <c r="Q5560" s="442"/>
      <c r="R5560" s="443"/>
      <c r="S5560" s="364"/>
      <c r="Z5560" s="609" t="s">
        <v>2129</v>
      </c>
      <c r="AA5560" s="609" t="s">
        <v>19</v>
      </c>
    </row>
    <row r="5561" spans="1:27" ht="18">
      <c r="A5561" s="2714"/>
      <c r="B5561" s="371">
        <v>101</v>
      </c>
      <c r="C5561" s="371"/>
      <c r="D5561" s="2716">
        <f t="shared" ref="D5561:D5574" si="602">IF(OR(G5561="*",G5561="",G5561=0),0,COUNTIF($G$5561:$G$5574,G5561))</f>
        <v>1</v>
      </c>
      <c r="E5561" s="2721">
        <v>1</v>
      </c>
      <c r="F5561" s="293"/>
      <c r="G5561" s="319" t="s">
        <v>3479</v>
      </c>
      <c r="H5561" s="309"/>
      <c r="I5561" s="430"/>
      <c r="J5561" s="360"/>
      <c r="K5561" s="436"/>
      <c r="L5561" s="437"/>
      <c r="M5561" s="438"/>
      <c r="N5561" s="439"/>
      <c r="O5561" s="437"/>
      <c r="P5561" s="438"/>
      <c r="Q5561" s="442"/>
      <c r="R5561" s="443"/>
      <c r="S5561" s="364"/>
      <c r="Z5561" s="609" t="s">
        <v>2129</v>
      </c>
      <c r="AA5561" s="609" t="s">
        <v>19</v>
      </c>
    </row>
    <row r="5562" spans="1:27" ht="51">
      <c r="A5562" s="2714"/>
      <c r="B5562" s="371">
        <v>102</v>
      </c>
      <c r="C5562" s="371"/>
      <c r="D5562" s="2716">
        <f t="shared" si="602"/>
        <v>1</v>
      </c>
      <c r="E5562" s="2721">
        <v>1</v>
      </c>
      <c r="F5562" s="293"/>
      <c r="G5562" s="1518" t="s">
        <v>4576</v>
      </c>
      <c r="H5562" s="309"/>
      <c r="I5562" s="624" t="s">
        <v>4577</v>
      </c>
      <c r="J5562" s="624" t="s">
        <v>4578</v>
      </c>
      <c r="K5562" s="623" t="s">
        <v>4579</v>
      </c>
      <c r="L5562" s="437"/>
      <c r="M5562" s="438"/>
      <c r="N5562" s="439"/>
      <c r="O5562" s="437"/>
      <c r="P5562" s="438"/>
      <c r="Q5562" s="442"/>
      <c r="R5562" s="443"/>
      <c r="S5562" s="364"/>
      <c r="Z5562" s="609" t="s">
        <v>2129</v>
      </c>
      <c r="AA5562" s="609" t="s">
        <v>19</v>
      </c>
    </row>
    <row r="5563" spans="1:27" ht="76.5">
      <c r="A5563" s="2714"/>
      <c r="B5563" s="371">
        <v>103</v>
      </c>
      <c r="C5563" s="371"/>
      <c r="D5563" s="2716">
        <f t="shared" si="602"/>
        <v>1</v>
      </c>
      <c r="E5563" s="2721">
        <v>1</v>
      </c>
      <c r="F5563" s="293"/>
      <c r="G5563" s="1518" t="s">
        <v>5360</v>
      </c>
      <c r="H5563" s="309"/>
      <c r="I5563" s="624" t="s">
        <v>4580</v>
      </c>
      <c r="J5563" s="624" t="s">
        <v>4581</v>
      </c>
      <c r="K5563" s="623" t="s">
        <v>4582</v>
      </c>
      <c r="L5563" s="437"/>
      <c r="M5563" s="438"/>
      <c r="N5563" s="439"/>
      <c r="O5563" s="437"/>
      <c r="P5563" s="438"/>
      <c r="Q5563" s="442"/>
      <c r="R5563" s="443"/>
      <c r="S5563" s="364"/>
      <c r="Z5563" s="609" t="s">
        <v>2129</v>
      </c>
      <c r="AA5563" s="609" t="s">
        <v>19</v>
      </c>
    </row>
    <row r="5564" spans="1:27" ht="18">
      <c r="A5564" s="2714"/>
      <c r="B5564" s="371">
        <v>104</v>
      </c>
      <c r="C5564" s="371"/>
      <c r="D5564" s="2716">
        <f t="shared" si="602"/>
        <v>1</v>
      </c>
      <c r="E5564" s="2721">
        <v>1</v>
      </c>
      <c r="F5564" s="293"/>
      <c r="G5564" s="319" t="s">
        <v>4583</v>
      </c>
      <c r="H5564" s="309"/>
      <c r="I5564" s="624" t="s">
        <v>4584</v>
      </c>
      <c r="J5564" s="624" t="s">
        <v>2760</v>
      </c>
      <c r="K5564" s="623" t="s">
        <v>4585</v>
      </c>
      <c r="L5564" s="437"/>
      <c r="M5564" s="438"/>
      <c r="N5564" s="439"/>
      <c r="O5564" s="437"/>
      <c r="P5564" s="438"/>
      <c r="Q5564" s="442"/>
      <c r="R5564" s="443"/>
      <c r="S5564" s="364"/>
      <c r="Z5564" s="609" t="s">
        <v>2129</v>
      </c>
      <c r="AA5564" s="609" t="s">
        <v>19</v>
      </c>
    </row>
    <row r="5565" spans="1:27" ht="18">
      <c r="A5565" s="2714"/>
      <c r="B5565" s="371">
        <v>105</v>
      </c>
      <c r="C5565" s="371"/>
      <c r="D5565" s="2716">
        <f t="shared" si="602"/>
        <v>1</v>
      </c>
      <c r="E5565" s="2721" t="s">
        <v>41</v>
      </c>
      <c r="F5565" s="293"/>
      <c r="G5565" s="319" t="s">
        <v>4586</v>
      </c>
      <c r="H5565" s="309"/>
      <c r="I5565" s="624"/>
      <c r="J5565" s="624"/>
      <c r="K5565" s="623"/>
      <c r="L5565" s="437"/>
      <c r="M5565" s="438"/>
      <c r="N5565" s="439"/>
      <c r="O5565" s="437"/>
      <c r="P5565" s="438"/>
      <c r="Q5565" s="442"/>
      <c r="R5565" s="443"/>
      <c r="S5565" s="364"/>
      <c r="Z5565" s="609" t="s">
        <v>2129</v>
      </c>
      <c r="AA5565" s="609" t="s">
        <v>19</v>
      </c>
    </row>
    <row r="5566" spans="1:27" ht="51">
      <c r="A5566" s="2714"/>
      <c r="B5566" s="371">
        <v>106</v>
      </c>
      <c r="C5566" s="371"/>
      <c r="D5566" s="2716">
        <f t="shared" si="602"/>
        <v>1</v>
      </c>
      <c r="E5566" s="2721">
        <v>1</v>
      </c>
      <c r="F5566" s="293"/>
      <c r="G5566" s="319" t="s">
        <v>4587</v>
      </c>
      <c r="H5566" s="309"/>
      <c r="I5566" s="624" t="s">
        <v>4580</v>
      </c>
      <c r="J5566" s="624" t="s">
        <v>4588</v>
      </c>
      <c r="K5566" s="623" t="s">
        <v>4589</v>
      </c>
      <c r="L5566" s="437"/>
      <c r="M5566" s="438"/>
      <c r="N5566" s="439"/>
      <c r="O5566" s="437"/>
      <c r="P5566" s="438"/>
      <c r="Q5566" s="442"/>
      <c r="R5566" s="443"/>
      <c r="S5566" s="364"/>
      <c r="Z5566" s="609" t="s">
        <v>2129</v>
      </c>
      <c r="AA5566" s="609" t="s">
        <v>19</v>
      </c>
    </row>
    <row r="5567" spans="1:27" ht="25.5">
      <c r="A5567" s="2714"/>
      <c r="B5567" s="371">
        <v>107</v>
      </c>
      <c r="C5567" s="371"/>
      <c r="D5567" s="2716">
        <f t="shared" si="602"/>
        <v>1</v>
      </c>
      <c r="E5567" s="2721">
        <v>1</v>
      </c>
      <c r="F5567" s="293"/>
      <c r="G5567" s="319" t="s">
        <v>4590</v>
      </c>
      <c r="H5567" s="309"/>
      <c r="I5567" s="624" t="s">
        <v>4591</v>
      </c>
      <c r="J5567" s="624" t="s">
        <v>4592</v>
      </c>
      <c r="K5567" s="623" t="s">
        <v>4593</v>
      </c>
      <c r="L5567" s="437"/>
      <c r="M5567" s="438"/>
      <c r="N5567" s="439"/>
      <c r="O5567" s="437"/>
      <c r="P5567" s="438"/>
      <c r="Q5567" s="442"/>
      <c r="R5567" s="443"/>
      <c r="S5567" s="364"/>
      <c r="Z5567" s="609" t="s">
        <v>2129</v>
      </c>
      <c r="AA5567" s="609" t="s">
        <v>19</v>
      </c>
    </row>
    <row r="5568" spans="1:27" ht="18">
      <c r="A5568" s="2714"/>
      <c r="B5568" s="371">
        <v>108</v>
      </c>
      <c r="C5568" s="371"/>
      <c r="D5568" s="2716">
        <f t="shared" si="602"/>
        <v>1</v>
      </c>
      <c r="E5568" s="2721" t="s">
        <v>41</v>
      </c>
      <c r="F5568" s="293"/>
      <c r="G5568" s="319" t="s">
        <v>4568</v>
      </c>
      <c r="H5568" s="309"/>
      <c r="I5568" s="624"/>
      <c r="J5568" s="624"/>
      <c r="K5568" s="623"/>
      <c r="L5568" s="437"/>
      <c r="M5568" s="438"/>
      <c r="N5568" s="439"/>
      <c r="O5568" s="437"/>
      <c r="P5568" s="438"/>
      <c r="Q5568" s="442"/>
      <c r="R5568" s="443"/>
      <c r="S5568" s="364"/>
      <c r="Z5568" s="609" t="s">
        <v>2129</v>
      </c>
      <c r="AA5568" s="609" t="s">
        <v>19</v>
      </c>
    </row>
    <row r="5569" spans="1:27" ht="38.25">
      <c r="A5569" s="2714"/>
      <c r="B5569" s="371">
        <v>109</v>
      </c>
      <c r="C5569" s="371"/>
      <c r="D5569" s="2716">
        <f t="shared" si="602"/>
        <v>1</v>
      </c>
      <c r="E5569" s="2721">
        <v>1</v>
      </c>
      <c r="F5569" s="293"/>
      <c r="G5569" s="319" t="s">
        <v>4594</v>
      </c>
      <c r="H5569" s="309"/>
      <c r="I5569" s="624" t="s">
        <v>4595</v>
      </c>
      <c r="J5569" s="624" t="s">
        <v>4596</v>
      </c>
      <c r="K5569" s="623" t="s">
        <v>4597</v>
      </c>
      <c r="L5569" s="437"/>
      <c r="M5569" s="438"/>
      <c r="N5569" s="439"/>
      <c r="O5569" s="437"/>
      <c r="P5569" s="438"/>
      <c r="Q5569" s="442"/>
      <c r="R5569" s="443"/>
      <c r="S5569" s="364"/>
      <c r="Z5569" s="609" t="s">
        <v>2129</v>
      </c>
      <c r="AA5569" s="609" t="s">
        <v>19</v>
      </c>
    </row>
    <row r="5570" spans="1:27" ht="18">
      <c r="A5570" s="2714"/>
      <c r="B5570" s="371">
        <v>110</v>
      </c>
      <c r="C5570" s="371"/>
      <c r="D5570" s="2716">
        <f t="shared" si="602"/>
        <v>1</v>
      </c>
      <c r="E5570" s="2721" t="s">
        <v>41</v>
      </c>
      <c r="F5570" s="293"/>
      <c r="G5570" s="319" t="s">
        <v>4598</v>
      </c>
      <c r="H5570" s="309"/>
      <c r="I5570" s="624"/>
      <c r="J5570" s="624"/>
      <c r="K5570" s="623"/>
      <c r="L5570" s="437"/>
      <c r="M5570" s="438"/>
      <c r="N5570" s="439"/>
      <c r="O5570" s="437"/>
      <c r="P5570" s="438"/>
      <c r="Q5570" s="442"/>
      <c r="R5570" s="443"/>
      <c r="S5570" s="364"/>
      <c r="Z5570" s="609" t="s">
        <v>2129</v>
      </c>
      <c r="AA5570" s="609" t="s">
        <v>19</v>
      </c>
    </row>
    <row r="5571" spans="1:27" ht="51">
      <c r="A5571" s="2714"/>
      <c r="B5571" s="371">
        <v>111</v>
      </c>
      <c r="C5571" s="371"/>
      <c r="D5571" s="2716">
        <f t="shared" si="602"/>
        <v>1</v>
      </c>
      <c r="E5571" s="2721">
        <v>1</v>
      </c>
      <c r="F5571" s="293"/>
      <c r="G5571" s="3291" t="s">
        <v>4599</v>
      </c>
      <c r="H5571" s="309"/>
      <c r="I5571" s="624" t="s">
        <v>4580</v>
      </c>
      <c r="J5571" s="624" t="s">
        <v>4600</v>
      </c>
      <c r="K5571" s="623" t="s">
        <v>4601</v>
      </c>
      <c r="L5571" s="437"/>
      <c r="M5571" s="438"/>
      <c r="N5571" s="439"/>
      <c r="O5571" s="437"/>
      <c r="P5571" s="438"/>
      <c r="Q5571" s="442"/>
      <c r="R5571" s="443"/>
      <c r="S5571" s="364"/>
      <c r="Z5571" s="609" t="s">
        <v>2129</v>
      </c>
      <c r="AA5571" s="609" t="s">
        <v>19</v>
      </c>
    </row>
    <row r="5572" spans="1:27" ht="25.5">
      <c r="A5572" s="2714"/>
      <c r="B5572" s="371">
        <v>112</v>
      </c>
      <c r="C5572" s="371"/>
      <c r="D5572" s="2716">
        <f t="shared" si="602"/>
        <v>0</v>
      </c>
      <c r="E5572" s="2721">
        <v>1</v>
      </c>
      <c r="F5572" s="293"/>
      <c r="G5572" s="3291"/>
      <c r="H5572" s="309"/>
      <c r="I5572" s="624" t="s">
        <v>4602</v>
      </c>
      <c r="J5572" s="624" t="s">
        <v>4603</v>
      </c>
      <c r="K5572" s="623">
        <v>60000</v>
      </c>
      <c r="L5572" s="437"/>
      <c r="M5572" s="438"/>
      <c r="N5572" s="439"/>
      <c r="O5572" s="437"/>
      <c r="P5572" s="438"/>
      <c r="Q5572" s="442"/>
      <c r="R5572" s="443"/>
      <c r="S5572" s="364"/>
      <c r="Z5572" s="609" t="s">
        <v>2129</v>
      </c>
      <c r="AA5572" s="609" t="s">
        <v>19</v>
      </c>
    </row>
    <row r="5573" spans="1:27" ht="18">
      <c r="A5573" s="2714"/>
      <c r="B5573" s="371">
        <v>113</v>
      </c>
      <c r="C5573" s="371" t="s">
        <v>2791</v>
      </c>
      <c r="D5573" s="2716">
        <f t="shared" si="602"/>
        <v>0</v>
      </c>
      <c r="E5573" s="2721">
        <v>1</v>
      </c>
      <c r="F5573" s="293"/>
      <c r="G5573" s="319" t="s">
        <v>2792</v>
      </c>
      <c r="H5573" s="309"/>
      <c r="I5573" s="430"/>
      <c r="J5573" s="360"/>
      <c r="K5573" s="436"/>
      <c r="L5573" s="437"/>
      <c r="M5573" s="438"/>
      <c r="N5573" s="439"/>
      <c r="O5573" s="437"/>
      <c r="P5573" s="438"/>
      <c r="Q5573" s="442"/>
      <c r="R5573" s="443"/>
      <c r="S5573" s="364"/>
      <c r="Z5573" s="609" t="s">
        <v>2129</v>
      </c>
      <c r="AA5573" s="609" t="s">
        <v>19</v>
      </c>
    </row>
    <row r="5574" spans="1:27" ht="18.75" thickBot="1">
      <c r="A5574" s="2714"/>
      <c r="B5574" s="371"/>
      <c r="C5574" s="371"/>
      <c r="D5574" s="2716">
        <f t="shared" si="602"/>
        <v>0</v>
      </c>
      <c r="E5574" s="2721" t="s">
        <v>6555</v>
      </c>
      <c r="F5574" s="293"/>
      <c r="G5574" s="2234"/>
      <c r="H5574" s="2325"/>
      <c r="I5574" s="2495"/>
      <c r="J5574" s="2495"/>
      <c r="K5574" s="2496"/>
      <c r="L5574" s="437"/>
      <c r="M5574" s="440"/>
      <c r="N5574" s="439"/>
      <c r="O5574" s="437"/>
      <c r="P5574" s="440"/>
      <c r="Q5574" s="442"/>
      <c r="R5574" s="443"/>
      <c r="S5574" s="364"/>
      <c r="Z5574" s="609" t="s">
        <v>2129</v>
      </c>
      <c r="AA5574" s="609" t="s">
        <v>19</v>
      </c>
    </row>
    <row r="5575" spans="1:27" ht="18">
      <c r="A5575" s="2714"/>
      <c r="B5575" s="371"/>
      <c r="C5575" s="371" t="s">
        <v>2755</v>
      </c>
      <c r="D5575" s="2716"/>
      <c r="F5575" s="293"/>
      <c r="G5575" s="376"/>
      <c r="H5575" s="315"/>
      <c r="I5575" s="432"/>
      <c r="J5575" s="393"/>
      <c r="K5575" s="392"/>
      <c r="L5575" s="427"/>
      <c r="M5575" s="425"/>
      <c r="N5575" s="426"/>
      <c r="O5575" s="427"/>
      <c r="P5575" s="425"/>
      <c r="Q5575" s="442"/>
      <c r="R5575" s="443"/>
      <c r="S5575" s="364"/>
      <c r="Z5575" s="609" t="s">
        <v>2129</v>
      </c>
      <c r="AA5575" s="609" t="s">
        <v>19</v>
      </c>
    </row>
    <row r="5576" spans="1:27" ht="48">
      <c r="A5576" s="2714" t="s">
        <v>2144</v>
      </c>
      <c r="B5576" s="371">
        <v>4</v>
      </c>
      <c r="C5576" s="371"/>
      <c r="D5576" s="2716" t="str">
        <f>VLOOKUP($A5576,Sheet_NoteList,2,0)</f>
        <v>持续的第三层次公允价值计量项目期初与期末账面价值之间的调节信息及不可观察参数的敏感性分析</v>
      </c>
      <c r="E5576" s="2716" t="s">
        <v>2742</v>
      </c>
      <c r="F5576" s="294"/>
      <c r="G5576" s="372" t="str">
        <f>"("&amp;B5576&amp;")"&amp;D5576</f>
        <v>(4)持续的第三层次公允价值计量项目期初与期末账面价值之间的调节信息及不可观察参数的敏感性分析</v>
      </c>
      <c r="H5576" s="1517" t="str">
        <f>$A5576</f>
        <v>9331g</v>
      </c>
      <c r="I5576" s="343" t="s">
        <v>2743</v>
      </c>
      <c r="J5576" s="301"/>
      <c r="K5576" s="3084"/>
      <c r="L5576" s="315"/>
      <c r="M5576" s="301"/>
      <c r="N5576" s="3084"/>
      <c r="O5576" s="315"/>
      <c r="P5576" s="301"/>
      <c r="S5576" s="364"/>
      <c r="Z5576" s="609" t="s">
        <v>2129</v>
      </c>
      <c r="AA5576" s="609"/>
    </row>
    <row r="5577" spans="1:27" ht="0.75" customHeight="1">
      <c r="A5577" s="2714"/>
      <c r="B5577" s="371"/>
      <c r="C5577" s="371"/>
      <c r="D5577" s="371"/>
      <c r="F5577" s="371"/>
      <c r="G5577" s="371" t="s">
        <v>4634</v>
      </c>
      <c r="H5577" s="371" t="s">
        <v>4635</v>
      </c>
      <c r="I5577" s="371" t="s">
        <v>4636</v>
      </c>
      <c r="J5577" s="371" t="s">
        <v>4637</v>
      </c>
      <c r="K5577" s="371" t="s">
        <v>4638</v>
      </c>
      <c r="L5577" s="371" t="s">
        <v>4639</v>
      </c>
      <c r="M5577" s="371" t="s">
        <v>4640</v>
      </c>
      <c r="N5577" s="371" t="s">
        <v>4641</v>
      </c>
      <c r="O5577" s="371" t="s">
        <v>4642</v>
      </c>
      <c r="P5577" s="371" t="s">
        <v>4643</v>
      </c>
      <c r="Q5577" s="543" t="s">
        <v>4644</v>
      </c>
      <c r="R5577" s="543" t="s">
        <v>4645</v>
      </c>
      <c r="S5577" s="364"/>
      <c r="Z5577" s="609" t="s">
        <v>2129</v>
      </c>
      <c r="AA5577" s="609"/>
    </row>
    <row r="5578" spans="1:27" ht="0.75" customHeight="1" thickBot="1">
      <c r="A5578" s="2714"/>
      <c r="B5578" s="371"/>
      <c r="C5578" s="371"/>
      <c r="D5578" s="371"/>
      <c r="F5578" s="371"/>
      <c r="G5578" s="371"/>
      <c r="H5578" s="371" t="s">
        <v>4646</v>
      </c>
      <c r="I5578" s="371" t="s">
        <v>4610</v>
      </c>
      <c r="J5578" s="371" t="s">
        <v>4611</v>
      </c>
      <c r="K5578" s="371" t="s">
        <v>4612</v>
      </c>
      <c r="L5578" s="371" t="s">
        <v>4613</v>
      </c>
      <c r="M5578" s="371" t="s">
        <v>4614</v>
      </c>
      <c r="N5578" s="371" t="s">
        <v>4615</v>
      </c>
      <c r="O5578" s="371" t="s">
        <v>4616</v>
      </c>
      <c r="P5578" s="371" t="s">
        <v>4617</v>
      </c>
      <c r="Q5578" s="543" t="s">
        <v>4647</v>
      </c>
      <c r="R5578" s="543" t="s">
        <v>4618</v>
      </c>
      <c r="S5578" s="364"/>
      <c r="Z5578" s="609" t="s">
        <v>2129</v>
      </c>
      <c r="AA5578" s="609"/>
    </row>
    <row r="5579" spans="1:27" ht="36" customHeight="1">
      <c r="A5579" s="2714"/>
      <c r="B5579" s="371"/>
      <c r="C5579" s="371"/>
      <c r="D5579" s="371"/>
      <c r="E5579" s="2716" t="s">
        <v>2749</v>
      </c>
      <c r="F5579" s="293"/>
      <c r="G5579" s="3253" t="s">
        <v>47</v>
      </c>
      <c r="H5579" s="3234" t="str">
        <f>$V$3</f>
        <v>2018年12月31日</v>
      </c>
      <c r="I5579" s="3236" t="s">
        <v>4619</v>
      </c>
      <c r="J5579" s="3236" t="s">
        <v>4620</v>
      </c>
      <c r="K5579" s="3236" t="s">
        <v>4621</v>
      </c>
      <c r="L5579" s="3236"/>
      <c r="M5579" s="3351" t="s">
        <v>4622</v>
      </c>
      <c r="N5579" s="3351"/>
      <c r="O5579" s="3351"/>
      <c r="P5579" s="3351"/>
      <c r="Q5579" s="3255" t="str">
        <f>$V$2</f>
        <v>2019年12月31日</v>
      </c>
      <c r="R5579" s="3257" t="s">
        <v>4623</v>
      </c>
      <c r="S5579" s="355" t="s">
        <v>5349</v>
      </c>
      <c r="Z5579" s="609" t="s">
        <v>2129</v>
      </c>
      <c r="AA5579" s="609"/>
    </row>
    <row r="5580" spans="1:27" ht="36" customHeight="1">
      <c r="A5580" s="2714"/>
      <c r="B5580" s="371"/>
      <c r="C5580" s="371"/>
      <c r="D5580" s="371"/>
      <c r="E5580" s="2716" t="s">
        <v>2749</v>
      </c>
      <c r="F5580" s="294"/>
      <c r="G5580" s="3292"/>
      <c r="H5580" s="3235"/>
      <c r="I5580" s="3237"/>
      <c r="J5580" s="3237"/>
      <c r="K5580" s="2463" t="s">
        <v>4624</v>
      </c>
      <c r="L5580" s="2463" t="s">
        <v>4625</v>
      </c>
      <c r="M5580" s="2497" t="s">
        <v>4626</v>
      </c>
      <c r="N5580" s="2497" t="s">
        <v>4627</v>
      </c>
      <c r="O5580" s="2497" t="s">
        <v>3300</v>
      </c>
      <c r="P5580" s="2497" t="s">
        <v>4628</v>
      </c>
      <c r="Q5580" s="3256"/>
      <c r="R5580" s="3258"/>
      <c r="S5580" s="364"/>
      <c r="Z5580" s="609" t="s">
        <v>2129</v>
      </c>
      <c r="AA5580" s="609"/>
    </row>
    <row r="5581" spans="1:27" ht="18">
      <c r="A5581" s="2714"/>
      <c r="B5581" s="371">
        <v>101</v>
      </c>
      <c r="C5581" s="371"/>
      <c r="D5581" s="2716">
        <f t="shared" ref="D5581:D5600" si="603">IF(OR(G5581="*",G5581="",G5581=0),0,COUNTIF($G$5581:$G$5600,G5581))</f>
        <v>1</v>
      </c>
      <c r="E5581" s="2721" t="s">
        <v>41</v>
      </c>
      <c r="F5581" s="294"/>
      <c r="G5581" s="308" t="s">
        <v>4629</v>
      </c>
      <c r="H5581" s="309"/>
      <c r="I5581" s="309"/>
      <c r="J5581" s="309"/>
      <c r="K5581" s="309"/>
      <c r="L5581" s="309"/>
      <c r="M5581" s="309"/>
      <c r="N5581" s="309"/>
      <c r="O5581" s="309"/>
      <c r="P5581" s="309"/>
      <c r="Q5581" s="309"/>
      <c r="R5581" s="346"/>
      <c r="S5581" s="364"/>
      <c r="Z5581" s="609" t="s">
        <v>2129</v>
      </c>
      <c r="AA5581" s="609"/>
    </row>
    <row r="5582" spans="1:27" ht="18">
      <c r="A5582" s="2714"/>
      <c r="B5582" s="371">
        <v>102</v>
      </c>
      <c r="C5582" s="371"/>
      <c r="D5582" s="2716">
        <f t="shared" si="603"/>
        <v>1</v>
      </c>
      <c r="E5582" s="2721">
        <v>1</v>
      </c>
      <c r="F5582" s="294"/>
      <c r="G5582" s="603" t="s">
        <v>3480</v>
      </c>
      <c r="H5582" s="309"/>
      <c r="I5582" s="309"/>
      <c r="J5582" s="309"/>
      <c r="K5582" s="309"/>
      <c r="L5582" s="309"/>
      <c r="M5582" s="309"/>
      <c r="N5582" s="309"/>
      <c r="O5582" s="309"/>
      <c r="P5582" s="309"/>
      <c r="Q5582" s="309"/>
      <c r="R5582" s="346"/>
      <c r="S5582" s="364"/>
      <c r="Z5582" s="609" t="s">
        <v>2129</v>
      </c>
      <c r="AA5582" s="609"/>
    </row>
    <row r="5583" spans="1:27" ht="18">
      <c r="A5583" s="2714"/>
      <c r="B5583" s="371">
        <v>103</v>
      </c>
      <c r="C5583" s="371"/>
      <c r="D5583" s="2716">
        <f t="shared" si="603"/>
        <v>1</v>
      </c>
      <c r="E5583" s="2721">
        <v>1</v>
      </c>
      <c r="F5583" s="294"/>
      <c r="G5583" s="603" t="s">
        <v>3479</v>
      </c>
      <c r="H5583" s="309"/>
      <c r="I5583" s="309"/>
      <c r="J5583" s="309"/>
      <c r="K5583" s="309"/>
      <c r="L5583" s="309"/>
      <c r="M5583" s="309"/>
      <c r="N5583" s="309"/>
      <c r="O5583" s="309"/>
      <c r="P5583" s="309"/>
      <c r="Q5583" s="309"/>
      <c r="R5583" s="346"/>
      <c r="S5583" s="364"/>
      <c r="Z5583" s="609" t="s">
        <v>2129</v>
      </c>
      <c r="AA5583" s="609"/>
    </row>
    <row r="5584" spans="1:27" ht="36">
      <c r="A5584" s="2714"/>
      <c r="B5584" s="371">
        <v>104</v>
      </c>
      <c r="C5584" s="371"/>
      <c r="D5584" s="2716">
        <f t="shared" si="603"/>
        <v>1</v>
      </c>
      <c r="E5584" s="2721">
        <v>1</v>
      </c>
      <c r="F5584" s="294"/>
      <c r="G5584" s="603" t="s">
        <v>2840</v>
      </c>
      <c r="H5584" s="309"/>
      <c r="I5584" s="309"/>
      <c r="J5584" s="309"/>
      <c r="K5584" s="309"/>
      <c r="L5584" s="309"/>
      <c r="M5584" s="309"/>
      <c r="N5584" s="309"/>
      <c r="O5584" s="309"/>
      <c r="P5584" s="309"/>
      <c r="Q5584" s="309"/>
      <c r="R5584" s="346"/>
      <c r="S5584" s="364"/>
      <c r="Z5584" s="609" t="s">
        <v>2129</v>
      </c>
      <c r="AA5584" s="609"/>
    </row>
    <row r="5585" spans="1:27" ht="18">
      <c r="A5585" s="2714"/>
      <c r="B5585" s="371">
        <v>105</v>
      </c>
      <c r="C5585" s="371"/>
      <c r="D5585" s="2716">
        <f t="shared" si="603"/>
        <v>1</v>
      </c>
      <c r="E5585" s="2721">
        <v>1</v>
      </c>
      <c r="F5585" s="294"/>
      <c r="G5585" s="578" t="s">
        <v>932</v>
      </c>
      <c r="H5585" s="309"/>
      <c r="I5585" s="309"/>
      <c r="J5585" s="309"/>
      <c r="K5585" s="309"/>
      <c r="L5585" s="309"/>
      <c r="M5585" s="309"/>
      <c r="N5585" s="309"/>
      <c r="O5585" s="309"/>
      <c r="P5585" s="309"/>
      <c r="Q5585" s="309"/>
      <c r="R5585" s="346"/>
      <c r="S5585" s="364"/>
      <c r="Z5585" s="609" t="s">
        <v>2129</v>
      </c>
      <c r="AA5585" s="609"/>
    </row>
    <row r="5586" spans="1:27" ht="18">
      <c r="A5586" s="2714"/>
      <c r="B5586" s="371">
        <v>106</v>
      </c>
      <c r="C5586" s="371"/>
      <c r="D5586" s="2716">
        <f t="shared" si="603"/>
        <v>1</v>
      </c>
      <c r="E5586" s="2721">
        <v>1</v>
      </c>
      <c r="F5586" s="294"/>
      <c r="G5586" s="319" t="s">
        <v>90</v>
      </c>
      <c r="H5586" s="309"/>
      <c r="I5586" s="309"/>
      <c r="J5586" s="309"/>
      <c r="K5586" s="309"/>
      <c r="L5586" s="309"/>
      <c r="M5586" s="309"/>
      <c r="N5586" s="309"/>
      <c r="O5586" s="309"/>
      <c r="P5586" s="309"/>
      <c r="Q5586" s="309"/>
      <c r="R5586" s="346"/>
      <c r="S5586" s="364"/>
      <c r="Z5586" s="609" t="s">
        <v>2129</v>
      </c>
      <c r="AA5586" s="609"/>
    </row>
    <row r="5587" spans="1:27" ht="18">
      <c r="A5587" s="2714"/>
      <c r="B5587" s="371">
        <v>107</v>
      </c>
      <c r="C5587" s="371"/>
      <c r="D5587" s="2716">
        <f t="shared" si="603"/>
        <v>1</v>
      </c>
      <c r="E5587" s="2721">
        <v>1</v>
      </c>
      <c r="F5587" s="294"/>
      <c r="G5587" s="319" t="s">
        <v>282</v>
      </c>
      <c r="H5587" s="309"/>
      <c r="I5587" s="309"/>
      <c r="J5587" s="309"/>
      <c r="K5587" s="309"/>
      <c r="L5587" s="309"/>
      <c r="M5587" s="309"/>
      <c r="N5587" s="309"/>
      <c r="O5587" s="309"/>
      <c r="P5587" s="309"/>
      <c r="Q5587" s="309"/>
      <c r="R5587" s="346"/>
      <c r="S5587" s="364"/>
      <c r="Z5587" s="609" t="s">
        <v>2129</v>
      </c>
      <c r="AA5587" s="609"/>
    </row>
    <row r="5588" spans="1:27" ht="18">
      <c r="A5588" s="2714"/>
      <c r="B5588" s="371">
        <v>108</v>
      </c>
      <c r="C5588" s="371"/>
      <c r="D5588" s="2716">
        <f t="shared" si="603"/>
        <v>1</v>
      </c>
      <c r="E5588" s="2721">
        <v>1</v>
      </c>
      <c r="F5588" s="294"/>
      <c r="G5588" s="319" t="s">
        <v>323</v>
      </c>
      <c r="H5588" s="309"/>
      <c r="I5588" s="309"/>
      <c r="J5588" s="309"/>
      <c r="K5588" s="309"/>
      <c r="L5588" s="309"/>
      <c r="M5588" s="309"/>
      <c r="N5588" s="309"/>
      <c r="O5588" s="309"/>
      <c r="P5588" s="309"/>
      <c r="Q5588" s="309"/>
      <c r="R5588" s="346"/>
      <c r="S5588" s="364"/>
      <c r="Z5588" s="609" t="s">
        <v>2129</v>
      </c>
      <c r="AA5588" s="609"/>
    </row>
    <row r="5589" spans="1:27" ht="18">
      <c r="A5589" s="2714"/>
      <c r="B5589" s="371">
        <v>109</v>
      </c>
      <c r="C5589" s="371"/>
      <c r="D5589" s="2716">
        <f t="shared" si="603"/>
        <v>1</v>
      </c>
      <c r="E5589" s="2721">
        <v>1</v>
      </c>
      <c r="F5589" s="294"/>
      <c r="G5589" s="308" t="s">
        <v>329</v>
      </c>
      <c r="H5589" s="377"/>
      <c r="I5589" s="377"/>
      <c r="J5589" s="377"/>
      <c r="K5589" s="377"/>
      <c r="L5589" s="377"/>
      <c r="M5589" s="377"/>
      <c r="N5589" s="377"/>
      <c r="O5589" s="377"/>
      <c r="P5589" s="377"/>
      <c r="Q5589" s="377">
        <f>SUMIF($E$5580:$E$5599,$G5589,Q$5580:Q$5599)</f>
        <v>0</v>
      </c>
      <c r="R5589" s="397">
        <f>SUMIF($E$5580:$E$5599,$G5589,R$5580:R$5599)</f>
        <v>0</v>
      </c>
      <c r="S5589" s="364"/>
      <c r="Z5589" s="609" t="s">
        <v>2129</v>
      </c>
      <c r="AA5589" s="609"/>
    </row>
    <row r="5590" spans="1:27" ht="18">
      <c r="A5590" s="2714"/>
      <c r="B5590" s="371">
        <v>110</v>
      </c>
      <c r="C5590" s="371"/>
      <c r="D5590" s="2716">
        <f t="shared" si="603"/>
        <v>1</v>
      </c>
      <c r="E5590" s="2721" t="s">
        <v>41</v>
      </c>
      <c r="F5590" s="294"/>
      <c r="G5590" s="308" t="s">
        <v>4598</v>
      </c>
      <c r="H5590" s="309"/>
      <c r="I5590" s="309"/>
      <c r="J5590" s="309"/>
      <c r="K5590" s="309"/>
      <c r="L5590" s="309"/>
      <c r="M5590" s="309"/>
      <c r="N5590" s="309"/>
      <c r="O5590" s="309"/>
      <c r="P5590" s="309"/>
      <c r="Q5590" s="309"/>
      <c r="R5590" s="346"/>
      <c r="S5590" s="364"/>
      <c r="Z5590" s="609" t="s">
        <v>2129</v>
      </c>
      <c r="AA5590" s="609"/>
    </row>
    <row r="5591" spans="1:27" ht="18">
      <c r="A5591" s="2714"/>
      <c r="B5591" s="371">
        <v>111</v>
      </c>
      <c r="C5591" s="371"/>
      <c r="D5591" s="2716">
        <f t="shared" si="603"/>
        <v>1</v>
      </c>
      <c r="E5591" s="2721">
        <v>1</v>
      </c>
      <c r="F5591" s="294"/>
      <c r="G5591" s="603" t="s">
        <v>4630</v>
      </c>
      <c r="H5591" s="309"/>
      <c r="I5591" s="309"/>
      <c r="J5591" s="309"/>
      <c r="K5591" s="309"/>
      <c r="L5591" s="309"/>
      <c r="M5591" s="309"/>
      <c r="N5591" s="309"/>
      <c r="O5591" s="309"/>
      <c r="P5591" s="309"/>
      <c r="Q5591" s="309"/>
      <c r="R5591" s="346"/>
      <c r="S5591" s="364"/>
      <c r="Z5591" s="609" t="s">
        <v>2129</v>
      </c>
      <c r="AA5591" s="609"/>
    </row>
    <row r="5592" spans="1:27" ht="18">
      <c r="A5592" s="2714"/>
      <c r="B5592" s="371">
        <v>112</v>
      </c>
      <c r="C5592" s="371"/>
      <c r="D5592" s="2716">
        <f t="shared" si="603"/>
        <v>1</v>
      </c>
      <c r="E5592" s="2721">
        <v>1</v>
      </c>
      <c r="F5592" s="294"/>
      <c r="G5592" s="603" t="s">
        <v>4631</v>
      </c>
      <c r="H5592" s="309"/>
      <c r="I5592" s="309"/>
      <c r="J5592" s="309"/>
      <c r="K5592" s="309"/>
      <c r="L5592" s="309"/>
      <c r="M5592" s="309"/>
      <c r="N5592" s="309"/>
      <c r="O5592" s="309"/>
      <c r="P5592" s="309"/>
      <c r="Q5592" s="309"/>
      <c r="R5592" s="346"/>
      <c r="S5592" s="364"/>
      <c r="Z5592" s="609" t="s">
        <v>2129</v>
      </c>
      <c r="AA5592" s="609"/>
    </row>
    <row r="5593" spans="1:27" ht="24">
      <c r="A5593" s="2714"/>
      <c r="B5593" s="371">
        <v>113</v>
      </c>
      <c r="C5593" s="371"/>
      <c r="D5593" s="2716">
        <f t="shared" si="603"/>
        <v>1</v>
      </c>
      <c r="E5593" s="2721">
        <v>1</v>
      </c>
      <c r="F5593" s="294"/>
      <c r="G5593" s="578" t="s">
        <v>4632</v>
      </c>
      <c r="H5593" s="309"/>
      <c r="I5593" s="309"/>
      <c r="J5593" s="309"/>
      <c r="K5593" s="309"/>
      <c r="L5593" s="309"/>
      <c r="M5593" s="309"/>
      <c r="N5593" s="309"/>
      <c r="O5593" s="309"/>
      <c r="P5593" s="309"/>
      <c r="Q5593" s="309"/>
      <c r="R5593" s="346"/>
      <c r="S5593" s="364"/>
      <c r="Z5593" s="609" t="s">
        <v>2129</v>
      </c>
      <c r="AA5593" s="609"/>
    </row>
    <row r="5594" spans="1:27" ht="18">
      <c r="A5594" s="2714"/>
      <c r="B5594" s="371">
        <v>114</v>
      </c>
      <c r="C5594" s="371"/>
      <c r="D5594" s="2716">
        <f t="shared" si="603"/>
        <v>1</v>
      </c>
      <c r="E5594" s="2721" t="s">
        <v>41</v>
      </c>
      <c r="F5594" s="294"/>
      <c r="G5594" s="308" t="s">
        <v>4633</v>
      </c>
      <c r="H5594" s="377"/>
      <c r="I5594" s="377"/>
      <c r="J5594" s="377"/>
      <c r="K5594" s="377"/>
      <c r="L5594" s="377"/>
      <c r="M5594" s="377"/>
      <c r="N5594" s="377"/>
      <c r="O5594" s="377"/>
      <c r="P5594" s="377"/>
      <c r="Q5594" s="377">
        <f>SUMIF($E$5580:$E$5599,$G5594,Q$5580:Q$5599)</f>
        <v>0</v>
      </c>
      <c r="R5594" s="397">
        <f>SUMIF($E$5580:$E$5599,$G5594,R$5580:R$5599)</f>
        <v>0</v>
      </c>
      <c r="S5594" s="364"/>
      <c r="Z5594" s="609" t="s">
        <v>2129</v>
      </c>
      <c r="AA5594" s="609"/>
    </row>
    <row r="5595" spans="1:27" ht="18">
      <c r="A5595" s="2714"/>
      <c r="B5595" s="371">
        <v>115</v>
      </c>
      <c r="C5595" s="371"/>
      <c r="D5595" s="2716">
        <f t="shared" si="603"/>
        <v>1</v>
      </c>
      <c r="E5595" s="2721">
        <v>1</v>
      </c>
      <c r="F5595" s="294"/>
      <c r="G5595" s="603" t="s">
        <v>346</v>
      </c>
      <c r="H5595" s="309"/>
      <c r="I5595" s="309"/>
      <c r="J5595" s="309"/>
      <c r="K5595" s="309"/>
      <c r="L5595" s="309"/>
      <c r="M5595" s="309"/>
      <c r="N5595" s="309"/>
      <c r="O5595" s="309"/>
      <c r="P5595" s="309"/>
      <c r="Q5595" s="309"/>
      <c r="R5595" s="346"/>
      <c r="S5595" s="364"/>
      <c r="Z5595" s="609" t="s">
        <v>2129</v>
      </c>
      <c r="AA5595" s="609"/>
    </row>
    <row r="5596" spans="1:27" ht="18">
      <c r="A5596" s="2714"/>
      <c r="B5596" s="371">
        <v>116</v>
      </c>
      <c r="C5596" s="371"/>
      <c r="D5596" s="2716">
        <f t="shared" si="603"/>
        <v>1</v>
      </c>
      <c r="E5596" s="2721">
        <v>1</v>
      </c>
      <c r="F5596" s="294"/>
      <c r="G5596" s="603" t="s">
        <v>381</v>
      </c>
      <c r="H5596" s="309"/>
      <c r="I5596" s="309"/>
      <c r="J5596" s="309"/>
      <c r="K5596" s="309"/>
      <c r="L5596" s="309"/>
      <c r="M5596" s="309"/>
      <c r="N5596" s="309"/>
      <c r="O5596" s="309"/>
      <c r="P5596" s="309"/>
      <c r="Q5596" s="309"/>
      <c r="R5596" s="346"/>
      <c r="S5596" s="364"/>
      <c r="Z5596" s="609" t="s">
        <v>2129</v>
      </c>
      <c r="AA5596" s="609"/>
    </row>
    <row r="5597" spans="1:27" ht="18">
      <c r="A5597" s="2714"/>
      <c r="B5597" s="371">
        <v>117</v>
      </c>
      <c r="C5597" s="371" t="s">
        <v>2791</v>
      </c>
      <c r="D5597" s="2716">
        <f t="shared" si="603"/>
        <v>0</v>
      </c>
      <c r="E5597" s="2721">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4"/>
      <c r="B5598" s="371">
        <v>118</v>
      </c>
      <c r="C5598" s="371" t="s">
        <v>2791</v>
      </c>
      <c r="D5598" s="2716">
        <f t="shared" si="603"/>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
      <c r="A5599" s="2714"/>
      <c r="B5599" s="371">
        <v>119</v>
      </c>
      <c r="C5599" s="371" t="s">
        <v>2791</v>
      </c>
      <c r="D5599" s="2716">
        <f t="shared" si="603"/>
        <v>0</v>
      </c>
      <c r="E5599" s="2721">
        <v>1</v>
      </c>
      <c r="F5599" s="294"/>
      <c r="G5599" s="625" t="s">
        <v>2792</v>
      </c>
      <c r="H5599" s="309"/>
      <c r="I5599" s="309"/>
      <c r="J5599" s="309"/>
      <c r="K5599" s="309"/>
      <c r="L5599" s="309"/>
      <c r="M5599" s="309"/>
      <c r="N5599" s="309"/>
      <c r="O5599" s="309"/>
      <c r="P5599" s="309"/>
      <c r="Q5599" s="309"/>
      <c r="R5599" s="346"/>
      <c r="S5599" s="364"/>
      <c r="Z5599" s="609" t="s">
        <v>2129</v>
      </c>
      <c r="AA5599" s="609"/>
    </row>
    <row r="5600" spans="1:27" ht="18.75" thickBot="1">
      <c r="A5600" s="2714"/>
      <c r="B5600" s="371"/>
      <c r="C5600" s="371"/>
      <c r="D5600" s="2716">
        <f t="shared" si="603"/>
        <v>1</v>
      </c>
      <c r="E5600" s="2721" t="s">
        <v>3032</v>
      </c>
      <c r="F5600" s="294"/>
      <c r="G5600" s="2234" t="s">
        <v>2752</v>
      </c>
      <c r="H5600" s="2325">
        <f t="shared" ref="H5600:R5600" si="604">SUMPRODUCT($E5580:$E5599,H5580:H5599)</f>
        <v>0</v>
      </c>
      <c r="I5600" s="2325">
        <f t="shared" si="604"/>
        <v>0</v>
      </c>
      <c r="J5600" s="2325">
        <f t="shared" si="604"/>
        <v>0</v>
      </c>
      <c r="K5600" s="2325">
        <f t="shared" si="604"/>
        <v>0</v>
      </c>
      <c r="L5600" s="2325">
        <f t="shared" si="604"/>
        <v>0</v>
      </c>
      <c r="M5600" s="2325">
        <f t="shared" si="604"/>
        <v>0</v>
      </c>
      <c r="N5600" s="2325">
        <f t="shared" si="604"/>
        <v>0</v>
      </c>
      <c r="O5600" s="2325">
        <f t="shared" si="604"/>
        <v>0</v>
      </c>
      <c r="P5600" s="2325">
        <f t="shared" si="604"/>
        <v>0</v>
      </c>
      <c r="Q5600" s="2325">
        <f t="shared" si="604"/>
        <v>0</v>
      </c>
      <c r="R5600" s="2342">
        <f t="shared" si="604"/>
        <v>0</v>
      </c>
      <c r="S5600" s="364"/>
      <c r="Z5600" s="609" t="s">
        <v>2129</v>
      </c>
      <c r="AA5600" s="609"/>
    </row>
    <row r="5601" spans="1:27" ht="18">
      <c r="A5601" s="2714"/>
      <c r="B5601" s="371"/>
      <c r="C5601" s="371" t="s">
        <v>2755</v>
      </c>
      <c r="D5601" s="371"/>
      <c r="F5601" s="294"/>
      <c r="G5601" s="301"/>
      <c r="H5601" s="315"/>
      <c r="I5601" s="315"/>
      <c r="J5601" s="315"/>
      <c r="K5601" s="315"/>
      <c r="L5601" s="315"/>
      <c r="M5601" s="315"/>
      <c r="N5601" s="315"/>
      <c r="O5601" s="315"/>
      <c r="P5601" s="315"/>
      <c r="Q5601" s="566"/>
      <c r="R5601" s="566"/>
      <c r="S5601" s="364"/>
      <c r="Z5601" s="609" t="s">
        <v>2129</v>
      </c>
      <c r="AA5601" s="609"/>
    </row>
    <row r="5602" spans="1:27" ht="36">
      <c r="A5602" s="2714" t="s">
        <v>2130</v>
      </c>
      <c r="B5602" s="371">
        <v>5</v>
      </c>
      <c r="C5602" s="371"/>
      <c r="D5602" s="2716" t="str">
        <f>VLOOKUP($A5602,Sheet_NoteList,2,0)</f>
        <v>不以公允价值计量的金融资产和金融负债的公允价值情况</v>
      </c>
      <c r="E5602" s="2716" t="s">
        <v>2742</v>
      </c>
      <c r="F5602" s="294"/>
      <c r="G5602" s="372" t="str">
        <f>"("&amp;B5602&amp;")"&amp;D5602</f>
        <v>(5)不以公允价值计量的金融资产和金融负债的公允价值情况</v>
      </c>
      <c r="H5602" s="1517" t="str">
        <f>$A5602</f>
        <v>9331b</v>
      </c>
      <c r="I5602" s="343" t="s">
        <v>2743</v>
      </c>
      <c r="J5602" s="301"/>
      <c r="K5602" s="3084"/>
      <c r="L5602" s="315"/>
      <c r="M5602" s="301"/>
      <c r="N5602" s="3084"/>
      <c r="O5602" s="315"/>
      <c r="P5602" s="301"/>
      <c r="S5602" s="364"/>
      <c r="Z5602" s="609" t="s">
        <v>2129</v>
      </c>
      <c r="AA5602" s="609"/>
    </row>
    <row r="5603" spans="1:27" ht="0.75" customHeight="1" thickBot="1">
      <c r="A5603" s="2714"/>
      <c r="B5603" s="371"/>
      <c r="C5603" s="371"/>
      <c r="D5603" s="371"/>
      <c r="F5603" s="371"/>
      <c r="G5603" s="371" t="s">
        <v>4604</v>
      </c>
      <c r="H5603" s="371" t="s">
        <v>3287</v>
      </c>
      <c r="I5603" s="371" t="s">
        <v>2845</v>
      </c>
      <c r="J5603" s="371" t="s">
        <v>4605</v>
      </c>
      <c r="K5603" s="371" t="s">
        <v>4606</v>
      </c>
      <c r="L5603" s="1604"/>
      <c r="M5603" s="1604"/>
      <c r="N5603" s="1604"/>
      <c r="O5603" s="1604"/>
      <c r="P5603" s="1604"/>
      <c r="Q5603" s="1604"/>
      <c r="R5603" s="1604"/>
      <c r="S5603" s="364"/>
      <c r="Z5603" s="609" t="s">
        <v>2129</v>
      </c>
      <c r="AA5603" s="609"/>
    </row>
    <row r="5604" spans="1:27" ht="24">
      <c r="A5604" s="2714"/>
      <c r="B5604" s="371"/>
      <c r="C5604" s="371"/>
      <c r="D5604" s="371"/>
      <c r="E5604" s="2716" t="s">
        <v>2749</v>
      </c>
      <c r="F5604" s="294"/>
      <c r="G5604" s="2498" t="s">
        <v>47</v>
      </c>
      <c r="H5604" s="2483" t="str">
        <f>$W$2&amp;"账面价值"</f>
        <v>2019年12月31日账面价值</v>
      </c>
      <c r="I5604" s="2499" t="s">
        <v>4531</v>
      </c>
      <c r="J5604" s="2499" t="s">
        <v>4532</v>
      </c>
      <c r="K5604" s="2590" t="s">
        <v>4533</v>
      </c>
      <c r="L5604" s="355" t="s">
        <v>5349</v>
      </c>
      <c r="M5604" s="1604"/>
      <c r="N5604" s="1604"/>
      <c r="O5604" s="1604"/>
      <c r="P5604" s="1604"/>
      <c r="Q5604" s="1604"/>
      <c r="R5604" s="1604"/>
      <c r="S5604" s="364"/>
      <c r="Z5604" s="609" t="s">
        <v>2129</v>
      </c>
      <c r="AA5604" s="609"/>
    </row>
    <row r="5605" spans="1:27" ht="18">
      <c r="A5605" s="2714"/>
      <c r="B5605" s="371">
        <v>101</v>
      </c>
      <c r="C5605" s="371"/>
      <c r="D5605" s="2716">
        <f t="shared" ref="D5605:D5619" si="605">IF(OR(G5605="*",G5605="",G5605=0),0,COUNTIF($G$5605:$G$5619,G5605))</f>
        <v>1</v>
      </c>
      <c r="E5605" s="2721" t="s">
        <v>41</v>
      </c>
      <c r="F5605" s="294"/>
      <c r="G5605" s="308" t="s">
        <v>4520</v>
      </c>
      <c r="H5605" s="309"/>
      <c r="I5605" s="309"/>
      <c r="J5605" s="309"/>
      <c r="K5605" s="346"/>
      <c r="L5605" s="355" t="s">
        <v>6101</v>
      </c>
      <c r="M5605" s="1604"/>
      <c r="N5605" s="1604"/>
      <c r="O5605" s="1604"/>
      <c r="P5605" s="1604"/>
      <c r="Q5605" s="1604"/>
      <c r="R5605" s="1604"/>
      <c r="S5605" s="364"/>
      <c r="Z5605" s="609" t="s">
        <v>2129</v>
      </c>
      <c r="AA5605" s="609"/>
    </row>
    <row r="5606" spans="1:27" ht="18">
      <c r="A5606" s="2714"/>
      <c r="B5606" s="371">
        <v>101.001</v>
      </c>
      <c r="C5606" s="371" t="s">
        <v>2791</v>
      </c>
      <c r="D5606" s="2716">
        <f t="shared" si="605"/>
        <v>1</v>
      </c>
      <c r="E5606" s="2721" t="s">
        <v>4607</v>
      </c>
      <c r="F5606" s="294"/>
      <c r="G5606" s="578" t="s">
        <v>274</v>
      </c>
      <c r="H5606" s="309"/>
      <c r="I5606" s="309"/>
      <c r="J5606" s="309"/>
      <c r="K5606" s="346"/>
      <c r="L5606" s="1604"/>
      <c r="M5606" s="1604"/>
      <c r="N5606" s="1604"/>
      <c r="O5606" s="1604"/>
      <c r="P5606" s="1604"/>
      <c r="Q5606" s="1604"/>
      <c r="R5606" s="1604"/>
      <c r="S5606" s="364"/>
      <c r="Z5606" s="609" t="s">
        <v>2129</v>
      </c>
      <c r="AA5606" s="609"/>
    </row>
    <row r="5607" spans="1:27" ht="18">
      <c r="A5607" s="2714"/>
      <c r="B5607" s="371">
        <v>101.002</v>
      </c>
      <c r="C5607" s="371" t="s">
        <v>2791</v>
      </c>
      <c r="D5607" s="2716">
        <f t="shared" si="605"/>
        <v>1</v>
      </c>
      <c r="E5607" s="2721" t="s">
        <v>4607</v>
      </c>
      <c r="F5607" s="294"/>
      <c r="G5607" s="578" t="s">
        <v>317</v>
      </c>
      <c r="H5607" s="309"/>
      <c r="I5607" s="309"/>
      <c r="J5607" s="309"/>
      <c r="K5607" s="346"/>
      <c r="L5607" s="1604"/>
      <c r="M5607" s="1604"/>
      <c r="N5607" s="1604"/>
      <c r="O5607" s="1604"/>
      <c r="P5607" s="1604"/>
      <c r="Q5607" s="1604"/>
      <c r="R5607" s="1604"/>
      <c r="S5607" s="364"/>
      <c r="Z5607" s="609" t="s">
        <v>2129</v>
      </c>
      <c r="AA5607" s="609"/>
    </row>
    <row r="5608" spans="1:27" ht="36">
      <c r="A5608" s="2714"/>
      <c r="B5608" s="371">
        <v>101.003</v>
      </c>
      <c r="C5608" s="371" t="s">
        <v>2791</v>
      </c>
      <c r="D5608" s="2716">
        <f t="shared" si="605"/>
        <v>1</v>
      </c>
      <c r="E5608" s="2721" t="s">
        <v>4607</v>
      </c>
      <c r="F5608" s="294"/>
      <c r="G5608" s="578" t="s">
        <v>4608</v>
      </c>
      <c r="H5608" s="309"/>
      <c r="I5608" s="309"/>
      <c r="J5608" s="309"/>
      <c r="K5608" s="346"/>
      <c r="L5608" s="1604"/>
      <c r="M5608" s="1604"/>
      <c r="N5608" s="1604"/>
      <c r="O5608" s="1604"/>
      <c r="P5608" s="1604"/>
      <c r="Q5608" s="1604"/>
      <c r="R5608" s="1604"/>
      <c r="S5608" s="364"/>
      <c r="Z5608" s="609" t="s">
        <v>2129</v>
      </c>
      <c r="AA5608" s="609"/>
    </row>
    <row r="5609" spans="1:27" ht="18">
      <c r="A5609" s="2714"/>
      <c r="B5609" s="371">
        <v>101.004</v>
      </c>
      <c r="C5609" s="371" t="s">
        <v>2791</v>
      </c>
      <c r="D5609" s="2716">
        <f t="shared" si="605"/>
        <v>0</v>
      </c>
      <c r="E5609" s="2721" t="s">
        <v>4607</v>
      </c>
      <c r="F5609" s="294"/>
      <c r="G5609" s="578" t="s">
        <v>2792</v>
      </c>
      <c r="H5609" s="309"/>
      <c r="I5609" s="309"/>
      <c r="J5609" s="309"/>
      <c r="K5609" s="346"/>
      <c r="L5609" s="1604"/>
      <c r="M5609" s="1604"/>
      <c r="N5609" s="1604"/>
      <c r="O5609" s="1604"/>
      <c r="P5609" s="1604"/>
      <c r="Q5609" s="1604"/>
      <c r="R5609" s="1604"/>
      <c r="S5609" s="364"/>
      <c r="Z5609" s="609" t="s">
        <v>2129</v>
      </c>
      <c r="AA5609" s="609"/>
    </row>
    <row r="5610" spans="1:27" ht="18">
      <c r="A5610" s="2714"/>
      <c r="B5610" s="371">
        <v>101.005</v>
      </c>
      <c r="C5610" s="371" t="s">
        <v>2791</v>
      </c>
      <c r="D5610" s="2716">
        <f t="shared" si="605"/>
        <v>0</v>
      </c>
      <c r="E5610" s="2721" t="s">
        <v>4607</v>
      </c>
      <c r="F5610" s="294"/>
      <c r="G5610" s="578" t="s">
        <v>2792</v>
      </c>
      <c r="H5610" s="309"/>
      <c r="I5610" s="309"/>
      <c r="J5610" s="309"/>
      <c r="K5610" s="346"/>
      <c r="L5610" s="1604"/>
      <c r="M5610" s="1604"/>
      <c r="N5610" s="1604"/>
      <c r="O5610" s="1604"/>
      <c r="P5610" s="1604"/>
      <c r="Q5610" s="1604"/>
      <c r="R5610" s="1604"/>
      <c r="S5610" s="364"/>
      <c r="Z5610" s="609" t="s">
        <v>2129</v>
      </c>
      <c r="AA5610" s="609"/>
    </row>
    <row r="5611" spans="1:27" ht="18">
      <c r="A5611" s="2714"/>
      <c r="B5611" s="371">
        <v>101.999</v>
      </c>
      <c r="C5611" s="371" t="s">
        <v>2793</v>
      </c>
      <c r="D5611" s="2716">
        <f t="shared" si="605"/>
        <v>1</v>
      </c>
      <c r="E5611" s="2721">
        <v>0</v>
      </c>
      <c r="F5611" s="294"/>
      <c r="G5611" s="308" t="s">
        <v>4607</v>
      </c>
      <c r="H5611" s="377">
        <f>SUMIF($E$5604:$E$5618,$G5611,H$5604:H$5618)</f>
        <v>0</v>
      </c>
      <c r="I5611" s="377">
        <f>SUMIF($E$5604:$E$5618,$G5611,I$5604:I$5618)</f>
        <v>0</v>
      </c>
      <c r="J5611" s="377">
        <f>SUMIF($E$5604:$E$5618,$G5611,J$5604:J$5618)</f>
        <v>0</v>
      </c>
      <c r="K5611" s="397">
        <f>SUMIF($E$5604:$E$5618,$G5611,K$5604:K$5618)</f>
        <v>0</v>
      </c>
      <c r="L5611" s="1604"/>
      <c r="M5611" s="1604"/>
      <c r="N5611" s="1604"/>
      <c r="O5611" s="1604"/>
      <c r="P5611" s="1604"/>
      <c r="Q5611" s="1604"/>
      <c r="R5611" s="1604"/>
      <c r="S5611" s="364"/>
      <c r="Z5611" s="609" t="s">
        <v>2129</v>
      </c>
      <c r="AA5611" s="609"/>
    </row>
    <row r="5612" spans="1:27" ht="18">
      <c r="A5612" s="2714"/>
      <c r="B5612" s="371">
        <v>102</v>
      </c>
      <c r="C5612" s="371"/>
      <c r="D5612" s="2716">
        <f t="shared" si="605"/>
        <v>1</v>
      </c>
      <c r="E5612" s="2721" t="s">
        <v>41</v>
      </c>
      <c r="F5612" s="294"/>
      <c r="G5612" s="308" t="s">
        <v>4521</v>
      </c>
      <c r="H5612" s="309"/>
      <c r="I5612" s="309"/>
      <c r="J5612" s="309"/>
      <c r="K5612" s="346"/>
      <c r="L5612" s="1604"/>
      <c r="M5612" s="1604"/>
      <c r="N5612" s="1604"/>
      <c r="O5612" s="1604"/>
      <c r="P5612" s="1604"/>
      <c r="Q5612" s="1604"/>
      <c r="R5612" s="1604"/>
      <c r="S5612" s="364"/>
      <c r="Z5612" s="609" t="s">
        <v>2129</v>
      </c>
      <c r="AA5612" s="609"/>
    </row>
    <row r="5613" spans="1:27" ht="24">
      <c r="A5613" s="2714"/>
      <c r="B5613" s="371">
        <v>103</v>
      </c>
      <c r="C5613" s="371" t="s">
        <v>2791</v>
      </c>
      <c r="D5613" s="2716">
        <f t="shared" si="605"/>
        <v>1</v>
      </c>
      <c r="E5613" s="2721">
        <v>1</v>
      </c>
      <c r="F5613" s="294"/>
      <c r="G5613" s="578" t="s">
        <v>4522</v>
      </c>
      <c r="H5613" s="309"/>
      <c r="I5613" s="309"/>
      <c r="J5613" s="309"/>
      <c r="K5613" s="346"/>
      <c r="L5613" s="1604"/>
      <c r="M5613" s="1604"/>
      <c r="N5613" s="1604"/>
      <c r="O5613" s="1604"/>
      <c r="P5613" s="1604"/>
      <c r="Q5613" s="1604"/>
      <c r="R5613" s="1604"/>
      <c r="S5613" s="364"/>
      <c r="Z5613" s="609" t="s">
        <v>2129</v>
      </c>
      <c r="AA5613" s="609"/>
    </row>
    <row r="5614" spans="1:27" ht="18">
      <c r="A5614" s="2714"/>
      <c r="B5614" s="371">
        <v>104</v>
      </c>
      <c r="C5614" s="371" t="s">
        <v>2791</v>
      </c>
      <c r="D5614" s="2716">
        <f t="shared" si="605"/>
        <v>1</v>
      </c>
      <c r="E5614" s="2721">
        <v>1</v>
      </c>
      <c r="F5614" s="294"/>
      <c r="G5614" s="578" t="s">
        <v>546</v>
      </c>
      <c r="H5614" s="309"/>
      <c r="I5614" s="309"/>
      <c r="J5614" s="309"/>
      <c r="K5614" s="346"/>
      <c r="L5614" s="1604"/>
      <c r="M5614" s="1604"/>
      <c r="N5614" s="1604"/>
      <c r="O5614" s="1604"/>
      <c r="P5614" s="1604"/>
      <c r="Q5614" s="1604"/>
      <c r="R5614" s="1604"/>
      <c r="S5614" s="364"/>
      <c r="Z5614" s="609" t="s">
        <v>2129</v>
      </c>
      <c r="AA5614" s="609"/>
    </row>
    <row r="5615" spans="1:27" ht="18">
      <c r="A5615" s="2714"/>
      <c r="B5615" s="371">
        <v>105</v>
      </c>
      <c r="C5615" s="371" t="s">
        <v>2791</v>
      </c>
      <c r="D5615" s="2716">
        <f t="shared" si="605"/>
        <v>1</v>
      </c>
      <c r="E5615" s="2721">
        <v>1</v>
      </c>
      <c r="F5615" s="294"/>
      <c r="G5615" s="578" t="s">
        <v>550</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106</v>
      </c>
      <c r="C5616" s="371" t="s">
        <v>2791</v>
      </c>
      <c r="D5616" s="2716">
        <f t="shared" si="605"/>
        <v>1</v>
      </c>
      <c r="E5616" s="2721">
        <v>1</v>
      </c>
      <c r="F5616" s="294"/>
      <c r="G5616" s="578" t="s">
        <v>554</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107</v>
      </c>
      <c r="C5617" s="371" t="s">
        <v>2791</v>
      </c>
      <c r="D5617" s="2716">
        <f t="shared" si="605"/>
        <v>0</v>
      </c>
      <c r="E5617" s="2721">
        <v>1</v>
      </c>
      <c r="F5617" s="294"/>
      <c r="G5617" s="578" t="s">
        <v>2792</v>
      </c>
      <c r="H5617" s="309"/>
      <c r="I5617" s="309"/>
      <c r="J5617" s="309"/>
      <c r="K5617" s="346"/>
      <c r="L5617" s="1604"/>
      <c r="M5617" s="1604"/>
      <c r="N5617" s="1604"/>
      <c r="O5617" s="1604"/>
      <c r="P5617" s="1604"/>
      <c r="Q5617" s="1604"/>
      <c r="R5617" s="1604"/>
      <c r="S5617" s="364"/>
      <c r="Z5617" s="609" t="s">
        <v>2129</v>
      </c>
      <c r="AA5617" s="609"/>
    </row>
    <row r="5618" spans="1:27" ht="18">
      <c r="A5618" s="2714"/>
      <c r="B5618" s="371">
        <v>108</v>
      </c>
      <c r="C5618" s="371"/>
      <c r="D5618" s="2716">
        <f t="shared" si="605"/>
        <v>1</v>
      </c>
      <c r="E5618" s="2721">
        <v>1</v>
      </c>
      <c r="F5618" s="294"/>
      <c r="G5618" s="308" t="s">
        <v>4609</v>
      </c>
      <c r="H5618" s="309">
        <f>SUM(H5613:H5617)</f>
        <v>0</v>
      </c>
      <c r="I5618" s="309">
        <f>SUM(I5613:I5617)</f>
        <v>0</v>
      </c>
      <c r="J5618" s="309">
        <f>SUM(J5613:J5617)</f>
        <v>0</v>
      </c>
      <c r="K5618" s="346">
        <f>SUM(K5613:K5617)</f>
        <v>0</v>
      </c>
      <c r="L5618" s="1604"/>
      <c r="M5618" s="1604"/>
      <c r="N5618" s="1604"/>
      <c r="O5618" s="1604"/>
      <c r="P5618" s="1604"/>
      <c r="Q5618" s="1604"/>
      <c r="R5618" s="1604"/>
      <c r="S5618" s="364"/>
      <c r="Z5618" s="609" t="s">
        <v>2129</v>
      </c>
      <c r="AA5618" s="609"/>
    </row>
    <row r="5619" spans="1:27" ht="18.75" thickBot="1">
      <c r="A5619" s="2714"/>
      <c r="B5619" s="371"/>
      <c r="C5619" s="371"/>
      <c r="D5619" s="2716">
        <f t="shared" si="605"/>
        <v>0</v>
      </c>
      <c r="E5619" s="2721" t="s">
        <v>3595</v>
      </c>
      <c r="F5619" s="294"/>
      <c r="G5619" s="2429"/>
      <c r="H5619" s="2501"/>
      <c r="I5619" s="2485"/>
      <c r="J5619" s="2501"/>
      <c r="K5619" s="2487"/>
      <c r="L5619" s="1604"/>
      <c r="M5619" s="1604"/>
      <c r="N5619" s="1604"/>
      <c r="O5619" s="1604"/>
      <c r="P5619" s="1604"/>
      <c r="Q5619" s="1604"/>
      <c r="R5619" s="1604"/>
      <c r="S5619" s="364"/>
      <c r="Z5619" s="609" t="s">
        <v>2129</v>
      </c>
      <c r="AA5619" s="609"/>
    </row>
    <row r="5620" spans="1:27" ht="18">
      <c r="A5620" s="2714"/>
      <c r="B5620" s="371"/>
      <c r="C5620" s="371" t="s">
        <v>2755</v>
      </c>
      <c r="D5620" s="371"/>
      <c r="F5620" s="294"/>
      <c r="G5620" s="301"/>
      <c r="H5620" s="315"/>
      <c r="I5620" s="315"/>
      <c r="J5620" s="315"/>
      <c r="K5620" s="315"/>
      <c r="L5620" s="1604"/>
      <c r="M5620" s="1604"/>
      <c r="N5620" s="1604"/>
      <c r="O5620" s="1604"/>
      <c r="P5620" s="1604"/>
      <c r="Q5620" s="1604"/>
      <c r="R5620" s="1604"/>
      <c r="S5620" s="364"/>
      <c r="Z5620" s="609" t="s">
        <v>2129</v>
      </c>
      <c r="AA5620" s="609"/>
    </row>
    <row r="5621" spans="1:27" ht="18">
      <c r="A5621" s="2714">
        <v>9120</v>
      </c>
      <c r="B5621" s="371" t="s">
        <v>6570</v>
      </c>
      <c r="C5621" s="2716" t="str">
        <f>VLOOKUP($A5621,Sheet_Items,2,0)</f>
        <v>关联方交易</v>
      </c>
      <c r="D5621" s="371"/>
      <c r="E5621" s="2716" t="s">
        <v>2739</v>
      </c>
      <c r="F5621" s="294"/>
      <c r="G5621" s="305" t="str">
        <f>B5621&amp;" "&amp;C5621</f>
        <v>十 关联方交易</v>
      </c>
      <c r="H5621" s="306"/>
      <c r="I5621" s="306"/>
      <c r="J5621" s="306"/>
      <c r="K5621" s="539"/>
      <c r="L5621" s="342"/>
      <c r="M5621" s="306"/>
      <c r="N5621" s="539"/>
      <c r="O5621" s="306"/>
      <c r="P5621" s="301"/>
      <c r="S5621" s="364"/>
      <c r="Z5621" s="609" t="s">
        <v>2066</v>
      </c>
      <c r="AA5621" s="609"/>
    </row>
    <row r="5622" spans="1:27" ht="24">
      <c r="A5622" s="2714" t="s">
        <v>2064</v>
      </c>
      <c r="B5622" s="371">
        <v>5.1100000000000003</v>
      </c>
      <c r="C5622" s="371"/>
      <c r="D5622" s="2716" t="str">
        <f>VLOOKUP($A5622,Sheet_NoteList,2,0)</f>
        <v>采购商品、接受劳务的关联交易情况</v>
      </c>
      <c r="E5622" s="2716" t="s">
        <v>2742</v>
      </c>
      <c r="F5622" s="293"/>
      <c r="G5622" s="372" t="str">
        <f>"("&amp;B5622&amp;")"&amp;D5622</f>
        <v>(5.11)采购商品、接受劳务的关联交易情况</v>
      </c>
      <c r="H5622" s="1517" t="str">
        <f>$A5622</f>
        <v>9120m</v>
      </c>
      <c r="I5622" s="343" t="s">
        <v>2743</v>
      </c>
      <c r="J5622" s="301" t="s">
        <v>2744</v>
      </c>
      <c r="K5622" s="2210">
        <f>H5633</f>
        <v>0</v>
      </c>
      <c r="L5622" s="349"/>
      <c r="M5622" s="301" t="s">
        <v>2745</v>
      </c>
      <c r="N5622" s="2210">
        <f>I5633</f>
        <v>0</v>
      </c>
      <c r="O5622" s="349"/>
      <c r="P5622" s="301"/>
      <c r="S5622" s="364"/>
      <c r="Z5622" s="609" t="s">
        <v>2066</v>
      </c>
      <c r="AA5622" s="609" t="s">
        <v>19</v>
      </c>
    </row>
    <row r="5623" spans="1:27" ht="0.75" customHeight="1" thickBot="1">
      <c r="A5623" s="2714"/>
      <c r="B5623" s="371"/>
      <c r="C5623" s="371"/>
      <c r="D5623" s="2716"/>
      <c r="E5623" s="586"/>
      <c r="F5623" s="586"/>
      <c r="G5623" s="2224" t="s">
        <v>4435</v>
      </c>
      <c r="H5623" s="371" t="s">
        <v>3067</v>
      </c>
      <c r="I5623" s="371" t="s">
        <v>2748</v>
      </c>
      <c r="J5623" s="371" t="s">
        <v>2948</v>
      </c>
      <c r="K5623" s="428"/>
      <c r="L5623" s="428"/>
      <c r="M5623" s="433"/>
      <c r="N5623" s="428"/>
      <c r="O5623" s="428"/>
      <c r="P5623" s="433"/>
      <c r="Q5623" s="442"/>
      <c r="R5623" s="443"/>
      <c r="S5623" s="364"/>
      <c r="Z5623" s="609" t="s">
        <v>2066</v>
      </c>
      <c r="AA5623" s="609" t="s">
        <v>19</v>
      </c>
    </row>
    <row r="5624" spans="1:27" ht="18">
      <c r="A5624" s="2714"/>
      <c r="B5624" s="371"/>
      <c r="C5624" s="371"/>
      <c r="D5624" s="2716"/>
      <c r="E5624" s="586" t="s">
        <v>2749</v>
      </c>
      <c r="F5624" s="414"/>
      <c r="G5624" s="2457" t="s">
        <v>4436</v>
      </c>
      <c r="H5624" s="2464" t="s">
        <v>4437</v>
      </c>
      <c r="I5624" s="2464" t="str">
        <f>$W$4&amp;"发生额"</f>
        <v>2019年度发生额</v>
      </c>
      <c r="J5624" s="2469" t="str">
        <f>$W$5&amp;"发生额"</f>
        <v>2018年度发生额</v>
      </c>
      <c r="K5624" s="355" t="s">
        <v>5350</v>
      </c>
      <c r="L5624" s="434"/>
      <c r="M5624" s="435"/>
      <c r="N5624" s="434"/>
      <c r="O5624" s="434"/>
      <c r="P5624" s="435"/>
      <c r="Q5624" s="442"/>
      <c r="R5624" s="443"/>
      <c r="S5624" s="364"/>
      <c r="Z5624" s="609" t="s">
        <v>2066</v>
      </c>
      <c r="AA5624" s="609" t="s">
        <v>19</v>
      </c>
    </row>
    <row r="5625" spans="1:27" ht="18">
      <c r="A5625" s="2714"/>
      <c r="B5625" s="371">
        <v>101</v>
      </c>
      <c r="C5625" s="371" t="s">
        <v>2791</v>
      </c>
      <c r="D5625" s="2716">
        <f t="shared" ref="D5625:D5633" si="606">IF(OR(G5625="*",G5625="",G5625=0),0,COUNTIF($G$5625:$G$5633,G5625))</f>
        <v>0</v>
      </c>
      <c r="E5625" s="2721">
        <v>1</v>
      </c>
      <c r="F5625" s="293"/>
      <c r="G5625" s="2467" t="s">
        <v>2792</v>
      </c>
      <c r="H5625" s="2298"/>
      <c r="I5625" s="2275"/>
      <c r="J5625" s="2296"/>
      <c r="K5625" s="439"/>
      <c r="L5625" s="437"/>
      <c r="M5625" s="438"/>
      <c r="N5625" s="439"/>
      <c r="O5625" s="437"/>
      <c r="P5625" s="438"/>
      <c r="Q5625" s="442"/>
      <c r="R5625" s="443"/>
      <c r="S5625" s="364"/>
      <c r="Z5625" s="609" t="s">
        <v>2066</v>
      </c>
      <c r="AA5625" s="609" t="s">
        <v>19</v>
      </c>
    </row>
    <row r="5626" spans="1:27" ht="18">
      <c r="A5626" s="2714"/>
      <c r="B5626" s="371">
        <v>102</v>
      </c>
      <c r="C5626" s="371" t="s">
        <v>2791</v>
      </c>
      <c r="D5626" s="2716">
        <f t="shared" si="606"/>
        <v>0</v>
      </c>
      <c r="E5626" s="2721">
        <v>1</v>
      </c>
      <c r="F5626" s="293"/>
      <c r="G5626" s="2467" t="s">
        <v>2792</v>
      </c>
      <c r="H5626" s="2298"/>
      <c r="I5626" s="2275"/>
      <c r="J5626" s="2296"/>
      <c r="L5626" s="437"/>
      <c r="M5626" s="438"/>
      <c r="N5626" s="439"/>
      <c r="O5626" s="437"/>
      <c r="P5626" s="438"/>
      <c r="Q5626" s="442"/>
      <c r="R5626" s="443"/>
      <c r="S5626" s="364"/>
      <c r="Z5626" s="609" t="s">
        <v>2066</v>
      </c>
      <c r="AA5626" s="609" t="s">
        <v>19</v>
      </c>
    </row>
    <row r="5627" spans="1:27" ht="18">
      <c r="A5627" s="2714"/>
      <c r="B5627" s="371">
        <v>103</v>
      </c>
      <c r="C5627" s="371" t="s">
        <v>2791</v>
      </c>
      <c r="D5627" s="2716">
        <f t="shared" si="606"/>
        <v>0</v>
      </c>
      <c r="E5627" s="2721">
        <v>1</v>
      </c>
      <c r="F5627" s="293"/>
      <c r="G5627" s="2467" t="s">
        <v>2792</v>
      </c>
      <c r="H5627" s="2298"/>
      <c r="I5627" s="2275"/>
      <c r="J5627" s="2296"/>
      <c r="L5627" s="437"/>
      <c r="M5627" s="438"/>
      <c r="N5627" s="439"/>
      <c r="O5627" s="437"/>
      <c r="P5627" s="438"/>
      <c r="Q5627" s="442"/>
      <c r="R5627" s="443"/>
      <c r="S5627" s="364"/>
      <c r="Z5627" s="609" t="s">
        <v>2066</v>
      </c>
      <c r="AA5627" s="609" t="s">
        <v>19</v>
      </c>
    </row>
    <row r="5628" spans="1:27" ht="18">
      <c r="A5628" s="2714"/>
      <c r="B5628" s="371">
        <v>104</v>
      </c>
      <c r="C5628" s="371" t="s">
        <v>2791</v>
      </c>
      <c r="D5628" s="2716">
        <f t="shared" si="606"/>
        <v>0</v>
      </c>
      <c r="E5628" s="2721">
        <v>1</v>
      </c>
      <c r="F5628" s="293"/>
      <c r="G5628" s="2467" t="s">
        <v>2792</v>
      </c>
      <c r="H5628" s="2298"/>
      <c r="I5628" s="2275"/>
      <c r="J5628" s="2296"/>
      <c r="K5628" s="439"/>
      <c r="L5628" s="437"/>
      <c r="M5628" s="438"/>
      <c r="N5628" s="439"/>
      <c r="O5628" s="437"/>
      <c r="P5628" s="438"/>
      <c r="Q5628" s="442"/>
      <c r="R5628" s="443"/>
      <c r="S5628" s="364"/>
      <c r="Z5628" s="609" t="s">
        <v>2066</v>
      </c>
      <c r="AA5628" s="609" t="s">
        <v>19</v>
      </c>
    </row>
    <row r="5629" spans="1:27" ht="18">
      <c r="A5629" s="2714"/>
      <c r="B5629" s="371">
        <v>105</v>
      </c>
      <c r="C5629" s="371" t="s">
        <v>2791</v>
      </c>
      <c r="D5629" s="2716">
        <f t="shared" si="606"/>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8">
      <c r="A5630" s="2714"/>
      <c r="B5630" s="371">
        <v>106</v>
      </c>
      <c r="C5630" s="371" t="s">
        <v>2791</v>
      </c>
      <c r="D5630" s="2716">
        <f t="shared" si="606"/>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107</v>
      </c>
      <c r="C5631" s="371" t="s">
        <v>2791</v>
      </c>
      <c r="D5631" s="2716">
        <f t="shared" si="606"/>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
      <c r="A5632" s="2714"/>
      <c r="B5632" s="371">
        <v>108</v>
      </c>
      <c r="C5632" s="371" t="s">
        <v>2791</v>
      </c>
      <c r="D5632" s="2716">
        <f t="shared" si="606"/>
        <v>0</v>
      </c>
      <c r="E5632" s="2721">
        <v>1</v>
      </c>
      <c r="F5632" s="293"/>
      <c r="G5632" s="2467" t="s">
        <v>2792</v>
      </c>
      <c r="H5632" s="2298"/>
      <c r="I5632" s="2275"/>
      <c r="J5632" s="2296"/>
      <c r="K5632" s="439"/>
      <c r="L5632" s="437"/>
      <c r="M5632" s="438"/>
      <c r="N5632" s="439"/>
      <c r="O5632" s="437"/>
      <c r="P5632" s="438"/>
      <c r="Q5632" s="442"/>
      <c r="R5632" s="443"/>
      <c r="S5632" s="364"/>
      <c r="Z5632" s="609" t="s">
        <v>2066</v>
      </c>
      <c r="AA5632" s="609" t="s">
        <v>19</v>
      </c>
    </row>
    <row r="5633" spans="1:27" ht="18.75" thickBot="1">
      <c r="A5633" s="2714"/>
      <c r="B5633" s="371"/>
      <c r="C5633" s="371"/>
      <c r="D5633" s="2716">
        <f t="shared" si="606"/>
        <v>1</v>
      </c>
      <c r="E5633" s="2721" t="s">
        <v>2751</v>
      </c>
      <c r="F5633" s="293"/>
      <c r="G5633" s="374" t="s">
        <v>2752</v>
      </c>
      <c r="H5633" s="2261"/>
      <c r="I5633" s="1478">
        <f>SUMPRODUCT($E5624:$E5632,I5624:I5632)</f>
        <v>0</v>
      </c>
      <c r="J5633" s="1479">
        <f>SUMPRODUCT($E5624:$E5632,J5624:J5632)</f>
        <v>0</v>
      </c>
      <c r="K5633" s="439"/>
      <c r="L5633" s="437"/>
      <c r="M5633" s="440"/>
      <c r="N5633" s="439"/>
      <c r="O5633" s="437"/>
      <c r="P5633" s="440"/>
      <c r="Q5633" s="442"/>
      <c r="R5633" s="443"/>
      <c r="S5633" s="364"/>
      <c r="Z5633" s="609" t="s">
        <v>2066</v>
      </c>
      <c r="AA5633" s="609" t="s">
        <v>19</v>
      </c>
    </row>
    <row r="5634" spans="1:27" ht="18">
      <c r="A5634" s="2714"/>
      <c r="B5634" s="371"/>
      <c r="C5634" s="371" t="s">
        <v>2755</v>
      </c>
      <c r="D5634" s="2716"/>
      <c r="F5634" s="293"/>
      <c r="G5634" s="376"/>
      <c r="H5634" s="393"/>
      <c r="I5634" s="396"/>
      <c r="J5634" s="315"/>
      <c r="K5634" s="426"/>
      <c r="L5634" s="427"/>
      <c r="M5634" s="425"/>
      <c r="N5634" s="426"/>
      <c r="O5634" s="427"/>
      <c r="P5634" s="425"/>
      <c r="Q5634" s="442"/>
      <c r="R5634" s="443"/>
      <c r="S5634" s="364"/>
      <c r="Z5634" s="609" t="s">
        <v>2066</v>
      </c>
      <c r="AA5634" s="609" t="s">
        <v>19</v>
      </c>
    </row>
    <row r="5635" spans="1:27" ht="24">
      <c r="A5635" s="2714" t="s">
        <v>2067</v>
      </c>
      <c r="B5635" s="371">
        <v>5.12</v>
      </c>
      <c r="C5635" s="371"/>
      <c r="D5635" s="2716" t="str">
        <f>VLOOKUP($A5635,Sheet_NoteList,2,0)</f>
        <v>出售商品、提供劳务的关联交易情况</v>
      </c>
      <c r="E5635" s="2716" t="s">
        <v>2742</v>
      </c>
      <c r="F5635" s="293"/>
      <c r="G5635" s="372" t="str">
        <f>"("&amp;B5635&amp;")"&amp;D5635</f>
        <v>(5.12)出售商品、提供劳务的关联交易情况</v>
      </c>
      <c r="H5635" s="1517" t="str">
        <f>$A5635</f>
        <v>9120n</v>
      </c>
      <c r="I5635" s="343" t="s">
        <v>2743</v>
      </c>
      <c r="J5635" s="301" t="s">
        <v>2744</v>
      </c>
      <c r="K5635" s="2210">
        <f>I5646</f>
        <v>0</v>
      </c>
      <c r="L5635" s="349"/>
      <c r="M5635" s="301" t="s">
        <v>2745</v>
      </c>
      <c r="N5635" s="2210">
        <f>J5646</f>
        <v>0</v>
      </c>
      <c r="O5635" s="349"/>
      <c r="P5635" s="301"/>
      <c r="S5635" s="364"/>
      <c r="Z5635" s="609" t="s">
        <v>2066</v>
      </c>
      <c r="AA5635" s="609" t="s">
        <v>19</v>
      </c>
    </row>
    <row r="5636" spans="1:27" ht="0.75" customHeight="1" thickBot="1">
      <c r="A5636" s="2714"/>
      <c r="B5636" s="371"/>
      <c r="C5636" s="371"/>
      <c r="D5636" s="2716"/>
      <c r="E5636" s="586"/>
      <c r="F5636" s="586"/>
      <c r="G5636" s="2224" t="s">
        <v>4438</v>
      </c>
      <c r="H5636" s="371" t="s">
        <v>3067</v>
      </c>
      <c r="I5636" s="371" t="s">
        <v>2748</v>
      </c>
      <c r="J5636" s="371" t="s">
        <v>2948</v>
      </c>
      <c r="K5636" s="428"/>
      <c r="L5636" s="428"/>
      <c r="M5636" s="433"/>
      <c r="N5636" s="428"/>
      <c r="O5636" s="428"/>
      <c r="P5636" s="433"/>
      <c r="Q5636" s="442"/>
      <c r="R5636" s="443"/>
      <c r="S5636" s="364"/>
      <c r="Z5636" s="609" t="s">
        <v>2066</v>
      </c>
      <c r="AA5636" s="609" t="s">
        <v>19</v>
      </c>
    </row>
    <row r="5637" spans="1:27" ht="18">
      <c r="A5637" s="2714"/>
      <c r="B5637" s="371"/>
      <c r="C5637" s="371"/>
      <c r="D5637" s="2716"/>
      <c r="E5637" s="586" t="s">
        <v>2749</v>
      </c>
      <c r="F5637" s="414"/>
      <c r="G5637" s="2457" t="s">
        <v>4436</v>
      </c>
      <c r="H5637" s="2464" t="s">
        <v>4437</v>
      </c>
      <c r="I5637" s="2464" t="str">
        <f>$W$4&amp;"发生额"</f>
        <v>2019年度发生额</v>
      </c>
      <c r="J5637" s="2469" t="str">
        <f>$W$5&amp;"发生额"</f>
        <v>2018年度发生额</v>
      </c>
      <c r="K5637" s="355" t="s">
        <v>5350</v>
      </c>
      <c r="L5637" s="434"/>
      <c r="M5637" s="435"/>
      <c r="N5637" s="434"/>
      <c r="O5637" s="434"/>
      <c r="P5637" s="435"/>
      <c r="Q5637" s="442"/>
      <c r="R5637" s="443"/>
      <c r="S5637" s="364"/>
      <c r="Z5637" s="609" t="s">
        <v>2066</v>
      </c>
      <c r="AA5637" s="609" t="s">
        <v>19</v>
      </c>
    </row>
    <row r="5638" spans="1:27" ht="18">
      <c r="A5638" s="2714"/>
      <c r="B5638" s="371">
        <v>101</v>
      </c>
      <c r="C5638" s="371" t="s">
        <v>2791</v>
      </c>
      <c r="D5638" s="2716">
        <f t="shared" ref="D5638:D5646" si="607">IF(OR(G5638="*",G5638="",G5638=0),0,COUNTIF($G$5638:$G$5646,G5638))</f>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8">
      <c r="A5639" s="2714"/>
      <c r="B5639" s="371">
        <v>102</v>
      </c>
      <c r="C5639" s="371" t="s">
        <v>2791</v>
      </c>
      <c r="D5639" s="2716">
        <f t="shared" si="607"/>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103</v>
      </c>
      <c r="C5640" s="371" t="s">
        <v>2791</v>
      </c>
      <c r="D5640" s="2716">
        <f t="shared" si="607"/>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104</v>
      </c>
      <c r="C5641" s="371" t="s">
        <v>2791</v>
      </c>
      <c r="D5641" s="2716">
        <f t="shared" si="607"/>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105</v>
      </c>
      <c r="C5642" s="371" t="s">
        <v>2791</v>
      </c>
      <c r="D5642" s="2716">
        <f t="shared" si="607"/>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106</v>
      </c>
      <c r="C5643" s="371" t="s">
        <v>2791</v>
      </c>
      <c r="D5643" s="2716">
        <f t="shared" si="607"/>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107</v>
      </c>
      <c r="C5644" s="371" t="s">
        <v>2791</v>
      </c>
      <c r="D5644" s="2716">
        <f t="shared" si="607"/>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
      <c r="A5645" s="2714"/>
      <c r="B5645" s="371">
        <v>108</v>
      </c>
      <c r="C5645" s="371" t="s">
        <v>2791</v>
      </c>
      <c r="D5645" s="2716">
        <f t="shared" si="607"/>
        <v>0</v>
      </c>
      <c r="E5645" s="2721">
        <v>1</v>
      </c>
      <c r="F5645" s="293"/>
      <c r="G5645" s="2467" t="s">
        <v>2792</v>
      </c>
      <c r="H5645" s="2298"/>
      <c r="I5645" s="2275"/>
      <c r="J5645" s="2296"/>
      <c r="K5645" s="439"/>
      <c r="L5645" s="437"/>
      <c r="M5645" s="438"/>
      <c r="N5645" s="439"/>
      <c r="O5645" s="437"/>
      <c r="P5645" s="438"/>
      <c r="Q5645" s="442"/>
      <c r="R5645" s="443"/>
      <c r="S5645" s="364"/>
      <c r="Z5645" s="609" t="s">
        <v>2066</v>
      </c>
      <c r="AA5645" s="609" t="s">
        <v>19</v>
      </c>
    </row>
    <row r="5646" spans="1:27" ht="18.75" thickBot="1">
      <c r="A5646" s="2714"/>
      <c r="B5646" s="371"/>
      <c r="C5646" s="371"/>
      <c r="D5646" s="2716">
        <f t="shared" si="607"/>
        <v>1</v>
      </c>
      <c r="E5646" s="2721" t="s">
        <v>2751</v>
      </c>
      <c r="F5646" s="293"/>
      <c r="G5646" s="374" t="s">
        <v>2752</v>
      </c>
      <c r="H5646" s="2261"/>
      <c r="I5646" s="1478">
        <f>SUMPRODUCT($E5637:$E5645,I5637:I5645)</f>
        <v>0</v>
      </c>
      <c r="J5646" s="1479">
        <f>SUMPRODUCT($E5637:$E5645,J5637:J5645)</f>
        <v>0</v>
      </c>
      <c r="K5646" s="439"/>
      <c r="L5646" s="437"/>
      <c r="M5646" s="440"/>
      <c r="N5646" s="439"/>
      <c r="O5646" s="437"/>
      <c r="P5646" s="440"/>
      <c r="Q5646" s="442"/>
      <c r="R5646" s="443"/>
      <c r="S5646" s="364"/>
      <c r="Z5646" s="609" t="s">
        <v>2066</v>
      </c>
      <c r="AA5646" s="609" t="s">
        <v>19</v>
      </c>
    </row>
    <row r="5647" spans="1:27" ht="18">
      <c r="A5647" s="2714"/>
      <c r="B5647" s="371"/>
      <c r="C5647" s="371" t="s">
        <v>2755</v>
      </c>
      <c r="D5647" s="2716"/>
      <c r="F5647" s="293"/>
      <c r="G5647" s="376"/>
      <c r="H5647" s="393"/>
      <c r="I5647" s="396"/>
      <c r="J5647" s="315"/>
      <c r="K5647" s="426"/>
      <c r="L5647" s="427"/>
      <c r="M5647" s="425"/>
      <c r="N5647" s="426"/>
      <c r="O5647" s="427"/>
      <c r="P5647" s="425"/>
      <c r="Q5647" s="442"/>
      <c r="R5647" s="443"/>
      <c r="S5647" s="364"/>
      <c r="Z5647" s="609" t="s">
        <v>2066</v>
      </c>
      <c r="AA5647" s="609" t="s">
        <v>19</v>
      </c>
    </row>
    <row r="5648" spans="1:27" ht="24">
      <c r="A5648" s="2714" t="s">
        <v>2069</v>
      </c>
      <c r="B5648" s="371">
        <v>5.21</v>
      </c>
      <c r="C5648" s="371"/>
      <c r="D5648" s="2716" t="str">
        <f>VLOOKUP($A5648,Sheet_NoteList,2,0)</f>
        <v>受托管理或承包情况表</v>
      </c>
      <c r="E5648" s="2716" t="s">
        <v>2742</v>
      </c>
      <c r="F5648" s="294"/>
      <c r="G5648" s="483" t="str">
        <f>"("&amp;B5648&amp;")"&amp;D5648</f>
        <v>(5.21)受托管理或承包情况表</v>
      </c>
      <c r="H5648" s="1517" t="str">
        <f>$A5648</f>
        <v>9120c</v>
      </c>
      <c r="I5648" s="343" t="s">
        <v>2743</v>
      </c>
      <c r="J5648" s="301"/>
      <c r="K5648" s="3084"/>
      <c r="L5648" s="315"/>
      <c r="M5648" s="301"/>
      <c r="N5648" s="3084"/>
      <c r="O5648" s="315"/>
      <c r="P5648" s="301"/>
      <c r="S5648" s="364"/>
      <c r="Z5648" s="609" t="s">
        <v>2066</v>
      </c>
      <c r="AA5648" s="609"/>
    </row>
    <row r="5649" spans="1:27" ht="0.75" customHeight="1" thickBot="1">
      <c r="A5649" s="2714"/>
      <c r="B5649" s="371"/>
      <c r="C5649" s="371"/>
      <c r="D5649" s="371"/>
      <c r="E5649" s="586"/>
      <c r="F5649" s="586"/>
      <c r="G5649" s="586" t="s">
        <v>4439</v>
      </c>
      <c r="H5649" s="371" t="s">
        <v>4440</v>
      </c>
      <c r="I5649" s="371" t="s">
        <v>4441</v>
      </c>
      <c r="J5649" s="371" t="s">
        <v>4442</v>
      </c>
      <c r="K5649" s="371" t="s">
        <v>4443</v>
      </c>
      <c r="L5649" s="371" t="s">
        <v>4444</v>
      </c>
      <c r="M5649" s="371" t="s">
        <v>4445</v>
      </c>
      <c r="N5649" s="291"/>
      <c r="O5649" s="291"/>
      <c r="P5649" s="291"/>
      <c r="S5649" s="364"/>
      <c r="Z5649" s="609" t="s">
        <v>2066</v>
      </c>
      <c r="AA5649" s="609"/>
    </row>
    <row r="5650" spans="1:27" ht="24">
      <c r="A5650" s="2714"/>
      <c r="B5650" s="371"/>
      <c r="C5650" s="371"/>
      <c r="D5650" s="371"/>
      <c r="E5650" s="586" t="s">
        <v>2749</v>
      </c>
      <c r="F5650" s="363"/>
      <c r="G5650" s="2457" t="s">
        <v>5238</v>
      </c>
      <c r="H5650" s="2464" t="s">
        <v>5239</v>
      </c>
      <c r="I5650" s="2464" t="s">
        <v>5240</v>
      </c>
      <c r="J5650" s="2464" t="s">
        <v>5241</v>
      </c>
      <c r="K5650" s="2464" t="s">
        <v>5242</v>
      </c>
      <c r="L5650" s="2464" t="s">
        <v>5243</v>
      </c>
      <c r="M5650" s="2469" t="s">
        <v>5244</v>
      </c>
      <c r="N5650" s="355" t="s">
        <v>5350</v>
      </c>
      <c r="O5650" s="291"/>
      <c r="P5650" s="291"/>
      <c r="S5650" s="364"/>
      <c r="Z5650" s="609" t="s">
        <v>2066</v>
      </c>
      <c r="AA5650" s="609"/>
    </row>
    <row r="5651" spans="1:27" ht="18">
      <c r="A5651" s="2714"/>
      <c r="B5651" s="371">
        <v>101</v>
      </c>
      <c r="C5651" s="371" t="s">
        <v>2791</v>
      </c>
      <c r="D5651" s="2716">
        <f t="shared" ref="D5651:D5656" si="608">IF(OR(G5651="*",G5651="",G5651=0),0,COUNTIF($G$5651:$G$5656,G5651))</f>
        <v>0</v>
      </c>
      <c r="E5651" s="2721">
        <v>1</v>
      </c>
      <c r="F5651" s="294"/>
      <c r="G5651" s="2467"/>
      <c r="H5651" s="2298"/>
      <c r="I5651" s="2298"/>
      <c r="J5651" s="2298"/>
      <c r="K5651" s="2298"/>
      <c r="L5651" s="2298"/>
      <c r="M5651" s="2296"/>
      <c r="N5651" s="291"/>
      <c r="O5651" s="291"/>
      <c r="P5651" s="291"/>
      <c r="S5651" s="364"/>
      <c r="Z5651" s="609" t="s">
        <v>2066</v>
      </c>
      <c r="AA5651" s="609"/>
    </row>
    <row r="5652" spans="1:27" ht="18">
      <c r="A5652" s="2714"/>
      <c r="B5652" s="371">
        <v>102</v>
      </c>
      <c r="C5652" s="371" t="s">
        <v>2791</v>
      </c>
      <c r="D5652" s="2716">
        <f t="shared" si="608"/>
        <v>0</v>
      </c>
      <c r="E5652" s="2721">
        <v>1</v>
      </c>
      <c r="F5652" s="294"/>
      <c r="G5652" s="2467" t="s">
        <v>2792</v>
      </c>
      <c r="H5652" s="2298"/>
      <c r="I5652" s="2298"/>
      <c r="J5652" s="2298"/>
      <c r="K5652" s="2298"/>
      <c r="L5652" s="2298"/>
      <c r="M5652" s="2296"/>
      <c r="N5652" s="291"/>
      <c r="O5652" s="291"/>
      <c r="P5652" s="291"/>
      <c r="S5652" s="364"/>
      <c r="Z5652" s="609" t="s">
        <v>2066</v>
      </c>
      <c r="AA5652" s="609"/>
    </row>
    <row r="5653" spans="1:27" ht="18">
      <c r="A5653" s="2714"/>
      <c r="B5653" s="371">
        <v>103</v>
      </c>
      <c r="C5653" s="371" t="s">
        <v>2791</v>
      </c>
      <c r="D5653" s="2716">
        <f t="shared" si="608"/>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8">
      <c r="A5654" s="2714"/>
      <c r="B5654" s="371">
        <v>104</v>
      </c>
      <c r="C5654" s="371" t="s">
        <v>2791</v>
      </c>
      <c r="D5654" s="2716">
        <f t="shared" si="608"/>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
      <c r="A5655" s="2714"/>
      <c r="B5655" s="371">
        <v>105</v>
      </c>
      <c r="C5655" s="371" t="s">
        <v>2791</v>
      </c>
      <c r="D5655" s="2716">
        <f t="shared" si="608"/>
        <v>0</v>
      </c>
      <c r="E5655" s="2721">
        <v>1</v>
      </c>
      <c r="F5655" s="294"/>
      <c r="G5655" s="2467" t="s">
        <v>2792</v>
      </c>
      <c r="H5655" s="2298"/>
      <c r="I5655" s="2298"/>
      <c r="J5655" s="2298"/>
      <c r="K5655" s="2298"/>
      <c r="L5655" s="2298"/>
      <c r="M5655" s="2296"/>
      <c r="N5655" s="291"/>
      <c r="O5655" s="291"/>
      <c r="P5655" s="291"/>
      <c r="S5655" s="364"/>
      <c r="Z5655" s="609" t="s">
        <v>2066</v>
      </c>
      <c r="AA5655" s="609"/>
    </row>
    <row r="5656" spans="1:27" ht="18.75" thickBot="1">
      <c r="A5656" s="2714"/>
      <c r="B5656" s="371"/>
      <c r="C5656" s="371"/>
      <c r="D5656" s="2716">
        <f t="shared" si="608"/>
        <v>1</v>
      </c>
      <c r="E5656" s="2721" t="s">
        <v>3032</v>
      </c>
      <c r="F5656" s="294"/>
      <c r="G5656" s="374" t="s">
        <v>2752</v>
      </c>
      <c r="H5656" s="2261"/>
      <c r="I5656" s="2261"/>
      <c r="J5656" s="2261"/>
      <c r="K5656" s="2261"/>
      <c r="L5656" s="2261"/>
      <c r="M5656" s="1479">
        <f>SUMPRODUCT($E5650:$E5655,M5650:M5655)</f>
        <v>0</v>
      </c>
      <c r="N5656" s="291"/>
      <c r="O5656" s="291"/>
      <c r="P5656" s="291"/>
      <c r="S5656" s="364"/>
      <c r="Z5656" s="609" t="s">
        <v>2066</v>
      </c>
      <c r="AA5656" s="609"/>
    </row>
    <row r="5657" spans="1:27" ht="18">
      <c r="A5657" s="2714"/>
      <c r="B5657" s="371"/>
      <c r="C5657" s="371" t="s">
        <v>2755</v>
      </c>
      <c r="D5657" s="371"/>
      <c r="F5657" s="294"/>
      <c r="G5657" s="301"/>
      <c r="H5657" s="393"/>
      <c r="I5657" s="393"/>
      <c r="J5657" s="393"/>
      <c r="K5657" s="393"/>
      <c r="L5657" s="393"/>
      <c r="M5657" s="315"/>
      <c r="N5657" s="291"/>
      <c r="O5657" s="291"/>
      <c r="P5657" s="291"/>
      <c r="S5657" s="364"/>
      <c r="Z5657" s="609" t="s">
        <v>2066</v>
      </c>
      <c r="AA5657" s="609"/>
    </row>
    <row r="5658" spans="1:27" ht="24">
      <c r="A5658" s="2714" t="s">
        <v>2072</v>
      </c>
      <c r="B5658" s="371">
        <v>5.22</v>
      </c>
      <c r="C5658" s="371"/>
      <c r="D5658" s="2716" t="str">
        <f>VLOOKUP($A5658,Sheet_NoteList,2,0)</f>
        <v>委托管理或出包情况表</v>
      </c>
      <c r="E5658" s="2716" t="s">
        <v>2742</v>
      </c>
      <c r="F5658" s="294"/>
      <c r="G5658" s="483" t="str">
        <f>"("&amp;B5658&amp;")"&amp;D5658</f>
        <v>(5.22)委托管理或出包情况表</v>
      </c>
      <c r="H5658" s="1517" t="str">
        <f>$A5658</f>
        <v>9120d</v>
      </c>
      <c r="I5658" s="343" t="s">
        <v>2743</v>
      </c>
      <c r="J5658" s="301"/>
      <c r="K5658" s="3084"/>
      <c r="L5658" s="315"/>
      <c r="M5658" s="301"/>
      <c r="N5658" s="3084"/>
      <c r="O5658" s="315"/>
      <c r="P5658" s="301"/>
      <c r="S5658" s="364"/>
      <c r="Z5658" s="609" t="s">
        <v>2066</v>
      </c>
      <c r="AA5658" s="609"/>
    </row>
    <row r="5659" spans="1:27" ht="0.75" customHeight="1" thickBot="1">
      <c r="A5659" s="2714"/>
      <c r="B5659" s="371"/>
      <c r="C5659" s="371"/>
      <c r="D5659" s="371"/>
      <c r="E5659" s="586"/>
      <c r="F5659" s="586"/>
      <c r="G5659" s="586" t="s">
        <v>4446</v>
      </c>
      <c r="H5659" s="371" t="s">
        <v>4440</v>
      </c>
      <c r="I5659" s="371" t="s">
        <v>4441</v>
      </c>
      <c r="J5659" s="371" t="s">
        <v>4442</v>
      </c>
      <c r="K5659" s="371" t="s">
        <v>4443</v>
      </c>
      <c r="L5659" s="371" t="s">
        <v>4444</v>
      </c>
      <c r="M5659" s="371" t="s">
        <v>4447</v>
      </c>
      <c r="N5659" s="291"/>
      <c r="O5659" s="291"/>
      <c r="P5659" s="291"/>
      <c r="S5659" s="364"/>
      <c r="Z5659" s="609" t="s">
        <v>2066</v>
      </c>
      <c r="AA5659" s="609"/>
    </row>
    <row r="5660" spans="1:27" ht="24">
      <c r="A5660" s="2714"/>
      <c r="B5660" s="371"/>
      <c r="C5660" s="371"/>
      <c r="D5660" s="371"/>
      <c r="E5660" s="586" t="s">
        <v>2749</v>
      </c>
      <c r="F5660" s="363"/>
      <c r="G5660" s="2457" t="s">
        <v>5238</v>
      </c>
      <c r="H5660" s="2464" t="s">
        <v>5239</v>
      </c>
      <c r="I5660" s="2464" t="s">
        <v>5245</v>
      </c>
      <c r="J5660" s="2464" t="s">
        <v>5246</v>
      </c>
      <c r="K5660" s="2464" t="s">
        <v>5247</v>
      </c>
      <c r="L5660" s="2464" t="s">
        <v>5248</v>
      </c>
      <c r="M5660" s="2469" t="s">
        <v>5249</v>
      </c>
      <c r="N5660" s="355" t="s">
        <v>5350</v>
      </c>
      <c r="O5660" s="291"/>
      <c r="P5660" s="291"/>
      <c r="S5660" s="364"/>
      <c r="Z5660" s="609" t="s">
        <v>2066</v>
      </c>
      <c r="AA5660" s="609"/>
    </row>
    <row r="5661" spans="1:27" ht="18">
      <c r="A5661" s="2714"/>
      <c r="B5661" s="371">
        <v>101</v>
      </c>
      <c r="C5661" s="371" t="s">
        <v>2791</v>
      </c>
      <c r="D5661" s="2716">
        <f t="shared" ref="D5661:D5666" si="609">IF(OR(G5661="*",G5661="",G5661=0),0,COUNTIF($G$5661:$G$5666,G5661))</f>
        <v>0</v>
      </c>
      <c r="E5661" s="2721">
        <v>1</v>
      </c>
      <c r="F5661" s="294"/>
      <c r="G5661" s="2467"/>
      <c r="H5661" s="2298"/>
      <c r="I5661" s="2298"/>
      <c r="J5661" s="2298"/>
      <c r="K5661" s="2298"/>
      <c r="L5661" s="2298"/>
      <c r="M5661" s="2296"/>
      <c r="N5661" s="291"/>
      <c r="O5661" s="291"/>
      <c r="P5661" s="291"/>
      <c r="S5661" s="364"/>
      <c r="Z5661" s="609" t="s">
        <v>2066</v>
      </c>
      <c r="AA5661" s="609"/>
    </row>
    <row r="5662" spans="1:27" ht="18">
      <c r="A5662" s="2714"/>
      <c r="B5662" s="371">
        <v>102</v>
      </c>
      <c r="C5662" s="371" t="s">
        <v>2791</v>
      </c>
      <c r="D5662" s="2716">
        <f t="shared" si="609"/>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8">
      <c r="A5663" s="2714"/>
      <c r="B5663" s="371">
        <v>103</v>
      </c>
      <c r="C5663" s="371" t="s">
        <v>2791</v>
      </c>
      <c r="D5663" s="2716">
        <f t="shared" si="609"/>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104</v>
      </c>
      <c r="C5664" s="371" t="s">
        <v>2791</v>
      </c>
      <c r="D5664" s="2716">
        <f t="shared" si="609"/>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
      <c r="A5665" s="2714"/>
      <c r="B5665" s="371">
        <v>105</v>
      </c>
      <c r="C5665" s="371" t="s">
        <v>2791</v>
      </c>
      <c r="D5665" s="2716">
        <f t="shared" si="609"/>
        <v>0</v>
      </c>
      <c r="E5665" s="2721">
        <v>1</v>
      </c>
      <c r="F5665" s="294"/>
      <c r="G5665" s="2467" t="s">
        <v>2792</v>
      </c>
      <c r="H5665" s="2298"/>
      <c r="I5665" s="2298"/>
      <c r="J5665" s="2298"/>
      <c r="K5665" s="2298"/>
      <c r="L5665" s="2298"/>
      <c r="M5665" s="2296"/>
      <c r="N5665" s="291"/>
      <c r="O5665" s="291"/>
      <c r="P5665" s="291"/>
      <c r="S5665" s="364"/>
      <c r="Z5665" s="609" t="s">
        <v>2066</v>
      </c>
      <c r="AA5665" s="609"/>
    </row>
    <row r="5666" spans="1:27" ht="18.75" thickBot="1">
      <c r="A5666" s="2714"/>
      <c r="B5666" s="371"/>
      <c r="C5666" s="371"/>
      <c r="D5666" s="2716">
        <f t="shared" si="609"/>
        <v>1</v>
      </c>
      <c r="E5666" s="2721" t="s">
        <v>3032</v>
      </c>
      <c r="F5666" s="294"/>
      <c r="G5666" s="374" t="s">
        <v>2752</v>
      </c>
      <c r="H5666" s="2261"/>
      <c r="I5666" s="2261"/>
      <c r="J5666" s="2261"/>
      <c r="K5666" s="2261"/>
      <c r="L5666" s="2261"/>
      <c r="M5666" s="1479">
        <f>SUMPRODUCT($E5660:$E5665,M5660:M5665)</f>
        <v>0</v>
      </c>
      <c r="N5666" s="291"/>
      <c r="O5666" s="291"/>
      <c r="P5666" s="291"/>
      <c r="S5666" s="364"/>
      <c r="Z5666" s="609" t="s">
        <v>2066</v>
      </c>
      <c r="AA5666" s="609"/>
    </row>
    <row r="5667" spans="1:27" ht="18">
      <c r="A5667" s="2714"/>
      <c r="B5667" s="371"/>
      <c r="C5667" s="371" t="s">
        <v>2755</v>
      </c>
      <c r="D5667" s="371"/>
      <c r="F5667" s="294"/>
      <c r="G5667" s="301"/>
      <c r="H5667" s="393"/>
      <c r="I5667" s="393"/>
      <c r="J5667" s="393"/>
      <c r="K5667" s="393"/>
      <c r="L5667" s="393"/>
      <c r="M5667" s="315"/>
      <c r="N5667" s="291"/>
      <c r="O5667" s="291"/>
      <c r="P5667" s="291"/>
      <c r="S5667" s="364"/>
      <c r="Z5667" s="609" t="s">
        <v>2066</v>
      </c>
      <c r="AA5667" s="609"/>
    </row>
    <row r="5668" spans="1:27" ht="24">
      <c r="A5668" s="2714" t="s">
        <v>2075</v>
      </c>
      <c r="B5668" s="371">
        <v>5.31</v>
      </c>
      <c r="C5668" s="371"/>
      <c r="D5668" s="2716" t="str">
        <f>VLOOKUP($A5668,Sheet_NoteList,2,0)</f>
        <v>关联租赁情况——公司出租</v>
      </c>
      <c r="E5668" s="2716" t="s">
        <v>2742</v>
      </c>
      <c r="F5668" s="294"/>
      <c r="G5668" s="483" t="str">
        <f>"("&amp;B5668&amp;")"&amp;D5668</f>
        <v>(5.31)关联租赁情况——公司出租</v>
      </c>
      <c r="H5668" s="1517" t="str">
        <f>$A5668</f>
        <v>9120e</v>
      </c>
      <c r="I5668" s="343" t="s">
        <v>2743</v>
      </c>
      <c r="J5668" s="301"/>
      <c r="K5668" s="3084"/>
      <c r="L5668" s="315"/>
      <c r="M5668" s="301"/>
      <c r="N5668" s="3084"/>
      <c r="O5668" s="315"/>
      <c r="P5668" s="301"/>
      <c r="S5668" s="364"/>
      <c r="Z5668" s="609" t="s">
        <v>2066</v>
      </c>
      <c r="AA5668" s="609"/>
    </row>
    <row r="5669" spans="1:27" ht="0.75" customHeight="1" thickBot="1">
      <c r="A5669" s="2714"/>
      <c r="B5669" s="371"/>
      <c r="C5669" s="371"/>
      <c r="D5669" s="371"/>
      <c r="E5669" s="586"/>
      <c r="F5669" s="586"/>
      <c r="G5669" s="586" t="s">
        <v>4448</v>
      </c>
      <c r="H5669" s="371" t="s">
        <v>4449</v>
      </c>
      <c r="I5669" s="371" t="s">
        <v>4450</v>
      </c>
      <c r="J5669" s="371" t="s">
        <v>4451</v>
      </c>
      <c r="K5669" s="301"/>
      <c r="L5669" s="301"/>
      <c r="M5669" s="301"/>
      <c r="N5669" s="291"/>
      <c r="O5669" s="291"/>
      <c r="P5669" s="291"/>
      <c r="S5669" s="364"/>
      <c r="Z5669" s="609" t="s">
        <v>2066</v>
      </c>
      <c r="AA5669" s="609"/>
    </row>
    <row r="5670" spans="1:27" ht="24">
      <c r="A5670" s="2714"/>
      <c r="B5670" s="371"/>
      <c r="C5670" s="371"/>
      <c r="D5670" s="371"/>
      <c r="E5670" s="586" t="s">
        <v>2749</v>
      </c>
      <c r="F5670" s="363"/>
      <c r="G5670" s="2457" t="s">
        <v>4452</v>
      </c>
      <c r="H5670" s="2464" t="s">
        <v>4453</v>
      </c>
      <c r="I5670" s="2464" t="str">
        <f>$W$4&amp;"确认的租赁收入"</f>
        <v>2019年度确认的租赁收入</v>
      </c>
      <c r="J5670" s="2469" t="str">
        <f>$W$5&amp;"确认的租赁收入"</f>
        <v>2018年度确认的租赁收入</v>
      </c>
      <c r="K5670" s="355" t="s">
        <v>5350</v>
      </c>
      <c r="L5670" s="301"/>
      <c r="M5670" s="301"/>
      <c r="N5670" s="291"/>
      <c r="O5670" s="291"/>
      <c r="P5670" s="291"/>
      <c r="S5670" s="364"/>
      <c r="Z5670" s="609" t="s">
        <v>2066</v>
      </c>
      <c r="AA5670" s="609"/>
    </row>
    <row r="5671" spans="1:27" ht="18">
      <c r="A5671" s="2714"/>
      <c r="B5671" s="371">
        <v>101</v>
      </c>
      <c r="C5671" s="371" t="s">
        <v>2791</v>
      </c>
      <c r="D5671" s="2716">
        <f t="shared" ref="D5671:D5676" si="610">IF(OR(G5671="*",G5671="",G5671=0),0,COUNTIF($G$5671:$G$5676,G5671))</f>
        <v>0</v>
      </c>
      <c r="E5671" s="2721">
        <v>1</v>
      </c>
      <c r="F5671" s="294"/>
      <c r="G5671" s="2467" t="s">
        <v>2792</v>
      </c>
      <c r="H5671" s="2298"/>
      <c r="I5671" s="2275"/>
      <c r="J5671" s="2296"/>
      <c r="K5671" s="301"/>
      <c r="L5671" s="301"/>
      <c r="M5671" s="301"/>
      <c r="N5671" s="291"/>
      <c r="O5671" s="291"/>
      <c r="P5671" s="291"/>
      <c r="S5671" s="364"/>
      <c r="Z5671" s="609" t="s">
        <v>2066</v>
      </c>
      <c r="AA5671" s="609"/>
    </row>
    <row r="5672" spans="1:27" ht="18">
      <c r="A5672" s="2714"/>
      <c r="B5672" s="371">
        <v>102</v>
      </c>
      <c r="C5672" s="371" t="s">
        <v>2791</v>
      </c>
      <c r="D5672" s="2716">
        <f t="shared" si="610"/>
        <v>0</v>
      </c>
      <c r="E5672" s="2721">
        <v>1</v>
      </c>
      <c r="F5672" s="294"/>
      <c r="G5672" s="2467" t="s">
        <v>2792</v>
      </c>
      <c r="H5672" s="2298"/>
      <c r="I5672" s="2275"/>
      <c r="J5672" s="2296"/>
      <c r="K5672" s="301"/>
      <c r="L5672" s="301"/>
      <c r="M5672" s="301"/>
      <c r="N5672" s="291"/>
      <c r="O5672" s="291"/>
      <c r="P5672" s="291"/>
      <c r="S5672" s="364"/>
      <c r="Z5672" s="609" t="s">
        <v>2066</v>
      </c>
      <c r="AA5672" s="609"/>
    </row>
    <row r="5673" spans="1:27" ht="18">
      <c r="A5673" s="2714"/>
      <c r="B5673" s="371">
        <v>103</v>
      </c>
      <c r="C5673" s="371" t="s">
        <v>2791</v>
      </c>
      <c r="D5673" s="2716">
        <f t="shared" si="610"/>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104</v>
      </c>
      <c r="C5674" s="371" t="s">
        <v>2791</v>
      </c>
      <c r="D5674" s="2716">
        <f t="shared" si="610"/>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
      <c r="A5675" s="2714"/>
      <c r="B5675" s="371">
        <v>105</v>
      </c>
      <c r="C5675" s="371" t="s">
        <v>2791</v>
      </c>
      <c r="D5675" s="2716">
        <f t="shared" si="610"/>
        <v>0</v>
      </c>
      <c r="E5675" s="2721">
        <v>1</v>
      </c>
      <c r="F5675" s="294"/>
      <c r="G5675" s="2467" t="s">
        <v>2792</v>
      </c>
      <c r="H5675" s="2298"/>
      <c r="I5675" s="2275"/>
      <c r="J5675" s="2296"/>
      <c r="K5675" s="301"/>
      <c r="L5675" s="301"/>
      <c r="M5675" s="301"/>
      <c r="N5675" s="291"/>
      <c r="O5675" s="291"/>
      <c r="P5675" s="291"/>
      <c r="S5675" s="364"/>
      <c r="Z5675" s="609" t="s">
        <v>2066</v>
      </c>
      <c r="AA5675" s="609"/>
    </row>
    <row r="5676" spans="1:27" ht="18.75" thickBot="1">
      <c r="A5676" s="2714"/>
      <c r="B5676" s="371"/>
      <c r="C5676" s="371"/>
      <c r="D5676" s="2716">
        <f t="shared" si="610"/>
        <v>1</v>
      </c>
      <c r="E5676" s="2721" t="s">
        <v>3032</v>
      </c>
      <c r="F5676" s="294"/>
      <c r="G5676" s="374" t="s">
        <v>2752</v>
      </c>
      <c r="H5676" s="2261"/>
      <c r="I5676" s="1478">
        <f>SUMPRODUCT($E5670:$E5675,I5670:I5675)</f>
        <v>0</v>
      </c>
      <c r="J5676" s="1479">
        <f>SUMPRODUCT($E5670:$E5675,J5670:J5675)</f>
        <v>0</v>
      </c>
      <c r="K5676" s="301"/>
      <c r="L5676" s="301"/>
      <c r="M5676" s="301"/>
      <c r="N5676" s="291"/>
      <c r="O5676" s="291"/>
      <c r="P5676" s="291"/>
      <c r="S5676" s="364"/>
      <c r="Z5676" s="609" t="s">
        <v>2066</v>
      </c>
      <c r="AA5676" s="609"/>
    </row>
    <row r="5677" spans="1:27" ht="18">
      <c r="A5677" s="2714"/>
      <c r="B5677" s="371"/>
      <c r="C5677" s="371" t="s">
        <v>2755</v>
      </c>
      <c r="D5677" s="371"/>
      <c r="F5677" s="294"/>
      <c r="G5677" s="301"/>
      <c r="H5677" s="393"/>
      <c r="I5677" s="315"/>
      <c r="J5677" s="315"/>
      <c r="K5677" s="301"/>
      <c r="L5677" s="301"/>
      <c r="M5677" s="301"/>
      <c r="N5677" s="291"/>
      <c r="O5677" s="291"/>
      <c r="P5677" s="291"/>
      <c r="S5677" s="364"/>
      <c r="Z5677" s="609" t="s">
        <v>2066</v>
      </c>
      <c r="AA5677" s="609"/>
    </row>
    <row r="5678" spans="1:27" ht="24">
      <c r="A5678" s="2714" t="s">
        <v>2077</v>
      </c>
      <c r="B5678" s="371">
        <v>5.32</v>
      </c>
      <c r="C5678" s="371"/>
      <c r="D5678" s="2716" t="str">
        <f>VLOOKUP($A5678,Sheet_NoteList,2,0)</f>
        <v>关联租赁情况——公司承租</v>
      </c>
      <c r="E5678" s="2716" t="s">
        <v>2742</v>
      </c>
      <c r="F5678" s="294"/>
      <c r="G5678" s="483" t="str">
        <f>"("&amp;B5678&amp;")"&amp;D5678</f>
        <v>(5.32)关联租赁情况——公司承租</v>
      </c>
      <c r="H5678" s="1517" t="str">
        <f>$A5678</f>
        <v>9120f</v>
      </c>
      <c r="I5678" s="343" t="s">
        <v>2743</v>
      </c>
      <c r="J5678" s="301"/>
      <c r="K5678" s="3084"/>
      <c r="L5678" s="315"/>
      <c r="M5678" s="301"/>
      <c r="N5678" s="3084"/>
      <c r="O5678" s="315"/>
      <c r="P5678" s="301"/>
      <c r="S5678" s="364"/>
      <c r="Z5678" s="609" t="s">
        <v>2066</v>
      </c>
      <c r="AA5678" s="609"/>
    </row>
    <row r="5679" spans="1:27" ht="0.75" customHeight="1" thickBot="1">
      <c r="A5679" s="2714"/>
      <c r="B5679" s="371"/>
      <c r="C5679" s="371"/>
      <c r="D5679" s="371"/>
      <c r="E5679" s="586"/>
      <c r="F5679" s="586"/>
      <c r="G5679" s="586" t="s">
        <v>4454</v>
      </c>
      <c r="H5679" s="371" t="s">
        <v>4449</v>
      </c>
      <c r="I5679" s="371" t="s">
        <v>4455</v>
      </c>
      <c r="J5679" s="371" t="s">
        <v>4456</v>
      </c>
      <c r="K5679" s="301"/>
      <c r="L5679" s="301"/>
      <c r="M5679" s="301"/>
      <c r="N5679" s="291"/>
      <c r="O5679" s="291"/>
      <c r="P5679" s="291"/>
      <c r="S5679" s="364"/>
      <c r="Z5679" s="609" t="s">
        <v>2066</v>
      </c>
      <c r="AA5679" s="609"/>
    </row>
    <row r="5680" spans="1:27" ht="24">
      <c r="A5680" s="2714"/>
      <c r="B5680" s="371"/>
      <c r="C5680" s="371"/>
      <c r="D5680" s="371"/>
      <c r="E5680" s="586" t="s">
        <v>2749</v>
      </c>
      <c r="F5680" s="363"/>
      <c r="G5680" s="2457" t="s">
        <v>4457</v>
      </c>
      <c r="H5680" s="2464" t="s">
        <v>4453</v>
      </c>
      <c r="I5680" s="2464" t="str">
        <f>$W$4&amp;"确认的租赁费"</f>
        <v>2019年度确认的租赁费</v>
      </c>
      <c r="J5680" s="2469" t="str">
        <f>$W$5&amp;"确认的租赁费"</f>
        <v>2018年度确认的租赁费</v>
      </c>
      <c r="K5680" s="355" t="s">
        <v>5350</v>
      </c>
      <c r="L5680" s="301"/>
      <c r="M5680" s="301"/>
      <c r="N5680" s="291"/>
      <c r="O5680" s="291"/>
      <c r="P5680" s="291"/>
      <c r="S5680" s="364"/>
      <c r="Z5680" s="609" t="s">
        <v>2066</v>
      </c>
      <c r="AA5680" s="609"/>
    </row>
    <row r="5681" spans="1:27" ht="18">
      <c r="A5681" s="2714"/>
      <c r="B5681" s="371">
        <v>101</v>
      </c>
      <c r="C5681" s="371" t="s">
        <v>2791</v>
      </c>
      <c r="D5681" s="2716">
        <f t="shared" ref="D5681:D5686" si="611">IF(OR(G5681="*",G5681="",G5681=0),0,COUNTIF($G$5681:$G$5686,G5681))</f>
        <v>0</v>
      </c>
      <c r="E5681" s="2721">
        <v>1</v>
      </c>
      <c r="F5681" s="294"/>
      <c r="G5681" s="2467" t="s">
        <v>2792</v>
      </c>
      <c r="H5681" s="2298"/>
      <c r="I5681" s="2275"/>
      <c r="J5681" s="2296"/>
      <c r="K5681" s="301"/>
      <c r="L5681" s="301"/>
      <c r="M5681" s="301"/>
      <c r="N5681" s="291"/>
      <c r="O5681" s="291"/>
      <c r="P5681" s="291"/>
      <c r="S5681" s="364"/>
      <c r="Z5681" s="609" t="s">
        <v>2066</v>
      </c>
      <c r="AA5681" s="609"/>
    </row>
    <row r="5682" spans="1:27" ht="18">
      <c r="A5682" s="2714"/>
      <c r="B5682" s="371">
        <v>102</v>
      </c>
      <c r="C5682" s="371" t="s">
        <v>2791</v>
      </c>
      <c r="D5682" s="2716">
        <f t="shared" si="611"/>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103</v>
      </c>
      <c r="C5683" s="371" t="s">
        <v>2791</v>
      </c>
      <c r="D5683" s="2716">
        <f t="shared" si="611"/>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104</v>
      </c>
      <c r="C5684" s="371" t="s">
        <v>2791</v>
      </c>
      <c r="D5684" s="2716">
        <f t="shared" si="611"/>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
      <c r="A5685" s="2714"/>
      <c r="B5685" s="371">
        <v>105</v>
      </c>
      <c r="C5685" s="371" t="s">
        <v>2791</v>
      </c>
      <c r="D5685" s="2716">
        <f t="shared" si="611"/>
        <v>0</v>
      </c>
      <c r="E5685" s="2721">
        <v>1</v>
      </c>
      <c r="F5685" s="294"/>
      <c r="G5685" s="2467" t="s">
        <v>2792</v>
      </c>
      <c r="H5685" s="2298"/>
      <c r="I5685" s="2275"/>
      <c r="J5685" s="2296"/>
      <c r="K5685" s="301"/>
      <c r="L5685" s="301"/>
      <c r="M5685" s="301"/>
      <c r="N5685" s="291"/>
      <c r="O5685" s="291"/>
      <c r="P5685" s="291"/>
      <c r="S5685" s="364"/>
      <c r="Z5685" s="609" t="s">
        <v>2066</v>
      </c>
      <c r="AA5685" s="609"/>
    </row>
    <row r="5686" spans="1:27" ht="18.75" thickBot="1">
      <c r="A5686" s="2714"/>
      <c r="B5686" s="371"/>
      <c r="C5686" s="371"/>
      <c r="D5686" s="2716">
        <f t="shared" si="611"/>
        <v>1</v>
      </c>
      <c r="E5686" s="2721" t="s">
        <v>3032</v>
      </c>
      <c r="F5686" s="294"/>
      <c r="G5686" s="374" t="s">
        <v>2752</v>
      </c>
      <c r="H5686" s="2261"/>
      <c r="I5686" s="1478">
        <f>SUMPRODUCT($E5680:$E5685,I5680:I5685)</f>
        <v>0</v>
      </c>
      <c r="J5686" s="1479">
        <f>SUMPRODUCT($E5680:$E5685,J5680:J5685)</f>
        <v>0</v>
      </c>
      <c r="K5686" s="301"/>
      <c r="L5686" s="301"/>
      <c r="M5686" s="301"/>
      <c r="N5686" s="291"/>
      <c r="O5686" s="291"/>
      <c r="P5686" s="291"/>
      <c r="S5686" s="364"/>
      <c r="Z5686" s="609" t="s">
        <v>2066</v>
      </c>
      <c r="AA5686" s="609"/>
    </row>
    <row r="5687" spans="1:27" ht="18">
      <c r="A5687" s="2714"/>
      <c r="B5687" s="371"/>
      <c r="C5687" s="371" t="s">
        <v>2755</v>
      </c>
      <c r="D5687" s="371"/>
      <c r="F5687" s="294"/>
      <c r="G5687" s="301"/>
      <c r="H5687" s="393"/>
      <c r="I5687" s="315"/>
      <c r="J5687" s="315"/>
      <c r="K5687" s="301"/>
      <c r="L5687" s="301"/>
      <c r="M5687" s="301"/>
      <c r="N5687" s="291"/>
      <c r="O5687" s="291"/>
      <c r="P5687" s="291"/>
      <c r="S5687" s="364"/>
      <c r="Z5687" s="609" t="s">
        <v>2066</v>
      </c>
      <c r="AA5687" s="609"/>
    </row>
    <row r="5688" spans="1:27" ht="24">
      <c r="A5688" s="2714" t="s">
        <v>2079</v>
      </c>
      <c r="B5688" s="371">
        <v>5.41</v>
      </c>
      <c r="C5688" s="371"/>
      <c r="D5688" s="2716" t="str">
        <f>VLOOKUP($A5688,Sheet_NoteList,2,0)</f>
        <v>关联担保情况——作为担保方</v>
      </c>
      <c r="E5688" s="2716" t="s">
        <v>2742</v>
      </c>
      <c r="F5688" s="294"/>
      <c r="G5688" s="483" t="str">
        <f>"("&amp;B5688&amp;")"&amp;D5688</f>
        <v>(5.41)关联担保情况——作为担保方</v>
      </c>
      <c r="H5688" s="1517" t="str">
        <f>$A5688</f>
        <v>9120g</v>
      </c>
      <c r="I5688" s="343" t="s">
        <v>2743</v>
      </c>
      <c r="J5688" s="301"/>
      <c r="K5688" s="3084"/>
      <c r="L5688" s="315"/>
      <c r="M5688" s="301"/>
      <c r="N5688" s="3084"/>
      <c r="O5688" s="315"/>
      <c r="P5688" s="301"/>
      <c r="S5688" s="364"/>
      <c r="Z5688" s="609" t="s">
        <v>2066</v>
      </c>
      <c r="AA5688" s="609"/>
    </row>
    <row r="5689" spans="1:27" ht="0.75" customHeight="1" thickBot="1">
      <c r="A5689" s="2714"/>
      <c r="B5689" s="371"/>
      <c r="C5689" s="371"/>
      <c r="D5689" s="371"/>
      <c r="F5689" s="371"/>
      <c r="G5689" s="371" t="s">
        <v>4458</v>
      </c>
      <c r="H5689" s="371" t="s">
        <v>4459</v>
      </c>
      <c r="I5689" s="371" t="s">
        <v>4460</v>
      </c>
      <c r="J5689" s="371" t="s">
        <v>4461</v>
      </c>
      <c r="K5689" s="371" t="s">
        <v>4462</v>
      </c>
      <c r="L5689" s="301"/>
      <c r="M5689" s="301"/>
      <c r="N5689" s="291"/>
      <c r="O5689" s="291"/>
      <c r="P5689" s="291"/>
      <c r="S5689" s="364"/>
      <c r="Z5689" s="609" t="s">
        <v>2066</v>
      </c>
      <c r="AA5689" s="609"/>
    </row>
    <row r="5690" spans="1:27" ht="24">
      <c r="A5690" s="2714"/>
      <c r="B5690" s="371"/>
      <c r="C5690" s="371"/>
      <c r="D5690" s="371"/>
      <c r="E5690" s="2716" t="s">
        <v>2749</v>
      </c>
      <c r="F5690" s="294"/>
      <c r="G5690" s="410" t="s">
        <v>4463</v>
      </c>
      <c r="H5690" s="506" t="s">
        <v>4464</v>
      </c>
      <c r="I5690" s="412" t="s">
        <v>4465</v>
      </c>
      <c r="J5690" s="506" t="s">
        <v>4466</v>
      </c>
      <c r="K5690" s="507" t="s">
        <v>4467</v>
      </c>
      <c r="L5690" s="355" t="s">
        <v>5350</v>
      </c>
      <c r="M5690" s="301"/>
      <c r="N5690" s="291"/>
      <c r="O5690" s="291"/>
      <c r="P5690" s="291"/>
      <c r="S5690" s="364"/>
      <c r="Z5690" s="609" t="s">
        <v>2066</v>
      </c>
      <c r="AA5690" s="609"/>
    </row>
    <row r="5691" spans="1:27" ht="18">
      <c r="A5691" s="2714"/>
      <c r="B5691" s="371">
        <v>101</v>
      </c>
      <c r="C5691" s="371" t="s">
        <v>2791</v>
      </c>
      <c r="D5691" s="2716">
        <f t="shared" ref="D5691:D5696" si="612">IF(OR(G5691="*",G5691="",G5691=0),0,COUNTIF($G$5691:$G$5696,G5691))</f>
        <v>0</v>
      </c>
      <c r="E5691" s="2721">
        <v>1</v>
      </c>
      <c r="F5691" s="294"/>
      <c r="G5691" s="319" t="s">
        <v>2792</v>
      </c>
      <c r="H5691" s="309"/>
      <c r="I5691" s="360"/>
      <c r="J5691" s="360"/>
      <c r="K5691" s="388"/>
      <c r="L5691" s="301"/>
      <c r="M5691" s="301"/>
      <c r="N5691" s="291"/>
      <c r="O5691" s="291"/>
      <c r="P5691" s="291"/>
      <c r="S5691" s="364"/>
      <c r="Z5691" s="609" t="s">
        <v>2066</v>
      </c>
      <c r="AA5691" s="609"/>
    </row>
    <row r="5692" spans="1:27" ht="18">
      <c r="A5692" s="2714"/>
      <c r="B5692" s="371">
        <v>102</v>
      </c>
      <c r="C5692" s="371" t="s">
        <v>2791</v>
      </c>
      <c r="D5692" s="2716">
        <f t="shared" si="612"/>
        <v>0</v>
      </c>
      <c r="E5692" s="2721">
        <v>1</v>
      </c>
      <c r="F5692" s="294"/>
      <c r="G5692" s="319" t="s">
        <v>2792</v>
      </c>
      <c r="H5692" s="309"/>
      <c r="I5692" s="360"/>
      <c r="J5692" s="360"/>
      <c r="K5692" s="388"/>
      <c r="L5692" s="301"/>
      <c r="M5692" s="301"/>
      <c r="N5692" s="291"/>
      <c r="O5692" s="291"/>
      <c r="P5692" s="291"/>
      <c r="S5692" s="364"/>
      <c r="Z5692" s="609" t="s">
        <v>2066</v>
      </c>
      <c r="AA5692" s="609"/>
    </row>
    <row r="5693" spans="1:27" ht="18">
      <c r="A5693" s="2714"/>
      <c r="B5693" s="371">
        <v>103</v>
      </c>
      <c r="C5693" s="371" t="s">
        <v>2791</v>
      </c>
      <c r="D5693" s="2716">
        <f t="shared" si="612"/>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104</v>
      </c>
      <c r="C5694" s="371" t="s">
        <v>2791</v>
      </c>
      <c r="D5694" s="2716">
        <f t="shared" si="612"/>
        <v>0</v>
      </c>
      <c r="E5694" s="2721">
        <v>1</v>
      </c>
      <c r="F5694" s="294"/>
      <c r="G5694" s="319" t="s">
        <v>2792</v>
      </c>
      <c r="H5694" s="309"/>
      <c r="I5694" s="360"/>
      <c r="J5694" s="360"/>
      <c r="K5694" s="388"/>
      <c r="L5694" s="301"/>
      <c r="M5694" s="301"/>
      <c r="N5694" s="291"/>
      <c r="O5694" s="291"/>
      <c r="P5694" s="291"/>
      <c r="S5694" s="364"/>
      <c r="Z5694" s="609" t="s">
        <v>2066</v>
      </c>
      <c r="AA5694" s="609"/>
    </row>
    <row r="5695" spans="1:27" ht="18">
      <c r="A5695" s="2714"/>
      <c r="B5695" s="371">
        <v>105</v>
      </c>
      <c r="C5695" s="371" t="s">
        <v>2791</v>
      </c>
      <c r="D5695" s="2716">
        <f t="shared" si="612"/>
        <v>0</v>
      </c>
      <c r="E5695" s="2721">
        <v>1</v>
      </c>
      <c r="F5695" s="294"/>
      <c r="G5695" s="319" t="s">
        <v>2792</v>
      </c>
      <c r="H5695" s="309"/>
      <c r="I5695" s="360"/>
      <c r="J5695" s="360"/>
      <c r="K5695" s="388"/>
      <c r="L5695" s="301"/>
      <c r="M5695" s="301"/>
      <c r="N5695" s="291"/>
      <c r="O5695" s="291"/>
      <c r="P5695" s="291"/>
      <c r="S5695" s="364"/>
      <c r="Z5695" s="609" t="s">
        <v>2066</v>
      </c>
      <c r="AA5695" s="609"/>
    </row>
    <row r="5696" spans="1:27" ht="18.75" thickBot="1">
      <c r="A5696" s="2714"/>
      <c r="B5696" s="371"/>
      <c r="C5696" s="371"/>
      <c r="D5696" s="2716">
        <f t="shared" si="612"/>
        <v>1</v>
      </c>
      <c r="E5696" s="2721" t="s">
        <v>3032</v>
      </c>
      <c r="F5696" s="294"/>
      <c r="G5696" s="374" t="s">
        <v>2752</v>
      </c>
      <c r="H5696" s="375">
        <f>SUMPRODUCT($E5690:$E5695,H5690:H5695)</f>
        <v>0</v>
      </c>
      <c r="I5696" s="567"/>
      <c r="J5696" s="567"/>
      <c r="K5696" s="550"/>
      <c r="L5696" s="301"/>
      <c r="M5696" s="301"/>
      <c r="N5696" s="291"/>
      <c r="O5696" s="291"/>
      <c r="P5696" s="291"/>
      <c r="S5696" s="364"/>
      <c r="Z5696" s="609" t="s">
        <v>2066</v>
      </c>
      <c r="AA5696" s="609"/>
    </row>
    <row r="5697" spans="1:27" ht="18">
      <c r="A5697" s="2714"/>
      <c r="B5697" s="371"/>
      <c r="C5697" s="371" t="s">
        <v>2755</v>
      </c>
      <c r="D5697" s="371"/>
      <c r="F5697" s="294"/>
      <c r="G5697" s="301"/>
      <c r="H5697" s="315"/>
      <c r="I5697" s="393"/>
      <c r="J5697" s="393"/>
      <c r="K5697" s="393"/>
      <c r="L5697" s="301"/>
      <c r="M5697" s="301"/>
      <c r="N5697" s="291"/>
      <c r="O5697" s="291"/>
      <c r="P5697" s="291"/>
      <c r="S5697" s="364"/>
      <c r="Z5697" s="609" t="s">
        <v>2066</v>
      </c>
      <c r="AA5697" s="609"/>
    </row>
    <row r="5698" spans="1:27" ht="24">
      <c r="A5698" s="2714" t="s">
        <v>2081</v>
      </c>
      <c r="B5698" s="371">
        <v>5.42</v>
      </c>
      <c r="C5698" s="371"/>
      <c r="D5698" s="2716" t="str">
        <f>VLOOKUP($A5698,Sheet_NoteList,2,0)</f>
        <v>关联担保情况——作为被担保方</v>
      </c>
      <c r="E5698" s="2716" t="s">
        <v>2742</v>
      </c>
      <c r="F5698" s="294"/>
      <c r="G5698" s="483" t="str">
        <f>"("&amp;B5698&amp;")"&amp;D5698</f>
        <v>(5.42)关联担保情况——作为被担保方</v>
      </c>
      <c r="H5698" s="1517" t="str">
        <f>$A5698</f>
        <v>9120h</v>
      </c>
      <c r="I5698" s="343" t="s">
        <v>2743</v>
      </c>
      <c r="J5698" s="301"/>
      <c r="K5698" s="3084"/>
      <c r="L5698" s="315"/>
      <c r="M5698" s="301"/>
      <c r="N5698" s="3084"/>
      <c r="O5698" s="315"/>
      <c r="P5698" s="301"/>
      <c r="S5698" s="364"/>
      <c r="Z5698" s="609" t="s">
        <v>2066</v>
      </c>
      <c r="AA5698" s="609"/>
    </row>
    <row r="5699" spans="1:27" ht="0.75" customHeight="1" thickBot="1">
      <c r="A5699" s="2714"/>
      <c r="B5699" s="371"/>
      <c r="C5699" s="371"/>
      <c r="D5699" s="371"/>
      <c r="E5699" s="586"/>
      <c r="F5699" s="586"/>
      <c r="G5699" s="586" t="s">
        <v>4468</v>
      </c>
      <c r="H5699" s="371" t="s">
        <v>4459</v>
      </c>
      <c r="I5699" s="371" t="s">
        <v>4460</v>
      </c>
      <c r="J5699" s="371" t="s">
        <v>4461</v>
      </c>
      <c r="K5699" s="371" t="s">
        <v>4462</v>
      </c>
      <c r="L5699" s="301"/>
      <c r="M5699" s="301"/>
      <c r="N5699" s="291"/>
      <c r="O5699" s="291"/>
      <c r="P5699" s="291"/>
      <c r="S5699" s="364"/>
      <c r="Z5699" s="609" t="s">
        <v>2066</v>
      </c>
      <c r="AA5699" s="609"/>
    </row>
    <row r="5700" spans="1:27" ht="24">
      <c r="A5700" s="2714"/>
      <c r="B5700" s="371"/>
      <c r="C5700" s="371"/>
      <c r="D5700" s="371"/>
      <c r="E5700" s="586" t="s">
        <v>2749</v>
      </c>
      <c r="F5700" s="363"/>
      <c r="G5700" s="2457" t="s">
        <v>4469</v>
      </c>
      <c r="H5700" s="2464" t="s">
        <v>4464</v>
      </c>
      <c r="I5700" s="2464" t="s">
        <v>4465</v>
      </c>
      <c r="J5700" s="2464" t="s">
        <v>4466</v>
      </c>
      <c r="K5700" s="2469" t="s">
        <v>4467</v>
      </c>
      <c r="L5700" s="355" t="s">
        <v>5350</v>
      </c>
      <c r="M5700" s="301"/>
      <c r="N5700" s="291"/>
      <c r="O5700" s="291"/>
      <c r="P5700" s="291"/>
      <c r="S5700" s="364"/>
      <c r="Z5700" s="609" t="s">
        <v>2066</v>
      </c>
      <c r="AA5700" s="609"/>
    </row>
    <row r="5701" spans="1:27" ht="18">
      <c r="A5701" s="2714"/>
      <c r="B5701" s="371">
        <v>101</v>
      </c>
      <c r="C5701" s="371" t="s">
        <v>2791</v>
      </c>
      <c r="D5701" s="2716">
        <f t="shared" ref="D5701:D5706" si="613">IF(OR(G5701="*",G5701="",G5701=0),0,COUNTIF($G$5701:$G$5706,G5701))</f>
        <v>0</v>
      </c>
      <c r="E5701" s="2721">
        <v>1</v>
      </c>
      <c r="F5701" s="294"/>
      <c r="G5701" s="2467" t="s">
        <v>2792</v>
      </c>
      <c r="H5701" s="2275"/>
      <c r="I5701" s="2298"/>
      <c r="J5701" s="2298"/>
      <c r="K5701" s="2276"/>
      <c r="L5701" s="301"/>
      <c r="M5701" s="301"/>
      <c r="N5701" s="291"/>
      <c r="O5701" s="291"/>
      <c r="P5701" s="291"/>
      <c r="S5701" s="364"/>
      <c r="Z5701" s="609" t="s">
        <v>2066</v>
      </c>
      <c r="AA5701" s="609"/>
    </row>
    <row r="5702" spans="1:27" ht="18">
      <c r="A5702" s="2714"/>
      <c r="B5702" s="371">
        <v>102</v>
      </c>
      <c r="C5702" s="371" t="s">
        <v>2791</v>
      </c>
      <c r="D5702" s="2716">
        <f t="shared" si="613"/>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8">
      <c r="A5703" s="2714"/>
      <c r="B5703" s="371">
        <v>103</v>
      </c>
      <c r="C5703" s="371" t="s">
        <v>2791</v>
      </c>
      <c r="D5703" s="2716">
        <f t="shared" si="613"/>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104</v>
      </c>
      <c r="C5704" s="371" t="s">
        <v>2791</v>
      </c>
      <c r="D5704" s="2716">
        <f t="shared" si="613"/>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
      <c r="A5705" s="2714"/>
      <c r="B5705" s="371">
        <v>105</v>
      </c>
      <c r="C5705" s="371" t="s">
        <v>2791</v>
      </c>
      <c r="D5705" s="2716">
        <f t="shared" si="613"/>
        <v>0</v>
      </c>
      <c r="E5705" s="2721">
        <v>1</v>
      </c>
      <c r="F5705" s="294"/>
      <c r="G5705" s="2467" t="s">
        <v>2792</v>
      </c>
      <c r="H5705" s="2275"/>
      <c r="I5705" s="2298"/>
      <c r="J5705" s="2298"/>
      <c r="K5705" s="2276"/>
      <c r="L5705" s="301"/>
      <c r="M5705" s="301"/>
      <c r="N5705" s="291"/>
      <c r="O5705" s="291"/>
      <c r="P5705" s="291"/>
      <c r="S5705" s="364"/>
      <c r="Z5705" s="609" t="s">
        <v>2066</v>
      </c>
      <c r="AA5705" s="609"/>
    </row>
    <row r="5706" spans="1:27" ht="18.75" thickBot="1">
      <c r="A5706" s="2714"/>
      <c r="B5706" s="371"/>
      <c r="C5706" s="371"/>
      <c r="D5706" s="2716">
        <f t="shared" si="613"/>
        <v>1</v>
      </c>
      <c r="E5706" s="2721" t="s">
        <v>3032</v>
      </c>
      <c r="F5706" s="294"/>
      <c r="G5706" s="374" t="s">
        <v>2752</v>
      </c>
      <c r="H5706" s="1478">
        <f>SUMPRODUCT($E5700:$E5705,H5700:H5705)</f>
        <v>0</v>
      </c>
      <c r="I5706" s="2261"/>
      <c r="J5706" s="2261"/>
      <c r="K5706" s="2260"/>
      <c r="L5706" s="301"/>
      <c r="M5706" s="301"/>
      <c r="N5706" s="291"/>
      <c r="O5706" s="291"/>
      <c r="P5706" s="291"/>
      <c r="S5706" s="364"/>
      <c r="Z5706" s="609" t="s">
        <v>2066</v>
      </c>
      <c r="AA5706" s="609"/>
    </row>
    <row r="5707" spans="1:27" ht="18">
      <c r="A5707" s="2714"/>
      <c r="B5707" s="371"/>
      <c r="C5707" s="371" t="s">
        <v>2755</v>
      </c>
      <c r="D5707" s="371"/>
      <c r="F5707" s="294"/>
      <c r="G5707" s="301"/>
      <c r="H5707" s="315"/>
      <c r="I5707" s="393"/>
      <c r="J5707" s="393"/>
      <c r="K5707" s="393"/>
      <c r="L5707" s="301"/>
      <c r="M5707" s="301"/>
      <c r="N5707" s="291"/>
      <c r="O5707" s="291"/>
      <c r="P5707" s="291"/>
      <c r="S5707" s="364"/>
      <c r="Z5707" s="609" t="s">
        <v>2066</v>
      </c>
      <c r="AA5707" s="609"/>
    </row>
    <row r="5708" spans="1:27" ht="24">
      <c r="A5708" s="2714" t="s">
        <v>2083</v>
      </c>
      <c r="B5708" s="371">
        <v>5.51</v>
      </c>
      <c r="C5708" s="371"/>
      <c r="D5708" s="2716" t="str">
        <f>VLOOKUP($A5708,Sheet_NoteList,2,0)</f>
        <v>关联方资金拆借情况——拆入</v>
      </c>
      <c r="E5708" s="2716" t="s">
        <v>2742</v>
      </c>
      <c r="F5708" s="294"/>
      <c r="G5708" s="483" t="str">
        <f>"("&amp;B5708&amp;")"&amp;D5708</f>
        <v>(5.51)关联方资金拆借情况——拆入</v>
      </c>
      <c r="H5708" s="1517" t="str">
        <f>$A5708</f>
        <v>9120i</v>
      </c>
      <c r="I5708" s="343" t="s">
        <v>2743</v>
      </c>
      <c r="J5708" s="301"/>
      <c r="K5708" s="3084"/>
      <c r="L5708" s="315"/>
      <c r="M5708" s="301"/>
      <c r="N5708" s="3084"/>
      <c r="O5708" s="315"/>
      <c r="P5708" s="301"/>
      <c r="S5708" s="364"/>
      <c r="Z5708" s="609" t="s">
        <v>2066</v>
      </c>
      <c r="AA5708" s="609"/>
    </row>
    <row r="5709" spans="1:27" ht="0.75" customHeight="1" thickBot="1">
      <c r="A5709" s="2714"/>
      <c r="B5709" s="371"/>
      <c r="C5709" s="371"/>
      <c r="D5709" s="371"/>
      <c r="F5709" s="371"/>
      <c r="G5709" s="371" t="s">
        <v>4470</v>
      </c>
      <c r="H5709" s="371" t="s">
        <v>4471</v>
      </c>
      <c r="I5709" s="371" t="s">
        <v>4460</v>
      </c>
      <c r="J5709" s="371" t="s">
        <v>4461</v>
      </c>
      <c r="K5709" s="371" t="s">
        <v>4472</v>
      </c>
      <c r="L5709" s="301"/>
      <c r="M5709" s="301"/>
      <c r="N5709" s="291"/>
      <c r="O5709" s="291"/>
      <c r="P5709" s="291"/>
      <c r="S5709" s="364"/>
      <c r="Z5709" s="609" t="s">
        <v>2066</v>
      </c>
      <c r="AA5709" s="609"/>
    </row>
    <row r="5710" spans="1:27" ht="18">
      <c r="A5710" s="2714"/>
      <c r="B5710" s="371"/>
      <c r="C5710" s="371"/>
      <c r="D5710" s="371"/>
      <c r="E5710" s="2716" t="s">
        <v>2749</v>
      </c>
      <c r="F5710" s="294"/>
      <c r="G5710" s="410" t="s">
        <v>1423</v>
      </c>
      <c r="H5710" s="506" t="s">
        <v>4473</v>
      </c>
      <c r="I5710" s="412" t="s">
        <v>4474</v>
      </c>
      <c r="J5710" s="506" t="s">
        <v>3322</v>
      </c>
      <c r="K5710" s="507" t="s">
        <v>2758</v>
      </c>
      <c r="L5710" s="355" t="s">
        <v>5350</v>
      </c>
      <c r="M5710" s="301"/>
      <c r="N5710" s="291"/>
      <c r="O5710" s="291"/>
      <c r="P5710" s="291"/>
      <c r="S5710" s="364"/>
      <c r="Z5710" s="609" t="s">
        <v>2066</v>
      </c>
      <c r="AA5710" s="609"/>
    </row>
    <row r="5711" spans="1:27" ht="18">
      <c r="A5711" s="2714"/>
      <c r="B5711" s="371">
        <v>101</v>
      </c>
      <c r="C5711" s="371" t="s">
        <v>2791</v>
      </c>
      <c r="D5711" s="2716">
        <f t="shared" ref="D5711:D5716" si="614">IF(OR(G5711="*",G5711="",G5711=0),0,COUNTIF($G$5711:$G$5716,G5711))</f>
        <v>0</v>
      </c>
      <c r="E5711" s="2721">
        <v>1</v>
      </c>
      <c r="F5711" s="294"/>
      <c r="G5711" s="319" t="s">
        <v>2792</v>
      </c>
      <c r="H5711" s="309"/>
      <c r="I5711" s="360"/>
      <c r="J5711" s="360"/>
      <c r="K5711" s="388"/>
      <c r="L5711" s="301"/>
      <c r="M5711" s="301"/>
      <c r="N5711" s="291"/>
      <c r="O5711" s="291"/>
      <c r="P5711" s="291"/>
      <c r="S5711" s="364"/>
      <c r="Z5711" s="609" t="s">
        <v>2066</v>
      </c>
      <c r="AA5711" s="609"/>
    </row>
    <row r="5712" spans="1:27" ht="18">
      <c r="A5712" s="2714"/>
      <c r="B5712" s="371">
        <v>102</v>
      </c>
      <c r="C5712" s="371" t="s">
        <v>2791</v>
      </c>
      <c r="D5712" s="2716">
        <f t="shared" si="614"/>
        <v>0</v>
      </c>
      <c r="E5712" s="2721">
        <v>1</v>
      </c>
      <c r="F5712" s="294"/>
      <c r="G5712" s="319" t="s">
        <v>2792</v>
      </c>
      <c r="H5712" s="309"/>
      <c r="I5712" s="360"/>
      <c r="J5712" s="360"/>
      <c r="K5712" s="388"/>
      <c r="L5712" s="301"/>
      <c r="M5712" s="301"/>
      <c r="N5712" s="291"/>
      <c r="O5712" s="291"/>
      <c r="P5712" s="291"/>
      <c r="S5712" s="364"/>
      <c r="Z5712" s="609" t="s">
        <v>2066</v>
      </c>
      <c r="AA5712" s="609"/>
    </row>
    <row r="5713" spans="1:27" ht="18">
      <c r="A5713" s="2714"/>
      <c r="B5713" s="371">
        <v>103</v>
      </c>
      <c r="C5713" s="371" t="s">
        <v>2791</v>
      </c>
      <c r="D5713" s="2716">
        <f t="shared" si="614"/>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104</v>
      </c>
      <c r="C5714" s="371" t="s">
        <v>2791</v>
      </c>
      <c r="D5714" s="2716">
        <f t="shared" si="614"/>
        <v>0</v>
      </c>
      <c r="E5714" s="2721">
        <v>1</v>
      </c>
      <c r="F5714" s="294"/>
      <c r="G5714" s="319" t="s">
        <v>2792</v>
      </c>
      <c r="H5714" s="309"/>
      <c r="I5714" s="360"/>
      <c r="J5714" s="360"/>
      <c r="K5714" s="388"/>
      <c r="L5714" s="301"/>
      <c r="M5714" s="301"/>
      <c r="N5714" s="291"/>
      <c r="O5714" s="291"/>
      <c r="P5714" s="291"/>
      <c r="S5714" s="364"/>
      <c r="Z5714" s="609" t="s">
        <v>2066</v>
      </c>
      <c r="AA5714" s="609"/>
    </row>
    <row r="5715" spans="1:27" ht="18">
      <c r="A5715" s="2714"/>
      <c r="B5715" s="371">
        <v>105</v>
      </c>
      <c r="C5715" s="371" t="s">
        <v>2791</v>
      </c>
      <c r="D5715" s="2716">
        <f t="shared" si="614"/>
        <v>0</v>
      </c>
      <c r="E5715" s="2721">
        <v>1</v>
      </c>
      <c r="F5715" s="294"/>
      <c r="G5715" s="319" t="s">
        <v>2792</v>
      </c>
      <c r="H5715" s="309"/>
      <c r="I5715" s="360"/>
      <c r="J5715" s="360"/>
      <c r="K5715" s="388"/>
      <c r="L5715" s="301"/>
      <c r="M5715" s="301"/>
      <c r="N5715" s="291"/>
      <c r="O5715" s="291"/>
      <c r="P5715" s="291"/>
      <c r="S5715" s="364"/>
      <c r="Z5715" s="609" t="s">
        <v>2066</v>
      </c>
      <c r="AA5715" s="609"/>
    </row>
    <row r="5716" spans="1:27" ht="18.75" thickBot="1">
      <c r="A5716" s="2714"/>
      <c r="B5716" s="371"/>
      <c r="C5716" s="371"/>
      <c r="D5716" s="2716">
        <f t="shared" si="614"/>
        <v>1</v>
      </c>
      <c r="E5716" s="2721" t="s">
        <v>3032</v>
      </c>
      <c r="F5716" s="294"/>
      <c r="G5716" s="374" t="s">
        <v>2752</v>
      </c>
      <c r="H5716" s="375">
        <f>SUMPRODUCT($E5710:$E5715,H5710:H5715)</f>
        <v>0</v>
      </c>
      <c r="I5716" s="567"/>
      <c r="J5716" s="567"/>
      <c r="K5716" s="550"/>
      <c r="L5716" s="301"/>
      <c r="M5716" s="301"/>
      <c r="N5716" s="291"/>
      <c r="O5716" s="291"/>
      <c r="P5716" s="291"/>
      <c r="S5716" s="364"/>
      <c r="Z5716" s="609" t="s">
        <v>2066</v>
      </c>
      <c r="AA5716" s="609"/>
    </row>
    <row r="5717" spans="1:27" ht="18">
      <c r="A5717" s="2714"/>
      <c r="B5717" s="371"/>
      <c r="C5717" s="371" t="s">
        <v>2755</v>
      </c>
      <c r="D5717" s="371"/>
      <c r="F5717" s="294"/>
      <c r="G5717" s="301"/>
      <c r="H5717" s="315"/>
      <c r="I5717" s="393"/>
      <c r="J5717" s="393"/>
      <c r="K5717" s="393"/>
      <c r="L5717" s="301"/>
      <c r="M5717" s="301"/>
      <c r="N5717" s="291"/>
      <c r="O5717" s="291"/>
      <c r="P5717" s="291"/>
      <c r="S5717" s="364"/>
      <c r="Z5717" s="609" t="s">
        <v>2066</v>
      </c>
      <c r="AA5717" s="609"/>
    </row>
    <row r="5718" spans="1:27" ht="24">
      <c r="A5718" s="2714" t="s">
        <v>2085</v>
      </c>
      <c r="B5718" s="371">
        <v>5.52</v>
      </c>
      <c r="C5718" s="371"/>
      <c r="D5718" s="2716" t="str">
        <f>VLOOKUP($A5718,Sheet_NoteList,2,0)</f>
        <v>关联方资金拆借情况——拆出</v>
      </c>
      <c r="E5718" s="2716" t="s">
        <v>2742</v>
      </c>
      <c r="F5718" s="294"/>
      <c r="G5718" s="483" t="str">
        <f>"("&amp;B5718&amp;")"&amp;D5718</f>
        <v>(5.52)关联方资金拆借情况——拆出</v>
      </c>
      <c r="H5718" s="1517" t="str">
        <f>$A5718</f>
        <v>9120j</v>
      </c>
      <c r="I5718" s="343" t="s">
        <v>2743</v>
      </c>
      <c r="J5718" s="301"/>
      <c r="K5718" s="3084"/>
      <c r="L5718" s="315"/>
      <c r="M5718" s="301"/>
      <c r="N5718" s="3084"/>
      <c r="O5718" s="315"/>
      <c r="P5718" s="301"/>
      <c r="S5718" s="364"/>
      <c r="Z5718" s="609" t="s">
        <v>2066</v>
      </c>
      <c r="AA5718" s="609"/>
    </row>
    <row r="5719" spans="1:27" ht="0.75" customHeight="1" thickBot="1">
      <c r="A5719" s="2714"/>
      <c r="B5719" s="371"/>
      <c r="C5719" s="371"/>
      <c r="D5719" s="371"/>
      <c r="E5719" s="586"/>
      <c r="F5719" s="586"/>
      <c r="G5719" s="586" t="s">
        <v>4475</v>
      </c>
      <c r="H5719" s="371" t="s">
        <v>4471</v>
      </c>
      <c r="I5719" s="371" t="s">
        <v>4460</v>
      </c>
      <c r="J5719" s="371" t="s">
        <v>4461</v>
      </c>
      <c r="K5719" s="371" t="s">
        <v>4472</v>
      </c>
      <c r="L5719" s="301"/>
      <c r="M5719" s="301"/>
      <c r="N5719" s="291"/>
      <c r="O5719" s="291"/>
      <c r="P5719" s="291"/>
      <c r="S5719" s="364"/>
      <c r="Z5719" s="609" t="s">
        <v>2066</v>
      </c>
      <c r="AA5719" s="609"/>
    </row>
    <row r="5720" spans="1:27" ht="18">
      <c r="A5720" s="2714"/>
      <c r="B5720" s="371"/>
      <c r="C5720" s="371"/>
      <c r="D5720" s="371"/>
      <c r="E5720" s="586" t="s">
        <v>2749</v>
      </c>
      <c r="F5720" s="363"/>
      <c r="G5720" s="2457" t="s">
        <v>1423</v>
      </c>
      <c r="H5720" s="2464" t="s">
        <v>4473</v>
      </c>
      <c r="I5720" s="2464" t="s">
        <v>4474</v>
      </c>
      <c r="J5720" s="2464" t="s">
        <v>3322</v>
      </c>
      <c r="K5720" s="2469" t="s">
        <v>2758</v>
      </c>
      <c r="L5720" s="355" t="s">
        <v>5350</v>
      </c>
      <c r="M5720" s="301"/>
      <c r="N5720" s="291"/>
      <c r="O5720" s="291"/>
      <c r="P5720" s="291"/>
      <c r="S5720" s="364"/>
      <c r="Z5720" s="609" t="s">
        <v>2066</v>
      </c>
      <c r="AA5720" s="609"/>
    </row>
    <row r="5721" spans="1:27" ht="18">
      <c r="A5721" s="2714"/>
      <c r="B5721" s="371">
        <v>101</v>
      </c>
      <c r="C5721" s="371" t="s">
        <v>2791</v>
      </c>
      <c r="D5721" s="2716">
        <f t="shared" ref="D5721:D5726" si="615">IF(OR(G5721="*",G5721="",G5721=0),0,COUNTIF($G$5721:$G$5726,G5721))</f>
        <v>0</v>
      </c>
      <c r="E5721" s="2721">
        <v>1</v>
      </c>
      <c r="F5721" s="294"/>
      <c r="G5721" s="2467" t="s">
        <v>2792</v>
      </c>
      <c r="H5721" s="2275"/>
      <c r="I5721" s="2298"/>
      <c r="J5721" s="2298"/>
      <c r="K5721" s="2276"/>
      <c r="L5721" s="301"/>
      <c r="M5721" s="301"/>
      <c r="N5721" s="291"/>
      <c r="O5721" s="291"/>
      <c r="P5721" s="291"/>
      <c r="S5721" s="364"/>
      <c r="Z5721" s="609" t="s">
        <v>2066</v>
      </c>
      <c r="AA5721" s="609"/>
    </row>
    <row r="5722" spans="1:27" ht="18">
      <c r="A5722" s="2714"/>
      <c r="B5722" s="371">
        <v>102</v>
      </c>
      <c r="C5722" s="371" t="s">
        <v>2791</v>
      </c>
      <c r="D5722" s="2716">
        <f t="shared" si="615"/>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8">
      <c r="A5723" s="2714"/>
      <c r="B5723" s="371">
        <v>103</v>
      </c>
      <c r="C5723" s="371" t="s">
        <v>2791</v>
      </c>
      <c r="D5723" s="2716">
        <f t="shared" si="615"/>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104</v>
      </c>
      <c r="C5724" s="371" t="s">
        <v>2791</v>
      </c>
      <c r="D5724" s="2716">
        <f t="shared" si="615"/>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
      <c r="A5725" s="2714"/>
      <c r="B5725" s="371">
        <v>105</v>
      </c>
      <c r="C5725" s="371" t="s">
        <v>2791</v>
      </c>
      <c r="D5725" s="2716">
        <f t="shared" si="615"/>
        <v>0</v>
      </c>
      <c r="E5725" s="2721">
        <v>1</v>
      </c>
      <c r="F5725" s="294"/>
      <c r="G5725" s="2467" t="s">
        <v>2792</v>
      </c>
      <c r="H5725" s="2275"/>
      <c r="I5725" s="2298"/>
      <c r="J5725" s="2298"/>
      <c r="K5725" s="2276"/>
      <c r="L5725" s="301"/>
      <c r="M5725" s="301"/>
      <c r="N5725" s="291"/>
      <c r="O5725" s="291"/>
      <c r="P5725" s="291"/>
      <c r="S5725" s="364"/>
      <c r="Z5725" s="609" t="s">
        <v>2066</v>
      </c>
      <c r="AA5725" s="609"/>
    </row>
    <row r="5726" spans="1:27" ht="18.75" thickBot="1">
      <c r="A5726" s="2714"/>
      <c r="B5726" s="371"/>
      <c r="C5726" s="371"/>
      <c r="D5726" s="2716">
        <f t="shared" si="615"/>
        <v>1</v>
      </c>
      <c r="E5726" s="2721" t="s">
        <v>3032</v>
      </c>
      <c r="F5726" s="294"/>
      <c r="G5726" s="374" t="s">
        <v>2752</v>
      </c>
      <c r="H5726" s="1478">
        <f>SUMPRODUCT($E5720:$E5725,H5720:H5725)</f>
        <v>0</v>
      </c>
      <c r="I5726" s="2261"/>
      <c r="J5726" s="2261"/>
      <c r="K5726" s="2260"/>
      <c r="L5726" s="301"/>
      <c r="M5726" s="301"/>
      <c r="N5726" s="291"/>
      <c r="O5726" s="291"/>
      <c r="P5726" s="291"/>
      <c r="S5726" s="364"/>
      <c r="Z5726" s="609" t="s">
        <v>2066</v>
      </c>
      <c r="AA5726" s="609"/>
    </row>
    <row r="5727" spans="1:27" ht="18">
      <c r="A5727" s="2714"/>
      <c r="B5727" s="371"/>
      <c r="C5727" s="371" t="s">
        <v>2755</v>
      </c>
      <c r="D5727" s="371"/>
      <c r="F5727" s="294"/>
      <c r="G5727" s="301"/>
      <c r="H5727" s="315"/>
      <c r="I5727" s="393"/>
      <c r="J5727" s="393"/>
      <c r="K5727" s="393"/>
      <c r="L5727" s="301"/>
      <c r="M5727" s="301"/>
      <c r="N5727" s="291"/>
      <c r="O5727" s="291"/>
      <c r="P5727" s="291"/>
      <c r="S5727" s="364"/>
      <c r="Z5727" s="609" t="s">
        <v>2066</v>
      </c>
      <c r="AA5727" s="609"/>
    </row>
    <row r="5728" spans="1:27" ht="24">
      <c r="A5728" s="2714" t="s">
        <v>2088</v>
      </c>
      <c r="B5728" s="371">
        <v>5.6</v>
      </c>
      <c r="C5728" s="371"/>
      <c r="D5728" s="2716" t="str">
        <f>VLOOKUP($A5728,Sheet_NoteList,2,0)</f>
        <v>关联方资产转让、债务重组情况</v>
      </c>
      <c r="E5728" s="2716" t="s">
        <v>2742</v>
      </c>
      <c r="F5728" s="294"/>
      <c r="G5728" s="483" t="str">
        <f>"("&amp;B5728&amp;")"&amp;D5728</f>
        <v>(5.6)关联方资产转让、债务重组情况</v>
      </c>
      <c r="H5728" s="1517" t="str">
        <f>$A5728</f>
        <v>9120k</v>
      </c>
      <c r="I5728" s="343" t="s">
        <v>2743</v>
      </c>
      <c r="J5728" s="301"/>
      <c r="K5728" s="3084"/>
      <c r="L5728" s="315"/>
      <c r="M5728" s="301"/>
      <c r="N5728" s="3084"/>
      <c r="O5728" s="315"/>
      <c r="P5728" s="301"/>
      <c r="S5728" s="364"/>
      <c r="Z5728" s="609" t="s">
        <v>2066</v>
      </c>
      <c r="AA5728" s="609"/>
    </row>
    <row r="5729" spans="1:27" ht="0.75" customHeight="1" thickBot="1">
      <c r="A5729" s="2714"/>
      <c r="B5729" s="371"/>
      <c r="C5729" s="371"/>
      <c r="D5729" s="371"/>
      <c r="F5729" s="371"/>
      <c r="G5729" s="371" t="s">
        <v>4476</v>
      </c>
      <c r="H5729" s="371" t="s">
        <v>4477</v>
      </c>
      <c r="I5729" s="371" t="s">
        <v>4478</v>
      </c>
      <c r="J5729" s="371" t="s">
        <v>4479</v>
      </c>
      <c r="K5729" s="301"/>
      <c r="L5729" s="301"/>
      <c r="M5729" s="301"/>
      <c r="N5729" s="291"/>
      <c r="O5729" s="291"/>
      <c r="P5729" s="291"/>
      <c r="S5729" s="364"/>
      <c r="Z5729" s="609" t="s">
        <v>2066</v>
      </c>
      <c r="AA5729" s="609"/>
    </row>
    <row r="5730" spans="1:27" ht="18">
      <c r="A5730" s="2714"/>
      <c r="B5730" s="371"/>
      <c r="C5730" s="371"/>
      <c r="D5730" s="371"/>
      <c r="E5730" s="2716" t="s">
        <v>2749</v>
      </c>
      <c r="F5730" s="294"/>
      <c r="G5730" s="410" t="s">
        <v>1423</v>
      </c>
      <c r="H5730" s="506" t="s">
        <v>4437</v>
      </c>
      <c r="I5730" s="501" t="str">
        <f>$W$4&amp;"发生额"</f>
        <v>2019年度发生额</v>
      </c>
      <c r="J5730" s="593" t="str">
        <f>$W$5&amp;"发生额"</f>
        <v>2018年度发生额</v>
      </c>
      <c r="K5730" s="355" t="s">
        <v>5350</v>
      </c>
      <c r="L5730" s="301"/>
      <c r="M5730" s="301"/>
      <c r="N5730" s="291"/>
      <c r="O5730" s="291"/>
      <c r="P5730" s="291"/>
      <c r="S5730" s="364"/>
      <c r="Z5730" s="609" t="s">
        <v>2066</v>
      </c>
      <c r="AA5730" s="609"/>
    </row>
    <row r="5731" spans="1:27" ht="18">
      <c r="A5731" s="2714"/>
      <c r="B5731" s="371">
        <v>101</v>
      </c>
      <c r="C5731" s="371" t="s">
        <v>2791</v>
      </c>
      <c r="D5731" s="2716">
        <f t="shared" ref="D5731:D5736" si="616">IF(OR(G5731="*",G5731="",G5731=0),0,COUNTIF($G$5731:$G$5736,G5731))</f>
        <v>0</v>
      </c>
      <c r="E5731" s="2721">
        <v>1</v>
      </c>
      <c r="F5731" s="294"/>
      <c r="G5731" s="319" t="s">
        <v>2792</v>
      </c>
      <c r="H5731" s="360"/>
      <c r="I5731" s="309"/>
      <c r="J5731" s="346"/>
      <c r="K5731" s="301"/>
      <c r="L5731" s="301"/>
      <c r="M5731" s="301"/>
      <c r="N5731" s="291"/>
      <c r="O5731" s="291"/>
      <c r="P5731" s="291"/>
      <c r="S5731" s="364"/>
      <c r="Z5731" s="609" t="s">
        <v>2066</v>
      </c>
      <c r="AA5731" s="609"/>
    </row>
    <row r="5732" spans="1:27" ht="18">
      <c r="A5732" s="2714"/>
      <c r="B5732" s="371">
        <v>102</v>
      </c>
      <c r="C5732" s="371" t="s">
        <v>2791</v>
      </c>
      <c r="D5732" s="2716">
        <f t="shared" si="616"/>
        <v>0</v>
      </c>
      <c r="E5732" s="2721">
        <v>1</v>
      </c>
      <c r="F5732" s="294"/>
      <c r="G5732" s="319" t="s">
        <v>2792</v>
      </c>
      <c r="H5732" s="360"/>
      <c r="I5732" s="309"/>
      <c r="J5732" s="346"/>
      <c r="K5732" s="301"/>
      <c r="L5732" s="301"/>
      <c r="M5732" s="301"/>
      <c r="N5732" s="291"/>
      <c r="O5732" s="291"/>
      <c r="P5732" s="291"/>
      <c r="S5732" s="364"/>
      <c r="Z5732" s="609" t="s">
        <v>2066</v>
      </c>
      <c r="AA5732" s="609"/>
    </row>
    <row r="5733" spans="1:27" ht="18">
      <c r="A5733" s="2714"/>
      <c r="B5733" s="371">
        <v>103</v>
      </c>
      <c r="C5733" s="371" t="s">
        <v>2791</v>
      </c>
      <c r="D5733" s="2716">
        <f t="shared" si="616"/>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104</v>
      </c>
      <c r="C5734" s="371" t="s">
        <v>2791</v>
      </c>
      <c r="D5734" s="2716">
        <f t="shared" si="616"/>
        <v>0</v>
      </c>
      <c r="E5734" s="2721">
        <v>1</v>
      </c>
      <c r="F5734" s="294"/>
      <c r="G5734" s="319" t="s">
        <v>2792</v>
      </c>
      <c r="H5734" s="360"/>
      <c r="I5734" s="309"/>
      <c r="J5734" s="346"/>
      <c r="K5734" s="301"/>
      <c r="L5734" s="301"/>
      <c r="M5734" s="301"/>
      <c r="N5734" s="291"/>
      <c r="O5734" s="291"/>
      <c r="P5734" s="291"/>
      <c r="S5734" s="364"/>
      <c r="Z5734" s="609" t="s">
        <v>2066</v>
      </c>
      <c r="AA5734" s="609"/>
    </row>
    <row r="5735" spans="1:27" ht="18">
      <c r="A5735" s="2714"/>
      <c r="B5735" s="371">
        <v>105</v>
      </c>
      <c r="C5735" s="371" t="s">
        <v>2791</v>
      </c>
      <c r="D5735" s="2716">
        <f t="shared" si="616"/>
        <v>0</v>
      </c>
      <c r="E5735" s="2721">
        <v>1</v>
      </c>
      <c r="F5735" s="294"/>
      <c r="G5735" s="319" t="s">
        <v>2792</v>
      </c>
      <c r="H5735" s="360"/>
      <c r="I5735" s="309"/>
      <c r="J5735" s="346"/>
      <c r="K5735" s="301"/>
      <c r="L5735" s="301"/>
      <c r="M5735" s="301"/>
      <c r="N5735" s="291"/>
      <c r="O5735" s="291"/>
      <c r="P5735" s="291"/>
      <c r="S5735" s="364"/>
      <c r="Z5735" s="609" t="s">
        <v>2066</v>
      </c>
      <c r="AA5735" s="609"/>
    </row>
    <row r="5736" spans="1:27" ht="18.75" thickBot="1">
      <c r="A5736" s="2714"/>
      <c r="B5736" s="371"/>
      <c r="C5736" s="371"/>
      <c r="D5736" s="2716">
        <f t="shared" si="616"/>
        <v>1</v>
      </c>
      <c r="E5736" s="2721" t="s">
        <v>3032</v>
      </c>
      <c r="F5736" s="294"/>
      <c r="G5736" s="374" t="s">
        <v>2752</v>
      </c>
      <c r="H5736" s="581"/>
      <c r="I5736" s="375">
        <f>SUMPRODUCT($E5730:$E5735,I5730:I5735)</f>
        <v>0</v>
      </c>
      <c r="J5736" s="395">
        <f>SUMPRODUCT($E5730:$E5735,J5730:J5735)</f>
        <v>0</v>
      </c>
      <c r="K5736" s="301"/>
      <c r="L5736" s="301"/>
      <c r="M5736" s="301"/>
      <c r="N5736" s="291"/>
      <c r="O5736" s="291"/>
      <c r="P5736" s="291"/>
      <c r="S5736" s="364"/>
      <c r="Z5736" s="609" t="s">
        <v>2066</v>
      </c>
      <c r="AA5736" s="609"/>
    </row>
    <row r="5737" spans="1:27" ht="18">
      <c r="A5737" s="2714"/>
      <c r="B5737" s="371"/>
      <c r="C5737" s="371" t="s">
        <v>2755</v>
      </c>
      <c r="D5737" s="371"/>
      <c r="F5737" s="294"/>
      <c r="G5737" s="301"/>
      <c r="H5737" s="393"/>
      <c r="I5737" s="315"/>
      <c r="J5737" s="315"/>
      <c r="K5737" s="301"/>
      <c r="L5737" s="301"/>
      <c r="M5737" s="301"/>
      <c r="N5737" s="291"/>
      <c r="O5737" s="291"/>
      <c r="P5737" s="291"/>
      <c r="S5737" s="364"/>
      <c r="Z5737" s="609" t="s">
        <v>2066</v>
      </c>
      <c r="AA5737" s="609"/>
    </row>
    <row r="5738" spans="1:27" ht="24">
      <c r="A5738" s="2714" t="s">
        <v>2091</v>
      </c>
      <c r="B5738" s="371">
        <v>5.7</v>
      </c>
      <c r="C5738" s="371"/>
      <c r="D5738" s="2716" t="str">
        <f>VLOOKUP($A5738,Sheet_NoteList,2,0)</f>
        <v>关键管理人员报酬情况</v>
      </c>
      <c r="E5738" s="2716" t="s">
        <v>2742</v>
      </c>
      <c r="F5738" s="294"/>
      <c r="G5738" s="483" t="str">
        <f>"("&amp;B5738&amp;")"&amp;D5738</f>
        <v>(5.7)关键管理人员报酬情况</v>
      </c>
      <c r="H5738" s="1517" t="str">
        <f>$A5738</f>
        <v>9120l</v>
      </c>
      <c r="I5738" s="343" t="s">
        <v>2743</v>
      </c>
      <c r="J5738" s="301"/>
      <c r="K5738" s="3084"/>
      <c r="L5738" s="315"/>
      <c r="M5738" s="301"/>
      <c r="N5738" s="3084"/>
      <c r="O5738" s="315"/>
      <c r="P5738" s="301"/>
      <c r="S5738" s="364"/>
      <c r="Z5738" s="609" t="s">
        <v>2066</v>
      </c>
      <c r="AA5738" s="609"/>
    </row>
    <row r="5739" spans="1:27" ht="0.75" customHeight="1" thickBot="1">
      <c r="A5739" s="2714"/>
      <c r="B5739" s="371"/>
      <c r="C5739" s="371"/>
      <c r="D5739" s="371"/>
      <c r="F5739" s="371"/>
      <c r="G5739" s="371" t="s">
        <v>4480</v>
      </c>
      <c r="H5739" s="371" t="s">
        <v>4223</v>
      </c>
      <c r="I5739" s="371" t="s">
        <v>4224</v>
      </c>
      <c r="K5739" s="301"/>
      <c r="L5739" s="301"/>
      <c r="M5739" s="301"/>
      <c r="N5739" s="291"/>
      <c r="O5739" s="291"/>
      <c r="P5739" s="291"/>
      <c r="S5739" s="364"/>
      <c r="Z5739" s="609" t="s">
        <v>2066</v>
      </c>
      <c r="AA5739" s="609"/>
    </row>
    <row r="5740" spans="1:27" ht="18">
      <c r="A5740" s="2714"/>
      <c r="B5740" s="371"/>
      <c r="C5740" s="371"/>
      <c r="D5740" s="371"/>
      <c r="E5740" s="2716" t="s">
        <v>2749</v>
      </c>
      <c r="F5740" s="294"/>
      <c r="G5740" s="410" t="s">
        <v>1423</v>
      </c>
      <c r="H5740" s="412" t="str">
        <f>$W$4&amp;"发生额"</f>
        <v>2019年度发生额</v>
      </c>
      <c r="I5740" s="507" t="str">
        <f>$W$5&amp;"发生额"</f>
        <v>2018年度发生额</v>
      </c>
      <c r="J5740" s="355" t="s">
        <v>5350</v>
      </c>
      <c r="K5740" s="301"/>
      <c r="L5740" s="301"/>
      <c r="M5740" s="301"/>
      <c r="N5740" s="291"/>
      <c r="O5740" s="291"/>
      <c r="P5740" s="291"/>
      <c r="S5740" s="364"/>
      <c r="Z5740" s="609" t="s">
        <v>2066</v>
      </c>
      <c r="AA5740" s="609"/>
    </row>
    <row r="5741" spans="1:27" ht="18">
      <c r="A5741" s="2714"/>
      <c r="B5741" s="371">
        <v>101</v>
      </c>
      <c r="C5741" s="371"/>
      <c r="D5741" s="2716">
        <f>IF(OR(G5741="*",G5741="",G5741=0),0,COUNTIF($G$5741:$G$5743,G5741))</f>
        <v>1</v>
      </c>
      <c r="E5741" s="2721">
        <v>1</v>
      </c>
      <c r="F5741" s="294"/>
      <c r="G5741" s="308" t="s">
        <v>4481</v>
      </c>
      <c r="H5741" s="309"/>
      <c r="I5741" s="346"/>
      <c r="K5741" s="301"/>
      <c r="L5741" s="301"/>
      <c r="M5741" s="301"/>
      <c r="N5741" s="291"/>
      <c r="O5741" s="291"/>
      <c r="P5741" s="291"/>
      <c r="S5741" s="364"/>
      <c r="Z5741" s="609" t="s">
        <v>2066</v>
      </c>
      <c r="AA5741" s="609"/>
    </row>
    <row r="5742" spans="1:27" ht="18">
      <c r="A5742" s="2714"/>
      <c r="B5742" s="371">
        <v>102</v>
      </c>
      <c r="C5742" s="371" t="s">
        <v>2791</v>
      </c>
      <c r="D5742" s="2716">
        <f>IF(OR(G5742="*",G5742="",G5742=0),0,COUNTIF($G$5741:$G$5743,G5742))</f>
        <v>0</v>
      </c>
      <c r="E5742" s="2721">
        <v>1</v>
      </c>
      <c r="F5742" s="294"/>
      <c r="G5742" s="319" t="s">
        <v>2792</v>
      </c>
      <c r="H5742" s="309"/>
      <c r="I5742" s="346"/>
      <c r="K5742" s="301"/>
      <c r="L5742" s="301"/>
      <c r="M5742" s="301"/>
      <c r="N5742" s="291"/>
      <c r="O5742" s="291"/>
      <c r="P5742" s="291"/>
      <c r="S5742" s="364"/>
      <c r="Z5742" s="609" t="s">
        <v>2066</v>
      </c>
      <c r="AA5742" s="609"/>
    </row>
    <row r="5743" spans="1:27" ht="18.75" thickBot="1">
      <c r="A5743" s="2714"/>
      <c r="B5743" s="371"/>
      <c r="C5743" s="371"/>
      <c r="D5743" s="2716">
        <f>IF(OR(G5743="*",G5743="",G5743=0),0,COUNTIF($G$5741:$G$5743,G5743))</f>
        <v>1</v>
      </c>
      <c r="E5743" s="2721" t="s">
        <v>3032</v>
      </c>
      <c r="F5743" s="294"/>
      <c r="G5743" s="374" t="s">
        <v>2752</v>
      </c>
      <c r="H5743" s="375">
        <f>SUMPRODUCT($E5740:$E5742,H5740:H5742)</f>
        <v>0</v>
      </c>
      <c r="I5743" s="395">
        <f>SUMPRODUCT($E5740:$E5742,I5740:I5742)</f>
        <v>0</v>
      </c>
      <c r="K5743" s="301"/>
      <c r="L5743" s="301"/>
      <c r="M5743" s="301"/>
      <c r="N5743" s="291"/>
      <c r="O5743" s="291"/>
      <c r="P5743" s="291"/>
      <c r="S5743" s="364"/>
      <c r="Z5743" s="609" t="s">
        <v>2066</v>
      </c>
      <c r="AA5743" s="609"/>
    </row>
    <row r="5744" spans="1:27" ht="18.75" thickBot="1">
      <c r="A5744" s="2714"/>
      <c r="B5744" s="371">
        <v>901</v>
      </c>
      <c r="C5744" s="371"/>
      <c r="D5744" s="2716"/>
      <c r="E5744" s="2716" t="s">
        <v>2753</v>
      </c>
      <c r="F5744" s="294"/>
      <c r="G5744" s="1602" t="s">
        <v>5524</v>
      </c>
      <c r="H5744" s="1600"/>
      <c r="I5744" s="1601"/>
      <c r="J5744" s="315"/>
      <c r="K5744" s="301"/>
      <c r="L5744" s="301"/>
      <c r="M5744" s="301"/>
      <c r="N5744" s="291"/>
      <c r="O5744" s="291"/>
      <c r="P5744" s="291"/>
      <c r="S5744" s="364"/>
      <c r="Z5744" s="609" t="s">
        <v>2066</v>
      </c>
      <c r="AA5744" s="609"/>
    </row>
    <row r="5745" spans="1:27" ht="18">
      <c r="A5745" s="2714"/>
      <c r="B5745" s="371"/>
      <c r="C5745" s="371" t="s">
        <v>2755</v>
      </c>
      <c r="D5745" s="371"/>
      <c r="F5745" s="294"/>
      <c r="G5745" s="301"/>
      <c r="H5745" s="393"/>
      <c r="I5745" s="315"/>
      <c r="J5745" s="315"/>
      <c r="K5745" s="301"/>
      <c r="L5745" s="301"/>
      <c r="M5745" s="301"/>
      <c r="N5745" s="291"/>
      <c r="O5745" s="291"/>
      <c r="P5745" s="291"/>
      <c r="S5745" s="364"/>
      <c r="Z5745" s="609" t="s">
        <v>2066</v>
      </c>
      <c r="AA5745" s="609"/>
    </row>
    <row r="5746" spans="1:27" ht="24">
      <c r="A5746" s="2714" t="s">
        <v>2094</v>
      </c>
      <c r="B5746" s="371">
        <v>6.1</v>
      </c>
      <c r="C5746" s="371"/>
      <c r="D5746" s="2716" t="str">
        <f>VLOOKUP($A5746,Sheet_NoteList,2,0)</f>
        <v>关联方应收应付款项——应收项目</v>
      </c>
      <c r="E5746" s="2716" t="s">
        <v>2742</v>
      </c>
      <c r="F5746" s="293"/>
      <c r="G5746" s="372" t="str">
        <f>"("&amp;B5746&amp;")"&amp;D5746</f>
        <v>(6.1)关联方应收应付款项——应收项目</v>
      </c>
      <c r="H5746" s="1517" t="str">
        <f>$A5746</f>
        <v>9120o</v>
      </c>
      <c r="I5746" s="343" t="s">
        <v>2743</v>
      </c>
      <c r="J5746" s="301" t="s">
        <v>2744</v>
      </c>
      <c r="K5746" s="2210">
        <f>H5759</f>
        <v>0</v>
      </c>
      <c r="L5746" s="349"/>
      <c r="M5746" s="301" t="s">
        <v>2745</v>
      </c>
      <c r="N5746" s="2210">
        <f>I5759</f>
        <v>0</v>
      </c>
      <c r="O5746" s="349"/>
      <c r="P5746" s="301"/>
      <c r="S5746" s="364"/>
      <c r="Z5746" s="609" t="s">
        <v>2066</v>
      </c>
      <c r="AA5746" s="609" t="s">
        <v>19</v>
      </c>
    </row>
    <row r="5747" spans="1:27" ht="0.75" customHeight="1">
      <c r="A5747" s="2714"/>
      <c r="B5747" s="371"/>
      <c r="C5747" s="371"/>
      <c r="D5747" s="2716"/>
      <c r="E5747" s="586"/>
      <c r="F5747" s="586"/>
      <c r="G5747" s="2224" t="s">
        <v>4482</v>
      </c>
      <c r="H5747" s="371" t="s">
        <v>2747</v>
      </c>
      <c r="I5747" s="371" t="s">
        <v>2748</v>
      </c>
      <c r="J5747" s="371" t="s">
        <v>2948</v>
      </c>
      <c r="K5747" s="547" t="s">
        <v>3034</v>
      </c>
      <c r="L5747" s="547" t="s">
        <v>3035</v>
      </c>
      <c r="M5747" s="433"/>
      <c r="N5747" s="428"/>
      <c r="O5747" s="428"/>
      <c r="P5747" s="433"/>
      <c r="Q5747" s="442"/>
      <c r="R5747" s="443"/>
      <c r="S5747" s="364"/>
      <c r="Z5747" s="609" t="s">
        <v>2066</v>
      </c>
      <c r="AA5747" s="609" t="s">
        <v>19</v>
      </c>
    </row>
    <row r="5748" spans="1:27" ht="0.75" customHeight="1" thickBot="1">
      <c r="A5748" s="2714"/>
      <c r="B5748" s="371"/>
      <c r="C5748" s="371"/>
      <c r="D5748" s="2716"/>
      <c r="E5748" s="586"/>
      <c r="F5748" s="586"/>
      <c r="G5748" s="2224"/>
      <c r="H5748" s="371" t="s">
        <v>4483</v>
      </c>
      <c r="I5748" s="371" t="s">
        <v>2855</v>
      </c>
      <c r="J5748" s="371" t="s">
        <v>2856</v>
      </c>
      <c r="K5748" s="547" t="s">
        <v>2858</v>
      </c>
      <c r="L5748" s="547" t="s">
        <v>2859</v>
      </c>
      <c r="M5748" s="433"/>
      <c r="N5748" s="428"/>
      <c r="O5748" s="428"/>
      <c r="P5748" s="433"/>
      <c r="Q5748" s="442"/>
      <c r="R5748" s="443"/>
      <c r="S5748" s="364"/>
      <c r="Z5748" s="609" t="s">
        <v>2066</v>
      </c>
      <c r="AA5748" s="609" t="s">
        <v>19</v>
      </c>
    </row>
    <row r="5749" spans="1:27" ht="18" customHeight="1">
      <c r="A5749" s="2714"/>
      <c r="B5749" s="371"/>
      <c r="C5749" s="371"/>
      <c r="D5749" s="2716"/>
      <c r="E5749" s="586" t="s">
        <v>2749</v>
      </c>
      <c r="F5749" s="414"/>
      <c r="G5749" s="3286" t="s">
        <v>1476</v>
      </c>
      <c r="H5749" s="3254" t="s">
        <v>1423</v>
      </c>
      <c r="I5749" s="3346" t="str">
        <f>$V$2</f>
        <v>2019年12月31日</v>
      </c>
      <c r="J5749" s="3347"/>
      <c r="K5749" s="3342" t="str">
        <f>$V$3</f>
        <v>2018年12月31日</v>
      </c>
      <c r="L5749" s="3343"/>
      <c r="M5749" s="355" t="s">
        <v>5351</v>
      </c>
      <c r="N5749" s="428"/>
      <c r="O5749" s="428"/>
      <c r="P5749" s="433"/>
      <c r="Q5749" s="442"/>
      <c r="R5749" s="443"/>
      <c r="S5749" s="364"/>
      <c r="Z5749" s="609" t="s">
        <v>2066</v>
      </c>
      <c r="AA5749" s="609" t="s">
        <v>19</v>
      </c>
    </row>
    <row r="5750" spans="1:27" ht="18">
      <c r="A5750" s="2714"/>
      <c r="B5750" s="371"/>
      <c r="C5750" s="371"/>
      <c r="D5750" s="2716"/>
      <c r="E5750" s="586" t="s">
        <v>2749</v>
      </c>
      <c r="F5750" s="414"/>
      <c r="G5750" s="3287"/>
      <c r="H5750" s="3307"/>
      <c r="I5750" s="2465" t="s">
        <v>2861</v>
      </c>
      <c r="J5750" s="2465" t="s">
        <v>2862</v>
      </c>
      <c r="K5750" s="419" t="s">
        <v>2861</v>
      </c>
      <c r="L5750" s="2468" t="s">
        <v>2862</v>
      </c>
      <c r="M5750" s="435"/>
      <c r="N5750" s="434"/>
      <c r="O5750" s="434"/>
      <c r="P5750" s="435"/>
      <c r="Q5750" s="442"/>
      <c r="R5750" s="443"/>
      <c r="S5750" s="364"/>
      <c r="Z5750" s="609" t="s">
        <v>2066</v>
      </c>
      <c r="AA5750" s="609" t="s">
        <v>19</v>
      </c>
    </row>
    <row r="5751" spans="1:27" ht="18">
      <c r="A5751" s="2714"/>
      <c r="B5751" s="371">
        <v>101</v>
      </c>
      <c r="C5751" s="371" t="s">
        <v>2791</v>
      </c>
      <c r="D5751" s="2716">
        <f t="shared" ref="D5751:D5759" si="617">IF(OR(G5751="*",G5751="",G5751=0),0,COUNTIF($G$5751:$G$5759,G5751))</f>
        <v>1</v>
      </c>
      <c r="E5751" s="2721">
        <v>1</v>
      </c>
      <c r="F5751" s="293"/>
      <c r="G5751" s="2568" t="s">
        <v>124</v>
      </c>
      <c r="H5751" s="2275"/>
      <c r="I5751" s="2275"/>
      <c r="J5751" s="2275"/>
      <c r="K5751" s="2275"/>
      <c r="L5751" s="2296"/>
      <c r="M5751" s="438"/>
      <c r="N5751" s="439"/>
      <c r="O5751" s="437"/>
      <c r="P5751" s="438"/>
      <c r="Q5751" s="442"/>
      <c r="R5751" s="443"/>
      <c r="S5751" s="364"/>
      <c r="Z5751" s="609" t="s">
        <v>2066</v>
      </c>
      <c r="AA5751" s="609" t="s">
        <v>19</v>
      </c>
    </row>
    <row r="5752" spans="1:27" ht="18">
      <c r="A5752" s="2714"/>
      <c r="B5752" s="371">
        <v>102</v>
      </c>
      <c r="C5752" s="371" t="s">
        <v>2791</v>
      </c>
      <c r="D5752" s="2716">
        <f t="shared" si="617"/>
        <v>1</v>
      </c>
      <c r="E5752" s="2721">
        <v>1</v>
      </c>
      <c r="F5752" s="293"/>
      <c r="G5752" s="2568" t="s">
        <v>109</v>
      </c>
      <c r="H5752" s="2275"/>
      <c r="I5752" s="2275"/>
      <c r="J5752" s="2275"/>
      <c r="K5752" s="2275"/>
      <c r="L5752" s="2296"/>
      <c r="M5752" s="438"/>
      <c r="N5752" s="439"/>
      <c r="O5752" s="437"/>
      <c r="P5752" s="438"/>
      <c r="Q5752" s="442"/>
      <c r="R5752" s="443"/>
      <c r="S5752" s="364"/>
      <c r="Z5752" s="609" t="s">
        <v>2066</v>
      </c>
      <c r="AA5752" s="609" t="s">
        <v>19</v>
      </c>
    </row>
    <row r="5753" spans="1:27" ht="18">
      <c r="A5753" s="2714"/>
      <c r="B5753" s="371">
        <v>103</v>
      </c>
      <c r="C5753" s="371" t="s">
        <v>2791</v>
      </c>
      <c r="D5753" s="2716">
        <f t="shared" si="617"/>
        <v>1</v>
      </c>
      <c r="E5753" s="2721">
        <v>1</v>
      </c>
      <c r="F5753" s="293"/>
      <c r="G5753" s="2568" t="s">
        <v>162</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104</v>
      </c>
      <c r="C5754" s="371" t="s">
        <v>2791</v>
      </c>
      <c r="D5754" s="2716">
        <f t="shared" si="617"/>
        <v>1</v>
      </c>
      <c r="E5754" s="2721">
        <v>1</v>
      </c>
      <c r="F5754" s="293"/>
      <c r="G5754" s="2568" t="s">
        <v>201</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105</v>
      </c>
      <c r="C5755" s="371" t="s">
        <v>2791</v>
      </c>
      <c r="D5755" s="2716">
        <f t="shared" si="617"/>
        <v>0</v>
      </c>
      <c r="E5755" s="2721">
        <v>1</v>
      </c>
      <c r="F5755" s="293"/>
      <c r="G5755" s="2467" t="s">
        <v>2792</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106</v>
      </c>
      <c r="C5756" s="371" t="s">
        <v>2791</v>
      </c>
      <c r="D5756" s="2716">
        <f t="shared" si="617"/>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107</v>
      </c>
      <c r="C5757" s="371" t="s">
        <v>2791</v>
      </c>
      <c r="D5757" s="2716">
        <f t="shared" si="617"/>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
      <c r="A5758" s="2714"/>
      <c r="B5758" s="371">
        <v>108</v>
      </c>
      <c r="C5758" s="371" t="s">
        <v>2791</v>
      </c>
      <c r="D5758" s="2716">
        <f t="shared" si="617"/>
        <v>0</v>
      </c>
      <c r="E5758" s="2721">
        <v>1</v>
      </c>
      <c r="F5758" s="293"/>
      <c r="G5758" s="2467" t="s">
        <v>2792</v>
      </c>
      <c r="H5758" s="2275"/>
      <c r="I5758" s="2275"/>
      <c r="J5758" s="2275"/>
      <c r="K5758" s="2275"/>
      <c r="L5758" s="2296"/>
      <c r="M5758" s="438"/>
      <c r="N5758" s="439"/>
      <c r="O5758" s="437"/>
      <c r="P5758" s="438"/>
      <c r="Q5758" s="442"/>
      <c r="R5758" s="443"/>
      <c r="S5758" s="364"/>
      <c r="Z5758" s="609" t="s">
        <v>2066</v>
      </c>
      <c r="AA5758" s="609" t="s">
        <v>19</v>
      </c>
    </row>
    <row r="5759" spans="1:27" ht="18.75" thickBot="1">
      <c r="A5759" s="2714"/>
      <c r="B5759" s="371"/>
      <c r="C5759" s="371"/>
      <c r="D5759" s="2716">
        <f t="shared" si="617"/>
        <v>1</v>
      </c>
      <c r="E5759" s="2721" t="s">
        <v>2751</v>
      </c>
      <c r="F5759" s="293"/>
      <c r="G5759" s="374" t="s">
        <v>2752</v>
      </c>
      <c r="H5759" s="1478">
        <f>SUMPRODUCT($E5750:$E5758,H5750:H5758)</f>
        <v>0</v>
      </c>
      <c r="I5759" s="1478">
        <f>SUMPRODUCT($E5750:$E5758,I5750:I5758)</f>
        <v>0</v>
      </c>
      <c r="J5759" s="1478">
        <f>SUMPRODUCT($E5750:$E5758,J5750:J5758)</f>
        <v>0</v>
      </c>
      <c r="K5759" s="2377"/>
      <c r="L5759" s="2481"/>
      <c r="M5759" s="440"/>
      <c r="N5759" s="439"/>
      <c r="O5759" s="437"/>
      <c r="P5759" s="440"/>
      <c r="Q5759" s="442"/>
      <c r="R5759" s="443"/>
      <c r="S5759" s="364"/>
      <c r="Z5759" s="609" t="s">
        <v>2066</v>
      </c>
      <c r="AA5759" s="609" t="s">
        <v>19</v>
      </c>
    </row>
    <row r="5760" spans="1:27" ht="18">
      <c r="A5760" s="2714"/>
      <c r="B5760" s="371"/>
      <c r="C5760" s="371" t="s">
        <v>2755</v>
      </c>
      <c r="D5760" s="2716"/>
      <c r="F5760" s="293"/>
      <c r="G5760" s="376"/>
      <c r="H5760" s="315"/>
      <c r="I5760" s="396"/>
      <c r="J5760" s="315"/>
      <c r="K5760" s="423"/>
      <c r="L5760" s="315"/>
      <c r="M5760" s="425"/>
      <c r="N5760" s="426"/>
      <c r="O5760" s="427"/>
      <c r="P5760" s="425"/>
      <c r="Q5760" s="442"/>
      <c r="R5760" s="443"/>
      <c r="S5760" s="364"/>
      <c r="Z5760" s="609" t="s">
        <v>2066</v>
      </c>
      <c r="AA5760" s="609" t="s">
        <v>19</v>
      </c>
    </row>
    <row r="5761" spans="1:27" ht="24">
      <c r="A5761" s="2714" t="s">
        <v>2096</v>
      </c>
      <c r="B5761" s="371">
        <v>6.2</v>
      </c>
      <c r="C5761" s="371"/>
      <c r="D5761" s="2716" t="str">
        <f>VLOOKUP($A5761,Sheet_NoteList,2,0)</f>
        <v>关联方应收应付款项——应付项目</v>
      </c>
      <c r="E5761" s="2716" t="s">
        <v>2742</v>
      </c>
      <c r="F5761" s="293"/>
      <c r="G5761" s="372" t="str">
        <f>"("&amp;B5761&amp;")"&amp;D5761</f>
        <v>(6.2)关联方应收应付款项——应付项目</v>
      </c>
      <c r="H5761" s="1517" t="str">
        <f>$A5761</f>
        <v>9120p</v>
      </c>
      <c r="I5761" s="343" t="s">
        <v>2743</v>
      </c>
      <c r="J5761" s="301" t="s">
        <v>2744</v>
      </c>
      <c r="K5761" s="2210">
        <f>I5772</f>
        <v>0</v>
      </c>
      <c r="L5761" s="349"/>
      <c r="M5761" s="301" t="s">
        <v>2745</v>
      </c>
      <c r="N5761" s="2210">
        <f>J5772</f>
        <v>0</v>
      </c>
      <c r="O5761" s="349"/>
      <c r="P5761" s="301"/>
      <c r="S5761" s="364"/>
      <c r="Z5761" s="609" t="s">
        <v>2066</v>
      </c>
      <c r="AA5761" s="609" t="s">
        <v>19</v>
      </c>
    </row>
    <row r="5762" spans="1:27" ht="0.75" customHeight="1" thickBot="1">
      <c r="A5762" s="2714"/>
      <c r="B5762" s="371"/>
      <c r="C5762" s="371"/>
      <c r="D5762" s="2716"/>
      <c r="E5762" s="586"/>
      <c r="F5762" s="586"/>
      <c r="G5762" s="2224" t="s">
        <v>4484</v>
      </c>
      <c r="H5762" s="371" t="s">
        <v>3067</v>
      </c>
      <c r="I5762" s="371" t="s">
        <v>2748</v>
      </c>
      <c r="J5762" s="371" t="s">
        <v>2948</v>
      </c>
      <c r="K5762" s="428"/>
      <c r="L5762" s="428"/>
      <c r="M5762" s="433"/>
      <c r="N5762" s="428"/>
      <c r="O5762" s="428"/>
      <c r="P5762" s="433"/>
      <c r="Q5762" s="442"/>
      <c r="R5762" s="443"/>
      <c r="S5762" s="364"/>
      <c r="Z5762" s="609" t="s">
        <v>2066</v>
      </c>
      <c r="AA5762" s="609" t="s">
        <v>19</v>
      </c>
    </row>
    <row r="5763" spans="1:27" ht="18">
      <c r="A5763" s="2714"/>
      <c r="B5763" s="371"/>
      <c r="C5763" s="371"/>
      <c r="D5763" s="2716"/>
      <c r="E5763" s="586" t="s">
        <v>2749</v>
      </c>
      <c r="F5763" s="414"/>
      <c r="G5763" s="2457" t="s">
        <v>1476</v>
      </c>
      <c r="H5763" s="2464" t="s">
        <v>1423</v>
      </c>
      <c r="I5763" s="2503" t="str">
        <f>$V$2</f>
        <v>2019年12月31日</v>
      </c>
      <c r="J5763" s="2504" t="str">
        <f>$V$3</f>
        <v>2018年12月31日</v>
      </c>
      <c r="K5763" s="355" t="s">
        <v>5351</v>
      </c>
      <c r="L5763" s="434"/>
      <c r="M5763" s="435"/>
      <c r="N5763" s="434"/>
      <c r="O5763" s="434"/>
      <c r="P5763" s="435"/>
      <c r="Q5763" s="442"/>
      <c r="R5763" s="443"/>
      <c r="S5763" s="364"/>
      <c r="Z5763" s="609" t="s">
        <v>2066</v>
      </c>
      <c r="AA5763" s="609" t="s">
        <v>19</v>
      </c>
    </row>
    <row r="5764" spans="1:27" ht="18">
      <c r="A5764" s="2714"/>
      <c r="B5764" s="371">
        <v>101</v>
      </c>
      <c r="C5764" s="371" t="s">
        <v>2791</v>
      </c>
      <c r="D5764" s="2716">
        <f t="shared" ref="D5764:D5772" si="618">IF(OR(G5764="*",G5764="",G5764=0),0,COUNTIF($G$5764:$G$5772,G5764))</f>
        <v>1</v>
      </c>
      <c r="E5764" s="2721">
        <v>1</v>
      </c>
      <c r="F5764" s="293"/>
      <c r="G5764" s="2568" t="s">
        <v>476</v>
      </c>
      <c r="H5764" s="2298"/>
      <c r="I5764" s="2275"/>
      <c r="J5764" s="2296"/>
      <c r="K5764" s="439"/>
      <c r="L5764" s="437"/>
      <c r="M5764" s="438"/>
      <c r="N5764" s="439"/>
      <c r="O5764" s="437"/>
      <c r="P5764" s="438"/>
      <c r="Q5764" s="442"/>
      <c r="R5764" s="443"/>
      <c r="S5764" s="364"/>
      <c r="Z5764" s="609" t="s">
        <v>2066</v>
      </c>
      <c r="AA5764" s="609" t="s">
        <v>19</v>
      </c>
    </row>
    <row r="5765" spans="1:27" ht="18">
      <c r="A5765" s="2714"/>
      <c r="B5765" s="371">
        <v>102</v>
      </c>
      <c r="C5765" s="371" t="s">
        <v>2791</v>
      </c>
      <c r="D5765" s="2716">
        <f t="shared" si="618"/>
        <v>1</v>
      </c>
      <c r="E5765" s="2721">
        <v>1</v>
      </c>
      <c r="F5765" s="293"/>
      <c r="G5765" s="2568" t="s">
        <v>471</v>
      </c>
      <c r="H5765" s="2298"/>
      <c r="I5765" s="2275"/>
      <c r="J5765" s="2296"/>
      <c r="K5765" s="439"/>
      <c r="L5765" s="437"/>
      <c r="M5765" s="438"/>
      <c r="N5765" s="439"/>
      <c r="O5765" s="437"/>
      <c r="P5765" s="438"/>
      <c r="Q5765" s="442"/>
      <c r="R5765" s="443"/>
      <c r="S5765" s="364"/>
      <c r="Z5765" s="609" t="s">
        <v>2066</v>
      </c>
      <c r="AA5765" s="609" t="s">
        <v>19</v>
      </c>
    </row>
    <row r="5766" spans="1:27" ht="18">
      <c r="A5766" s="2714"/>
      <c r="B5766" s="371">
        <v>103</v>
      </c>
      <c r="C5766" s="371" t="s">
        <v>2791</v>
      </c>
      <c r="D5766" s="2716">
        <f t="shared" si="618"/>
        <v>1</v>
      </c>
      <c r="E5766" s="2721">
        <v>1</v>
      </c>
      <c r="F5766" s="293"/>
      <c r="G5766" s="2568" t="s">
        <v>484</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104</v>
      </c>
      <c r="C5767" s="371" t="s">
        <v>2791</v>
      </c>
      <c r="D5767" s="2716">
        <f t="shared" si="618"/>
        <v>1</v>
      </c>
      <c r="E5767" s="2721">
        <v>1</v>
      </c>
      <c r="F5767" s="293"/>
      <c r="G5767" s="2568" t="s">
        <v>513</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105</v>
      </c>
      <c r="C5768" s="371" t="s">
        <v>2791</v>
      </c>
      <c r="D5768" s="2716">
        <f t="shared" si="618"/>
        <v>0</v>
      </c>
      <c r="E5768" s="2721">
        <v>1</v>
      </c>
      <c r="F5768" s="293"/>
      <c r="G5768" s="2467" t="s">
        <v>2792</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106</v>
      </c>
      <c r="C5769" s="371" t="s">
        <v>2791</v>
      </c>
      <c r="D5769" s="2716">
        <f t="shared" si="618"/>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107</v>
      </c>
      <c r="C5770" s="371" t="s">
        <v>2791</v>
      </c>
      <c r="D5770" s="2716">
        <f t="shared" si="618"/>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
      <c r="A5771" s="2714"/>
      <c r="B5771" s="371">
        <v>108</v>
      </c>
      <c r="C5771" s="371" t="s">
        <v>2791</v>
      </c>
      <c r="D5771" s="2716">
        <f t="shared" si="618"/>
        <v>0</v>
      </c>
      <c r="E5771" s="2721">
        <v>1</v>
      </c>
      <c r="F5771" s="293"/>
      <c r="G5771" s="2467" t="s">
        <v>2792</v>
      </c>
      <c r="H5771" s="2298"/>
      <c r="I5771" s="2275"/>
      <c r="J5771" s="2296"/>
      <c r="K5771" s="439"/>
      <c r="L5771" s="437"/>
      <c r="M5771" s="438"/>
      <c r="N5771" s="439"/>
      <c r="O5771" s="437"/>
      <c r="P5771" s="438"/>
      <c r="Q5771" s="442"/>
      <c r="R5771" s="443"/>
      <c r="S5771" s="364"/>
      <c r="Z5771" s="609" t="s">
        <v>2066</v>
      </c>
      <c r="AA5771" s="609" t="s">
        <v>19</v>
      </c>
    </row>
    <row r="5772" spans="1:27" ht="18.75" thickBot="1">
      <c r="A5772" s="2714"/>
      <c r="B5772" s="371"/>
      <c r="C5772" s="371"/>
      <c r="D5772" s="2716">
        <f t="shared" si="618"/>
        <v>1</v>
      </c>
      <c r="E5772" s="2721" t="s">
        <v>2751</v>
      </c>
      <c r="F5772" s="293"/>
      <c r="G5772" s="374" t="s">
        <v>2752</v>
      </c>
      <c r="H5772" s="2378">
        <f>SUMPRODUCT($E5763:$E5771,H5763:H5771)</f>
        <v>0</v>
      </c>
      <c r="I5772" s="1478">
        <f>SUMPRODUCT($E5763:$E5771,I5763:I5771)</f>
        <v>0</v>
      </c>
      <c r="J5772" s="1479">
        <f>SUMPRODUCT($E5763:$E5771,J5763:J5771)</f>
        <v>0</v>
      </c>
      <c r="K5772" s="439"/>
      <c r="L5772" s="437"/>
      <c r="M5772" s="440"/>
      <c r="N5772" s="439"/>
      <c r="O5772" s="437"/>
      <c r="P5772" s="440"/>
      <c r="Q5772" s="442"/>
      <c r="R5772" s="443"/>
      <c r="S5772" s="364"/>
      <c r="Z5772" s="609" t="s">
        <v>2066</v>
      </c>
      <c r="AA5772" s="609" t="s">
        <v>19</v>
      </c>
    </row>
    <row r="5773" spans="1:27" ht="18">
      <c r="A5773" s="2714"/>
      <c r="B5773" s="371"/>
      <c r="C5773" s="371" t="s">
        <v>2755</v>
      </c>
      <c r="D5773" s="2716"/>
      <c r="F5773" s="293"/>
      <c r="G5773" s="376"/>
      <c r="H5773" s="393"/>
      <c r="I5773" s="396"/>
      <c r="J5773" s="315"/>
      <c r="K5773" s="426"/>
      <c r="L5773" s="427"/>
      <c r="M5773" s="425"/>
      <c r="N5773" s="426"/>
      <c r="O5773" s="427"/>
      <c r="P5773" s="425"/>
      <c r="Q5773" s="442"/>
      <c r="R5773" s="443"/>
      <c r="S5773" s="364"/>
      <c r="Z5773" s="609" t="s">
        <v>2066</v>
      </c>
      <c r="AA5773" s="609" t="s">
        <v>19</v>
      </c>
    </row>
    <row r="5774" spans="1:27" ht="17.25">
      <c r="A5774" s="2715">
        <v>9367</v>
      </c>
      <c r="B5774" s="371" t="s">
        <v>6571</v>
      </c>
      <c r="C5774" s="2716" t="str">
        <f>VLOOKUP($A5774,Sheet_Items,2,0)</f>
        <v>终止经营</v>
      </c>
      <c r="D5774" s="371"/>
      <c r="E5774" s="2716" t="s">
        <v>2739</v>
      </c>
      <c r="F5774" s="371"/>
      <c r="G5774" s="305" t="str">
        <f>B5774&amp;" "&amp;C5774</f>
        <v>十四 5. 终止经营</v>
      </c>
      <c r="H5774" s="306"/>
      <c r="I5774" s="306"/>
      <c r="J5774" s="306"/>
      <c r="K5774" s="341"/>
      <c r="L5774" s="342"/>
      <c r="M5774" s="306"/>
      <c r="N5774" s="341"/>
      <c r="O5774" s="342"/>
      <c r="P5774" s="301"/>
      <c r="S5774" s="364"/>
      <c r="Z5774" s="609" t="s">
        <v>2155</v>
      </c>
      <c r="AA5774" s="609" t="s">
        <v>19</v>
      </c>
    </row>
    <row r="5775" spans="1:27" ht="24">
      <c r="A5775" s="2714" t="s">
        <v>2153</v>
      </c>
      <c r="B5775" s="371">
        <v>1</v>
      </c>
      <c r="C5775" s="371"/>
      <c r="D5775" s="2716" t="str">
        <f>VLOOKUP($A5775,Sheet_NoteList,2,0)</f>
        <v>其他重要事项（终止经营）</v>
      </c>
      <c r="E5775" s="2716" t="s">
        <v>2742</v>
      </c>
      <c r="F5775" s="371"/>
      <c r="G5775" s="372" t="str">
        <f>"("&amp;B5775&amp;")"&amp;D5775</f>
        <v>(1)其他重要事项（终止经营）</v>
      </c>
      <c r="H5775" s="1517" t="str">
        <f>$A5775</f>
        <v>9367a</v>
      </c>
      <c r="I5775" s="343" t="s">
        <v>2743</v>
      </c>
      <c r="J5775" s="301" t="s">
        <v>2744</v>
      </c>
      <c r="K5775" s="391"/>
      <c r="L5775" s="349"/>
      <c r="M5775" s="301" t="s">
        <v>2745</v>
      </c>
      <c r="N5775" s="391"/>
      <c r="O5775" s="349"/>
      <c r="P5775" s="301"/>
      <c r="S5775" s="364"/>
      <c r="Z5775" s="609" t="s">
        <v>2155</v>
      </c>
      <c r="AA5775" s="609" t="s">
        <v>19</v>
      </c>
    </row>
    <row r="5776" spans="1:27" ht="0.75" customHeight="1" thickBot="1">
      <c r="A5776" s="2714"/>
      <c r="B5776" s="371"/>
      <c r="C5776" s="371"/>
      <c r="D5776" s="2716"/>
      <c r="F5776" s="371"/>
      <c r="G5776" s="405" t="s">
        <v>4661</v>
      </c>
      <c r="H5776" s="371" t="s">
        <v>4223</v>
      </c>
      <c r="I5776" s="371" t="s">
        <v>4224</v>
      </c>
      <c r="J5776" s="301"/>
      <c r="K5776" s="391"/>
      <c r="L5776" s="349"/>
      <c r="M5776" s="301"/>
      <c r="N5776" s="391"/>
      <c r="O5776" s="349"/>
      <c r="P5776" s="301"/>
      <c r="S5776" s="364"/>
      <c r="Z5776" s="609" t="s">
        <v>2155</v>
      </c>
      <c r="AA5776" s="609" t="s">
        <v>19</v>
      </c>
    </row>
    <row r="5777" spans="1:27" ht="18">
      <c r="A5777" s="2714"/>
      <c r="B5777" s="371"/>
      <c r="C5777" s="371"/>
      <c r="D5777" s="2716"/>
      <c r="E5777" s="2716" t="s">
        <v>2749</v>
      </c>
      <c r="F5777" s="371"/>
      <c r="G5777" s="2563" t="s">
        <v>47</v>
      </c>
      <c r="H5777" s="2558" t="str">
        <f>$V$4</f>
        <v>2019年度</v>
      </c>
      <c r="I5777" s="2562" t="str">
        <f>$V$5</f>
        <v>2018年度</v>
      </c>
      <c r="J5777" s="355" t="s">
        <v>5352</v>
      </c>
      <c r="K5777" s="391"/>
      <c r="L5777" s="349"/>
      <c r="M5777" s="301"/>
      <c r="N5777" s="391"/>
      <c r="O5777" s="349"/>
      <c r="P5777" s="301"/>
      <c r="S5777" s="364"/>
      <c r="Z5777" s="609" t="s">
        <v>2155</v>
      </c>
      <c r="AA5777" s="609" t="s">
        <v>19</v>
      </c>
    </row>
    <row r="5778" spans="1:27" ht="18">
      <c r="A5778" s="2714"/>
      <c r="B5778" s="371">
        <v>103</v>
      </c>
      <c r="C5778" s="371"/>
      <c r="D5778" s="2716">
        <f t="shared" ref="D5778:D5794" si="619">IF(OR(G5778="*",G5778="",G5778=0),0,COUNTIF($G$5778:$G$5794,G5778))</f>
        <v>1</v>
      </c>
      <c r="E5778" s="2721">
        <v>1</v>
      </c>
      <c r="F5778" s="371"/>
      <c r="G5778" s="308" t="s">
        <v>4662</v>
      </c>
      <c r="H5778" s="309"/>
      <c r="I5778" s="346"/>
      <c r="J5778" s="301"/>
      <c r="K5778" s="391"/>
      <c r="L5778" s="349"/>
      <c r="M5778" s="301"/>
      <c r="N5778" s="391"/>
      <c r="O5778" s="349"/>
      <c r="P5778" s="301"/>
      <c r="S5778" s="364"/>
      <c r="Z5778" s="609" t="s">
        <v>2155</v>
      </c>
      <c r="AA5778" s="609" t="s">
        <v>19</v>
      </c>
    </row>
    <row r="5779" spans="1:27" ht="18">
      <c r="A5779" s="2714"/>
      <c r="B5779" s="371">
        <v>104</v>
      </c>
      <c r="C5779" s="371"/>
      <c r="D5779" s="2716">
        <f t="shared" si="619"/>
        <v>1</v>
      </c>
      <c r="E5779" s="2721">
        <v>1</v>
      </c>
      <c r="F5779" s="371"/>
      <c r="G5779" s="308" t="s">
        <v>4663</v>
      </c>
      <c r="H5779" s="309"/>
      <c r="I5779" s="346"/>
      <c r="J5779" s="301"/>
      <c r="K5779" s="391"/>
      <c r="L5779" s="349"/>
      <c r="M5779" s="301"/>
      <c r="N5779" s="391"/>
      <c r="O5779" s="349"/>
      <c r="P5779" s="301"/>
      <c r="S5779" s="364"/>
      <c r="Z5779" s="609" t="s">
        <v>2155</v>
      </c>
      <c r="AA5779" s="609" t="s">
        <v>19</v>
      </c>
    </row>
    <row r="5780" spans="1:27" ht="18">
      <c r="A5780" s="2714"/>
      <c r="B5780" s="371">
        <v>105</v>
      </c>
      <c r="C5780" s="371"/>
      <c r="D5780" s="2716">
        <f t="shared" si="619"/>
        <v>1</v>
      </c>
      <c r="E5780" s="2721">
        <v>1</v>
      </c>
      <c r="F5780" s="371"/>
      <c r="G5780" s="308" t="s">
        <v>4664</v>
      </c>
      <c r="H5780" s="309"/>
      <c r="I5780" s="346"/>
      <c r="J5780" s="301"/>
      <c r="K5780" s="391"/>
      <c r="L5780" s="349"/>
      <c r="M5780" s="301"/>
      <c r="N5780" s="391"/>
      <c r="O5780" s="349"/>
      <c r="P5780" s="301"/>
      <c r="S5780" s="364"/>
      <c r="Z5780" s="609" t="s">
        <v>2155</v>
      </c>
      <c r="AA5780" s="609" t="s">
        <v>19</v>
      </c>
    </row>
    <row r="5781" spans="1:27" ht="18">
      <c r="A5781" s="2714"/>
      <c r="B5781" s="371">
        <v>106</v>
      </c>
      <c r="C5781" s="371"/>
      <c r="D5781" s="2716">
        <f t="shared" si="619"/>
        <v>1</v>
      </c>
      <c r="E5781" s="2721">
        <v>1</v>
      </c>
      <c r="F5781" s="371"/>
      <c r="G5781" s="308" t="s">
        <v>4665</v>
      </c>
      <c r="H5781" s="309"/>
      <c r="I5781" s="346"/>
      <c r="J5781" s="301"/>
      <c r="K5781" s="391"/>
      <c r="L5781" s="349"/>
      <c r="M5781" s="301"/>
      <c r="N5781" s="391"/>
      <c r="O5781" s="349"/>
      <c r="P5781" s="301"/>
      <c r="S5781" s="364"/>
      <c r="Z5781" s="609" t="s">
        <v>2155</v>
      </c>
      <c r="AA5781" s="609" t="s">
        <v>19</v>
      </c>
    </row>
    <row r="5782" spans="1:27" ht="18">
      <c r="A5782" s="2714"/>
      <c r="B5782" s="371">
        <v>107</v>
      </c>
      <c r="C5782" s="371"/>
      <c r="D5782" s="2716">
        <f t="shared" si="619"/>
        <v>1</v>
      </c>
      <c r="E5782" s="2721">
        <v>1</v>
      </c>
      <c r="F5782" s="371"/>
      <c r="G5782" s="308" t="s">
        <v>4666</v>
      </c>
      <c r="H5782" s="309">
        <f>H5780-H5781</f>
        <v>0</v>
      </c>
      <c r="I5782" s="346">
        <f>I5780-I5781</f>
        <v>0</v>
      </c>
      <c r="J5782" s="301"/>
      <c r="K5782" s="391"/>
      <c r="L5782" s="349"/>
      <c r="M5782" s="301"/>
      <c r="N5782" s="391"/>
      <c r="O5782" s="349"/>
      <c r="P5782" s="301"/>
      <c r="S5782" s="364"/>
      <c r="Z5782" s="609" t="s">
        <v>2155</v>
      </c>
      <c r="AA5782" s="609" t="s">
        <v>19</v>
      </c>
    </row>
    <row r="5783" spans="1:27" ht="18">
      <c r="A5783" s="2714"/>
      <c r="B5783" s="371">
        <v>108</v>
      </c>
      <c r="C5783" s="371"/>
      <c r="D5783" s="2716">
        <f t="shared" si="619"/>
        <v>1</v>
      </c>
      <c r="E5783" s="2721">
        <v>1</v>
      </c>
      <c r="F5783" s="371"/>
      <c r="G5783" s="308" t="s">
        <v>5250</v>
      </c>
      <c r="H5783" s="309"/>
      <c r="I5783" s="346"/>
      <c r="J5783" s="301"/>
      <c r="K5783" s="391"/>
      <c r="L5783" s="349"/>
      <c r="M5783" s="301"/>
      <c r="N5783" s="391"/>
      <c r="O5783" s="349"/>
      <c r="P5783" s="301"/>
      <c r="S5783" s="364"/>
      <c r="Z5783" s="609" t="s">
        <v>2155</v>
      </c>
      <c r="AA5783" s="609" t="s">
        <v>19</v>
      </c>
    </row>
    <row r="5784" spans="1:27" ht="18">
      <c r="A5784" s="2714"/>
      <c r="B5784" s="371">
        <v>109</v>
      </c>
      <c r="C5784" s="371"/>
      <c r="D5784" s="2716">
        <f t="shared" si="619"/>
        <v>1</v>
      </c>
      <c r="E5784" s="2721">
        <v>1</v>
      </c>
      <c r="F5784" s="371"/>
      <c r="G5784" s="308" t="s">
        <v>4667</v>
      </c>
      <c r="H5784" s="309"/>
      <c r="I5784" s="346"/>
      <c r="J5784" s="301"/>
      <c r="K5784" s="391"/>
      <c r="L5784" s="349"/>
      <c r="M5784" s="301"/>
      <c r="N5784" s="391"/>
      <c r="O5784" s="349"/>
      <c r="P5784" s="301"/>
      <c r="S5784" s="364"/>
      <c r="Z5784" s="609" t="s">
        <v>2155</v>
      </c>
      <c r="AA5784" s="609" t="s">
        <v>19</v>
      </c>
    </row>
    <row r="5785" spans="1:27" ht="18">
      <c r="A5785" s="2714"/>
      <c r="B5785" s="371">
        <v>110</v>
      </c>
      <c r="C5785" s="371"/>
      <c r="D5785" s="2716">
        <f t="shared" si="619"/>
        <v>1</v>
      </c>
      <c r="E5785" s="2721">
        <v>1</v>
      </c>
      <c r="F5785" s="371"/>
      <c r="G5785" s="308" t="s">
        <v>4668</v>
      </c>
      <c r="H5785" s="309"/>
      <c r="I5785" s="346"/>
      <c r="J5785" s="301"/>
      <c r="K5785" s="391"/>
      <c r="L5785" s="349"/>
      <c r="M5785" s="301"/>
      <c r="N5785" s="391"/>
      <c r="O5785" s="349"/>
      <c r="P5785" s="301"/>
      <c r="S5785" s="364"/>
      <c r="Z5785" s="609" t="s">
        <v>2155</v>
      </c>
      <c r="AA5785" s="609" t="s">
        <v>19</v>
      </c>
    </row>
    <row r="5786" spans="1:27" ht="18">
      <c r="A5786" s="2714"/>
      <c r="B5786" s="371">
        <v>111</v>
      </c>
      <c r="C5786" s="371"/>
      <c r="D5786" s="2716">
        <f t="shared" si="619"/>
        <v>1</v>
      </c>
      <c r="E5786" s="2721">
        <v>1</v>
      </c>
      <c r="F5786" s="371"/>
      <c r="G5786" s="308" t="s">
        <v>4669</v>
      </c>
      <c r="H5786" s="309">
        <f>H5784-H5785</f>
        <v>0</v>
      </c>
      <c r="I5786" s="346">
        <f>I5784-I5785</f>
        <v>0</v>
      </c>
      <c r="J5786" s="301"/>
      <c r="K5786" s="391"/>
      <c r="L5786" s="349"/>
      <c r="M5786" s="301"/>
      <c r="N5786" s="391"/>
      <c r="O5786" s="349"/>
      <c r="P5786" s="301"/>
      <c r="S5786" s="364"/>
      <c r="Z5786" s="609" t="s">
        <v>2155</v>
      </c>
      <c r="AA5786" s="609" t="s">
        <v>19</v>
      </c>
    </row>
    <row r="5787" spans="1:27" ht="18">
      <c r="A5787" s="2714"/>
      <c r="B5787" s="371">
        <v>112</v>
      </c>
      <c r="C5787" s="371"/>
      <c r="D5787" s="2716">
        <f t="shared" si="619"/>
        <v>1</v>
      </c>
      <c r="E5787" s="2721">
        <v>1</v>
      </c>
      <c r="F5787" s="371"/>
      <c r="G5787" s="308" t="s">
        <v>4670</v>
      </c>
      <c r="H5787" s="309">
        <f>H5782+H5783+H5786</f>
        <v>0</v>
      </c>
      <c r="I5787" s="346">
        <f>I5782+I5783+I5786</f>
        <v>0</v>
      </c>
      <c r="J5787" s="301"/>
      <c r="K5787" s="391"/>
      <c r="L5787" s="349"/>
      <c r="M5787" s="301"/>
      <c r="N5787" s="391"/>
      <c r="O5787" s="349"/>
      <c r="P5787" s="301"/>
      <c r="S5787" s="364"/>
      <c r="Z5787" s="609" t="s">
        <v>2155</v>
      </c>
      <c r="AA5787" s="609" t="s">
        <v>19</v>
      </c>
    </row>
    <row r="5788" spans="1:27" ht="24">
      <c r="A5788" s="2714"/>
      <c r="B5788" s="371">
        <v>113</v>
      </c>
      <c r="C5788" s="371"/>
      <c r="D5788" s="2716">
        <f t="shared" si="619"/>
        <v>1</v>
      </c>
      <c r="E5788" s="2721">
        <v>1</v>
      </c>
      <c r="F5788" s="371"/>
      <c r="G5788" s="308" t="s">
        <v>4671</v>
      </c>
      <c r="H5788" s="309"/>
      <c r="I5788" s="346"/>
      <c r="J5788" s="301"/>
      <c r="K5788" s="391"/>
      <c r="L5788" s="349"/>
      <c r="M5788" s="301"/>
      <c r="N5788" s="391"/>
      <c r="O5788" s="349"/>
      <c r="P5788" s="301"/>
      <c r="S5788" s="364"/>
      <c r="Z5788" s="609" t="s">
        <v>2155</v>
      </c>
      <c r="AA5788" s="609" t="s">
        <v>19</v>
      </c>
    </row>
    <row r="5789" spans="1:27" ht="24">
      <c r="A5789" s="2714"/>
      <c r="B5789" s="371">
        <v>114</v>
      </c>
      <c r="C5789" s="371"/>
      <c r="D5789" s="2716">
        <f t="shared" si="619"/>
        <v>1</v>
      </c>
      <c r="E5789" s="2721">
        <v>1</v>
      </c>
      <c r="F5789" s="371"/>
      <c r="G5789" s="308" t="s">
        <v>4672</v>
      </c>
      <c r="H5789" s="309"/>
      <c r="I5789" s="346"/>
      <c r="J5789" s="301"/>
      <c r="K5789" s="391"/>
      <c r="L5789" s="349"/>
      <c r="M5789" s="301"/>
      <c r="N5789" s="391"/>
      <c r="O5789" s="349"/>
      <c r="P5789" s="301"/>
      <c r="S5789" s="364"/>
      <c r="Z5789" s="609" t="s">
        <v>2155</v>
      </c>
      <c r="AA5789" s="609" t="s">
        <v>19</v>
      </c>
    </row>
    <row r="5790" spans="1:27" ht="18">
      <c r="A5790" s="2714"/>
      <c r="B5790" s="371">
        <v>115</v>
      </c>
      <c r="C5790" s="371"/>
      <c r="D5790" s="2716">
        <f t="shared" si="619"/>
        <v>1</v>
      </c>
      <c r="E5790" s="2721">
        <v>1</v>
      </c>
      <c r="F5790" s="371"/>
      <c r="G5790" s="308" t="s">
        <v>4673</v>
      </c>
      <c r="H5790" s="309"/>
      <c r="I5790" s="346"/>
      <c r="J5790" s="301"/>
      <c r="K5790" s="391"/>
      <c r="L5790" s="349"/>
      <c r="M5790" s="301"/>
      <c r="N5790" s="391"/>
      <c r="O5790" s="349"/>
      <c r="P5790" s="301"/>
      <c r="S5790" s="364"/>
      <c r="Z5790" s="609" t="s">
        <v>2155</v>
      </c>
      <c r="AA5790" s="609" t="s">
        <v>19</v>
      </c>
    </row>
    <row r="5791" spans="1:27" ht="18">
      <c r="A5791" s="2714"/>
      <c r="B5791" s="371">
        <v>116</v>
      </c>
      <c r="C5791" s="371"/>
      <c r="D5791" s="2716">
        <f t="shared" si="619"/>
        <v>1</v>
      </c>
      <c r="E5791" s="2721">
        <v>1</v>
      </c>
      <c r="F5791" s="371"/>
      <c r="G5791" s="308" t="s">
        <v>4674</v>
      </c>
      <c r="H5791" s="309"/>
      <c r="I5791" s="346"/>
      <c r="J5791" s="301"/>
      <c r="K5791" s="391"/>
      <c r="L5791" s="349"/>
      <c r="M5791" s="301"/>
      <c r="N5791" s="391"/>
      <c r="O5791" s="349"/>
      <c r="P5791" s="301"/>
      <c r="S5791" s="364"/>
      <c r="Z5791" s="609" t="s">
        <v>2155</v>
      </c>
      <c r="AA5791" s="609" t="s">
        <v>19</v>
      </c>
    </row>
    <row r="5792" spans="1:27" ht="18">
      <c r="A5792" s="2714"/>
      <c r="B5792" s="371">
        <v>117</v>
      </c>
      <c r="C5792" s="371"/>
      <c r="D5792" s="2716">
        <f t="shared" si="619"/>
        <v>1</v>
      </c>
      <c r="E5792" s="2721">
        <v>1</v>
      </c>
      <c r="F5792" s="371"/>
      <c r="G5792" s="308" t="s">
        <v>4675</v>
      </c>
      <c r="H5792" s="309"/>
      <c r="I5792" s="346"/>
      <c r="J5792" s="301"/>
      <c r="K5792" s="391"/>
      <c r="L5792" s="349"/>
      <c r="M5792" s="301"/>
      <c r="N5792" s="391"/>
      <c r="O5792" s="349"/>
      <c r="P5792" s="301"/>
      <c r="S5792" s="364"/>
      <c r="Z5792" s="609" t="s">
        <v>2155</v>
      </c>
      <c r="AA5792" s="609" t="s">
        <v>19</v>
      </c>
    </row>
    <row r="5793" spans="1:31" ht="18">
      <c r="A5793" s="2714"/>
      <c r="B5793" s="371">
        <v>118</v>
      </c>
      <c r="C5793" s="371" t="s">
        <v>2791</v>
      </c>
      <c r="D5793" s="2716">
        <f t="shared" si="619"/>
        <v>0</v>
      </c>
      <c r="E5793" s="2721">
        <v>1</v>
      </c>
      <c r="F5793" s="371"/>
      <c r="G5793" s="319" t="s">
        <v>2792</v>
      </c>
      <c r="H5793" s="309"/>
      <c r="I5793" s="346"/>
      <c r="J5793" s="301"/>
      <c r="K5793" s="391"/>
      <c r="L5793" s="349"/>
      <c r="M5793" s="301"/>
      <c r="N5793" s="391"/>
      <c r="O5793" s="349"/>
      <c r="P5793" s="301"/>
      <c r="S5793" s="364"/>
      <c r="Z5793" s="609" t="s">
        <v>2155</v>
      </c>
      <c r="AA5793" s="609" t="s">
        <v>19</v>
      </c>
    </row>
    <row r="5794" spans="1:31" ht="18.75" thickBot="1">
      <c r="A5794" s="2714"/>
      <c r="B5794" s="371"/>
      <c r="C5794" s="371"/>
      <c r="D5794" s="2716">
        <f t="shared" si="619"/>
        <v>0</v>
      </c>
      <c r="E5794" s="2721" t="s">
        <v>3595</v>
      </c>
      <c r="F5794" s="371"/>
      <c r="G5794" s="2617"/>
      <c r="H5794" s="2485"/>
      <c r="I5794" s="2502"/>
      <c r="J5794" s="301"/>
      <c r="K5794" s="391"/>
      <c r="L5794" s="349"/>
      <c r="M5794" s="301"/>
      <c r="N5794" s="391"/>
      <c r="O5794" s="349"/>
      <c r="P5794" s="301"/>
      <c r="S5794" s="364"/>
      <c r="Z5794" s="609" t="s">
        <v>2155</v>
      </c>
      <c r="AA5794" s="609" t="s">
        <v>19</v>
      </c>
    </row>
    <row r="5795" spans="1:31" ht="18">
      <c r="A5795" s="2714"/>
      <c r="B5795" s="371"/>
      <c r="C5795" s="371" t="s">
        <v>2755</v>
      </c>
      <c r="D5795" s="2716"/>
      <c r="F5795" s="371"/>
      <c r="G5795" s="376"/>
      <c r="H5795" s="315"/>
      <c r="I5795" s="396"/>
      <c r="J5795" s="301"/>
      <c r="K5795" s="391"/>
      <c r="L5795" s="349"/>
      <c r="M5795" s="301"/>
      <c r="N5795" s="391"/>
      <c r="O5795" s="349"/>
      <c r="P5795" s="301"/>
      <c r="S5795" s="364"/>
      <c r="Z5795" s="609" t="s">
        <v>2155</v>
      </c>
      <c r="AA5795" s="609" t="s">
        <v>19</v>
      </c>
    </row>
    <row r="5796" spans="1:31" ht="24" hidden="1">
      <c r="A5796" s="2714" t="s">
        <v>6103</v>
      </c>
      <c r="B5796" s="371">
        <v>1</v>
      </c>
      <c r="C5796" s="371"/>
      <c r="D5796" s="2716" t="str">
        <f>VLOOKUP($A5796,Sheet_NoteList,2,0)</f>
        <v>其他重要事项——终止经营</v>
      </c>
      <c r="E5796" s="2716" t="s">
        <v>6613</v>
      </c>
      <c r="F5796" s="293"/>
      <c r="G5796" s="372" t="str">
        <f>"("&amp;B5796&amp;")"&amp;D5796</f>
        <v>(1)其他重要事项——终止经营</v>
      </c>
      <c r="H5796" s="1517" t="str">
        <f>$A5796</f>
        <v>9367b</v>
      </c>
      <c r="I5796" s="343" t="s">
        <v>6616</v>
      </c>
      <c r="J5796" s="301" t="s">
        <v>6614</v>
      </c>
      <c r="K5796" s="2210">
        <f>H5802</f>
        <v>0</v>
      </c>
      <c r="L5796" s="349"/>
      <c r="M5796" s="301" t="s">
        <v>6618</v>
      </c>
      <c r="N5796" s="2210">
        <f>I5802</f>
        <v>0</v>
      </c>
      <c r="O5796" s="349"/>
      <c r="P5796" s="301"/>
      <c r="S5796" s="364"/>
      <c r="Z5796" s="609" t="s">
        <v>2155</v>
      </c>
      <c r="AA5796" s="609" t="s">
        <v>19</v>
      </c>
      <c r="AE5796" s="369" t="s">
        <v>2761</v>
      </c>
    </row>
    <row r="5797" spans="1:31" ht="0.75" hidden="1" customHeight="1" thickBot="1">
      <c r="A5797" s="2714"/>
      <c r="B5797" s="371"/>
      <c r="C5797" s="371"/>
      <c r="D5797" s="2716"/>
      <c r="E5797" s="586"/>
      <c r="F5797" s="586"/>
      <c r="G5797" s="2224" t="s">
        <v>6104</v>
      </c>
      <c r="H5797" s="1617" t="s">
        <v>6283</v>
      </c>
      <c r="I5797" s="371" t="s">
        <v>6284</v>
      </c>
      <c r="J5797" s="371" t="s">
        <v>6285</v>
      </c>
      <c r="K5797" s="371" t="s">
        <v>6106</v>
      </c>
      <c r="L5797" s="371" t="s">
        <v>6107</v>
      </c>
      <c r="M5797" s="371" t="s">
        <v>6108</v>
      </c>
      <c r="N5797" s="391"/>
      <c r="O5797" s="349"/>
      <c r="P5797" s="301"/>
      <c r="S5797" s="364"/>
      <c r="Z5797" s="609" t="s">
        <v>2155</v>
      </c>
      <c r="AA5797" s="609" t="s">
        <v>19</v>
      </c>
      <c r="AE5797" s="369" t="s">
        <v>2761</v>
      </c>
    </row>
    <row r="5798" spans="1:31" ht="36" hidden="1">
      <c r="A5798" s="2714"/>
      <c r="B5798" s="371"/>
      <c r="C5798" s="371"/>
      <c r="D5798" s="2716"/>
      <c r="E5798" s="586" t="s">
        <v>2749</v>
      </c>
      <c r="F5798" s="414"/>
      <c r="G5798" s="2466" t="s">
        <v>47</v>
      </c>
      <c r="H5798" s="2455" t="s">
        <v>4218</v>
      </c>
      <c r="I5798" s="2455" t="s">
        <v>6105</v>
      </c>
      <c r="J5798" s="2455" t="s">
        <v>861</v>
      </c>
      <c r="K5798" s="2455" t="s">
        <v>717</v>
      </c>
      <c r="L5798" s="2455" t="s">
        <v>871</v>
      </c>
      <c r="M5798" s="2456" t="s">
        <v>6109</v>
      </c>
      <c r="N5798" s="2452" t="s">
        <v>5990</v>
      </c>
      <c r="O5798" s="349"/>
      <c r="P5798" s="301"/>
      <c r="S5798" s="364"/>
      <c r="Z5798" s="609" t="s">
        <v>2155</v>
      </c>
      <c r="AA5798" s="609" t="s">
        <v>19</v>
      </c>
      <c r="AE5798" s="369" t="s">
        <v>2761</v>
      </c>
    </row>
    <row r="5799" spans="1:31" ht="18" hidden="1">
      <c r="A5799" s="2714"/>
      <c r="B5799" s="371">
        <v>101</v>
      </c>
      <c r="C5799" s="371" t="s">
        <v>2791</v>
      </c>
      <c r="D5799" s="2716">
        <f t="shared" ref="D5799:D5802" si="620">IF(OR(G5799="*",G5799="",G5799=0),0,COUNTIF($G$5799:$G$5802,G5799))</f>
        <v>0</v>
      </c>
      <c r="E5799" s="2721">
        <v>1</v>
      </c>
      <c r="F5799" s="293"/>
      <c r="G5799" s="2467" t="s">
        <v>2792</v>
      </c>
      <c r="H5799" s="2275"/>
      <c r="I5799" s="2275"/>
      <c r="J5799" s="2275"/>
      <c r="K5799" s="2275"/>
      <c r="L5799" s="2275"/>
      <c r="M5799" s="2296"/>
      <c r="N5799" s="391"/>
      <c r="O5799" s="349"/>
      <c r="P5799" s="301"/>
      <c r="S5799" s="364"/>
      <c r="Z5799" s="609" t="s">
        <v>2155</v>
      </c>
      <c r="AA5799" s="609" t="s">
        <v>19</v>
      </c>
      <c r="AE5799" s="369" t="s">
        <v>2761</v>
      </c>
    </row>
    <row r="5800" spans="1:31" ht="18" hidden="1">
      <c r="A5800" s="2714"/>
      <c r="B5800" s="371">
        <v>102</v>
      </c>
      <c r="C5800" s="371" t="s">
        <v>2791</v>
      </c>
      <c r="D5800" s="2716">
        <f t="shared" si="620"/>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8" hidden="1">
      <c r="A5801" s="2714"/>
      <c r="B5801" s="371">
        <v>103</v>
      </c>
      <c r="C5801" s="371" t="s">
        <v>2791</v>
      </c>
      <c r="D5801" s="2716">
        <f t="shared" si="620"/>
        <v>0</v>
      </c>
      <c r="E5801" s="2721">
        <v>1</v>
      </c>
      <c r="F5801" s="293"/>
      <c r="G5801" s="2467" t="s">
        <v>2792</v>
      </c>
      <c r="H5801" s="2275"/>
      <c r="I5801" s="2275"/>
      <c r="J5801" s="2275"/>
      <c r="K5801" s="2275"/>
      <c r="L5801" s="2275"/>
      <c r="M5801" s="2296"/>
      <c r="N5801" s="391"/>
      <c r="O5801" s="349"/>
      <c r="P5801" s="301"/>
      <c r="S5801" s="364"/>
      <c r="Z5801" s="609" t="s">
        <v>2155</v>
      </c>
      <c r="AA5801" s="609" t="s">
        <v>19</v>
      </c>
      <c r="AE5801" s="369" t="s">
        <v>2761</v>
      </c>
    </row>
    <row r="5802" spans="1:31" ht="18.75" hidden="1" thickBot="1">
      <c r="A5802" s="2714"/>
      <c r="B5802" s="371"/>
      <c r="C5802" s="371"/>
      <c r="D5802" s="2716">
        <f t="shared" si="620"/>
        <v>1</v>
      </c>
      <c r="E5802" s="2721" t="s">
        <v>2751</v>
      </c>
      <c r="F5802" s="293"/>
      <c r="G5802" s="310" t="s">
        <v>2752</v>
      </c>
      <c r="H5802" s="1481">
        <f t="shared" ref="H5802:M5802" si="621">SUMPRODUCT($E5798:$E5801,H5798:H5801)</f>
        <v>0</v>
      </c>
      <c r="I5802" s="1481">
        <f t="shared" si="621"/>
        <v>0</v>
      </c>
      <c r="J5802" s="1481">
        <f t="shared" si="621"/>
        <v>0</v>
      </c>
      <c r="K5802" s="1481">
        <f t="shared" si="621"/>
        <v>0</v>
      </c>
      <c r="L5802" s="1481">
        <f t="shared" si="621"/>
        <v>0</v>
      </c>
      <c r="M5802" s="1482">
        <f t="shared" si="621"/>
        <v>0</v>
      </c>
      <c r="N5802" s="391"/>
      <c r="O5802" s="349"/>
      <c r="P5802" s="301"/>
      <c r="S5802" s="364"/>
      <c r="Z5802" s="609" t="s">
        <v>2155</v>
      </c>
      <c r="AA5802" s="609" t="s">
        <v>19</v>
      </c>
      <c r="AE5802" s="369" t="s">
        <v>2761</v>
      </c>
    </row>
    <row r="5803" spans="1:31" ht="18" hidden="1">
      <c r="A5803" s="2714"/>
      <c r="B5803" s="371"/>
      <c r="C5803" s="371" t="s">
        <v>2755</v>
      </c>
      <c r="D5803" s="2716"/>
      <c r="F5803" s="293"/>
      <c r="G5803" s="376"/>
      <c r="H5803" s="1576"/>
      <c r="I5803" s="396"/>
      <c r="J5803" s="315"/>
      <c r="K5803" s="423"/>
      <c r="L5803" s="315"/>
      <c r="M5803" s="315"/>
      <c r="N5803" s="391"/>
      <c r="O5803" s="349"/>
      <c r="P5803" s="301"/>
      <c r="S5803" s="364"/>
      <c r="Z5803" s="609" t="s">
        <v>2155</v>
      </c>
      <c r="AA5803" s="609" t="s">
        <v>19</v>
      </c>
      <c r="AE5803" s="369" t="s">
        <v>2761</v>
      </c>
    </row>
    <row r="5804" spans="1:31" ht="24">
      <c r="A5804" s="2714">
        <v>9601</v>
      </c>
      <c r="B5804" s="371" t="s">
        <v>6572</v>
      </c>
      <c r="C5804" s="2716" t="str">
        <f>VLOOKUP($A5804,Sheet_Items,2,0)</f>
        <v>当期非经常性损益明细表</v>
      </c>
      <c r="D5804" s="371"/>
      <c r="E5804" s="2716" t="s">
        <v>2739</v>
      </c>
      <c r="F5804" s="294"/>
      <c r="G5804" s="305" t="str">
        <f>B5804&amp;" "&amp;C5804</f>
        <v>十六 1. 当期非经常性损益明细表</v>
      </c>
      <c r="H5804" s="306"/>
      <c r="I5804" s="306"/>
      <c r="J5804" s="306"/>
      <c r="K5804" s="539"/>
      <c r="L5804" s="342"/>
      <c r="M5804" s="306"/>
      <c r="N5804" s="539"/>
      <c r="O5804" s="306"/>
      <c r="P5804" s="301"/>
      <c r="S5804" s="364"/>
      <c r="Z5804" s="609" t="s">
        <v>2182</v>
      </c>
      <c r="AA5804" s="609"/>
    </row>
    <row r="5805" spans="1:31" ht="18">
      <c r="A5805" s="2714" t="s">
        <v>2181</v>
      </c>
      <c r="B5805" s="371">
        <v>1</v>
      </c>
      <c r="C5805" s="371"/>
      <c r="D5805" s="2716" t="str">
        <f>VLOOKUP($A5805,Sheet_NoteList,2,0)</f>
        <v>当期非经常性损益明细表</v>
      </c>
      <c r="E5805" s="2716" t="s">
        <v>2742</v>
      </c>
      <c r="F5805" s="294"/>
      <c r="G5805" s="307" t="str">
        <f>"("&amp;B5805&amp;")"&amp;D5805</f>
        <v>(1)当期非经常性损益明细表</v>
      </c>
      <c r="H5805" s="1517" t="str">
        <f>$A5805</f>
        <v>9601a</v>
      </c>
      <c r="I5805" s="343" t="s">
        <v>2743</v>
      </c>
      <c r="J5805" s="301"/>
      <c r="K5805" s="3087">
        <f>H5835</f>
        <v>0</v>
      </c>
      <c r="L5805" s="315"/>
      <c r="M5805" s="301"/>
      <c r="N5805" s="3087">
        <f>I5835</f>
        <v>0</v>
      </c>
      <c r="O5805" s="315"/>
      <c r="P5805" s="301"/>
      <c r="S5805" s="364"/>
      <c r="Z5805" s="609" t="s">
        <v>2182</v>
      </c>
      <c r="AA5805" s="609"/>
    </row>
    <row r="5806" spans="1:31" ht="0.75" customHeight="1" thickBot="1">
      <c r="A5806" s="2714"/>
      <c r="B5806" s="371"/>
      <c r="C5806" s="371"/>
      <c r="D5806" s="371"/>
      <c r="F5806" s="371"/>
      <c r="G5806" s="371" t="s">
        <v>4676</v>
      </c>
      <c r="H5806" s="371" t="s">
        <v>4223</v>
      </c>
      <c r="I5806" s="371" t="s">
        <v>2928</v>
      </c>
      <c r="J5806" s="371" t="s">
        <v>6321</v>
      </c>
      <c r="M5806" s="291"/>
      <c r="N5806" s="291"/>
      <c r="O5806" s="291"/>
      <c r="P5806" s="291"/>
      <c r="S5806" s="364"/>
      <c r="Z5806" s="609" t="s">
        <v>2182</v>
      </c>
      <c r="AA5806" s="609"/>
    </row>
    <row r="5807" spans="1:31" ht="18">
      <c r="A5807" s="2714"/>
      <c r="B5807" s="371"/>
      <c r="C5807" s="371"/>
      <c r="D5807" s="371"/>
      <c r="E5807" s="2716" t="s">
        <v>2749</v>
      </c>
      <c r="F5807" s="294"/>
      <c r="G5807" s="2498" t="s">
        <v>47</v>
      </c>
      <c r="H5807" s="2499" t="str">
        <f>$V$4</f>
        <v>2019年度</v>
      </c>
      <c r="I5807" s="2499" t="str">
        <f>$V$5</f>
        <v>2018年度</v>
      </c>
      <c r="J5807" s="2500" t="s">
        <v>2758</v>
      </c>
      <c r="K5807" s="355" t="s">
        <v>5353</v>
      </c>
      <c r="M5807" s="291"/>
      <c r="N5807" s="291"/>
      <c r="O5807" s="291"/>
      <c r="P5807" s="291"/>
      <c r="S5807" s="364"/>
      <c r="Z5807" s="609" t="s">
        <v>2182</v>
      </c>
      <c r="AA5807" s="609"/>
    </row>
    <row r="5808" spans="1:31" ht="18">
      <c r="A5808" s="2714"/>
      <c r="B5808" s="371">
        <v>101</v>
      </c>
      <c r="C5808" s="371"/>
      <c r="D5808" s="2716">
        <f t="shared" ref="D5808:D5835" si="622">IF(OR(G5808="*",G5808="",G5808=0),0,COUNTIF($G$5808:$G$5835,G5808))</f>
        <v>1</v>
      </c>
      <c r="E5808" s="2721">
        <v>1</v>
      </c>
      <c r="F5808" s="294"/>
      <c r="G5808" s="308" t="s">
        <v>4677</v>
      </c>
      <c r="H5808" s="309"/>
      <c r="I5808" s="309"/>
      <c r="J5808" s="388"/>
      <c r="K5808" s="626"/>
      <c r="M5808" s="291"/>
      <c r="N5808" s="291"/>
      <c r="O5808" s="291"/>
      <c r="P5808" s="291"/>
      <c r="S5808" s="364"/>
      <c r="Z5808" s="609" t="s">
        <v>2182</v>
      </c>
      <c r="AA5808" s="609"/>
    </row>
    <row r="5809" spans="1:27" ht="36">
      <c r="A5809" s="2714"/>
      <c r="B5809" s="371">
        <v>102</v>
      </c>
      <c r="C5809" s="371"/>
      <c r="D5809" s="2716">
        <f t="shared" si="622"/>
        <v>1</v>
      </c>
      <c r="E5809" s="2721">
        <v>1</v>
      </c>
      <c r="F5809" s="294"/>
      <c r="G5809" s="308" t="s">
        <v>4678</v>
      </c>
      <c r="H5809" s="309"/>
      <c r="I5809" s="309"/>
      <c r="J5809" s="388"/>
      <c r="K5809" s="626"/>
      <c r="M5809" s="291"/>
      <c r="N5809" s="291"/>
      <c r="O5809" s="291"/>
      <c r="P5809" s="291"/>
      <c r="S5809" s="364"/>
      <c r="Z5809" s="609" t="s">
        <v>2182</v>
      </c>
      <c r="AA5809" s="609"/>
    </row>
    <row r="5810" spans="1:27" ht="60">
      <c r="A5810" s="2714"/>
      <c r="B5810" s="371">
        <v>103</v>
      </c>
      <c r="C5810" s="371"/>
      <c r="D5810" s="2716">
        <f t="shared" si="622"/>
        <v>1</v>
      </c>
      <c r="E5810" s="2721">
        <v>1</v>
      </c>
      <c r="F5810" s="294"/>
      <c r="G5810" s="308" t="s">
        <v>4679</v>
      </c>
      <c r="H5810" s="309"/>
      <c r="I5810" s="309"/>
      <c r="J5810" s="388"/>
      <c r="K5810" s="626"/>
      <c r="M5810" s="291"/>
      <c r="N5810" s="291"/>
      <c r="O5810" s="291"/>
      <c r="P5810" s="291"/>
      <c r="S5810" s="364"/>
      <c r="Z5810" s="609" t="s">
        <v>2182</v>
      </c>
      <c r="AA5810" s="609"/>
    </row>
    <row r="5811" spans="1:27" ht="24">
      <c r="A5811" s="2714"/>
      <c r="B5811" s="371">
        <v>104</v>
      </c>
      <c r="C5811" s="371"/>
      <c r="D5811" s="2716">
        <f t="shared" si="622"/>
        <v>1</v>
      </c>
      <c r="E5811" s="2721">
        <v>1</v>
      </c>
      <c r="F5811" s="294"/>
      <c r="G5811" s="308" t="s">
        <v>4680</v>
      </c>
      <c r="H5811" s="309"/>
      <c r="I5811" s="309"/>
      <c r="J5811" s="388"/>
      <c r="K5811" s="626"/>
      <c r="M5811" s="291"/>
      <c r="N5811" s="291"/>
      <c r="O5811" s="291"/>
      <c r="P5811" s="291"/>
      <c r="S5811" s="364"/>
      <c r="Z5811" s="609" t="s">
        <v>2182</v>
      </c>
      <c r="AA5811" s="609"/>
    </row>
    <row r="5812" spans="1:27" ht="48">
      <c r="A5812" s="2714"/>
      <c r="B5812" s="371">
        <v>105</v>
      </c>
      <c r="C5812" s="371"/>
      <c r="D5812" s="2716">
        <f t="shared" si="622"/>
        <v>1</v>
      </c>
      <c r="E5812" s="2721">
        <v>1</v>
      </c>
      <c r="F5812" s="294"/>
      <c r="G5812" s="308" t="s">
        <v>4681</v>
      </c>
      <c r="H5812" s="309"/>
      <c r="I5812" s="309"/>
      <c r="J5812" s="388"/>
      <c r="K5812" s="626"/>
      <c r="M5812" s="291"/>
      <c r="N5812" s="291"/>
      <c r="O5812" s="291"/>
      <c r="P5812" s="291"/>
      <c r="S5812" s="364"/>
      <c r="Z5812" s="609" t="s">
        <v>2182</v>
      </c>
      <c r="AA5812" s="609"/>
    </row>
    <row r="5813" spans="1:27" ht="18">
      <c r="A5813" s="2714"/>
      <c r="B5813" s="371">
        <v>106</v>
      </c>
      <c r="C5813" s="371"/>
      <c r="D5813" s="2716">
        <f t="shared" si="622"/>
        <v>1</v>
      </c>
      <c r="E5813" s="2721">
        <v>1</v>
      </c>
      <c r="F5813" s="294"/>
      <c r="G5813" s="308" t="s">
        <v>4682</v>
      </c>
      <c r="H5813" s="309"/>
      <c r="I5813" s="309"/>
      <c r="J5813" s="388"/>
      <c r="K5813" s="626"/>
      <c r="M5813" s="291"/>
      <c r="N5813" s="291"/>
      <c r="O5813" s="291"/>
      <c r="P5813" s="291"/>
      <c r="S5813" s="364"/>
      <c r="Z5813" s="609" t="s">
        <v>2182</v>
      </c>
      <c r="AA5813" s="609"/>
    </row>
    <row r="5814" spans="1:27" ht="24">
      <c r="A5814" s="2714"/>
      <c r="B5814" s="371">
        <v>107</v>
      </c>
      <c r="C5814" s="371"/>
      <c r="D5814" s="2716">
        <f t="shared" si="622"/>
        <v>1</v>
      </c>
      <c r="E5814" s="2721">
        <v>1</v>
      </c>
      <c r="F5814" s="294"/>
      <c r="G5814" s="308" t="s">
        <v>4683</v>
      </c>
      <c r="H5814" s="309"/>
      <c r="I5814" s="309"/>
      <c r="J5814" s="388"/>
      <c r="K5814" s="626"/>
      <c r="M5814" s="291"/>
      <c r="N5814" s="291"/>
      <c r="O5814" s="291"/>
      <c r="P5814" s="291"/>
      <c r="S5814" s="364"/>
      <c r="Z5814" s="609" t="s">
        <v>2182</v>
      </c>
      <c r="AA5814" s="609"/>
    </row>
    <row r="5815" spans="1:27" ht="36">
      <c r="A5815" s="2714"/>
      <c r="B5815" s="371">
        <v>108</v>
      </c>
      <c r="C5815" s="371"/>
      <c r="D5815" s="2716">
        <f t="shared" si="622"/>
        <v>1</v>
      </c>
      <c r="E5815" s="2721">
        <v>1</v>
      </c>
      <c r="F5815" s="294"/>
      <c r="G5815" s="308" t="s">
        <v>4684</v>
      </c>
      <c r="H5815" s="309"/>
      <c r="I5815" s="309"/>
      <c r="J5815" s="388"/>
      <c r="K5815" s="626"/>
      <c r="M5815" s="291"/>
      <c r="N5815" s="291"/>
      <c r="O5815" s="291"/>
      <c r="P5815" s="291"/>
      <c r="S5815" s="364"/>
      <c r="Z5815" s="609" t="s">
        <v>2182</v>
      </c>
      <c r="AA5815" s="609"/>
    </row>
    <row r="5816" spans="1:27" ht="18">
      <c r="A5816" s="2714"/>
      <c r="B5816" s="371">
        <v>109</v>
      </c>
      <c r="C5816" s="371"/>
      <c r="D5816" s="2716">
        <f t="shared" si="622"/>
        <v>1</v>
      </c>
      <c r="E5816" s="2721">
        <v>1</v>
      </c>
      <c r="F5816" s="294"/>
      <c r="G5816" s="308" t="s">
        <v>4685</v>
      </c>
      <c r="H5816" s="309"/>
      <c r="I5816" s="309"/>
      <c r="J5816" s="388"/>
      <c r="K5816" s="626"/>
      <c r="M5816" s="291"/>
      <c r="N5816" s="291"/>
      <c r="O5816" s="291"/>
      <c r="P5816" s="291"/>
      <c r="S5816" s="364"/>
      <c r="Z5816" s="609" t="s">
        <v>2182</v>
      </c>
      <c r="AA5816" s="609"/>
    </row>
    <row r="5817" spans="1:27" ht="24">
      <c r="A5817" s="2714"/>
      <c r="B5817" s="371">
        <v>110</v>
      </c>
      <c r="C5817" s="371"/>
      <c r="D5817" s="2716">
        <f t="shared" si="622"/>
        <v>1</v>
      </c>
      <c r="E5817" s="2721">
        <v>1</v>
      </c>
      <c r="F5817" s="294"/>
      <c r="G5817" s="308" t="s">
        <v>4686</v>
      </c>
      <c r="H5817" s="309"/>
      <c r="I5817" s="309"/>
      <c r="J5817" s="388"/>
      <c r="K5817" s="626"/>
      <c r="M5817" s="291"/>
      <c r="N5817" s="291"/>
      <c r="O5817" s="291"/>
      <c r="P5817" s="291"/>
      <c r="S5817" s="364"/>
      <c r="Z5817" s="609" t="s">
        <v>2182</v>
      </c>
      <c r="AA5817" s="609"/>
    </row>
    <row r="5818" spans="1:27" ht="24">
      <c r="A5818" s="2714"/>
      <c r="B5818" s="371">
        <v>111</v>
      </c>
      <c r="C5818" s="371"/>
      <c r="D5818" s="2716">
        <f t="shared" si="622"/>
        <v>1</v>
      </c>
      <c r="E5818" s="2721">
        <v>1</v>
      </c>
      <c r="F5818" s="294"/>
      <c r="G5818" s="308" t="s">
        <v>4687</v>
      </c>
      <c r="H5818" s="309"/>
      <c r="I5818" s="309"/>
      <c r="J5818" s="388"/>
      <c r="K5818" s="626"/>
      <c r="M5818" s="291"/>
      <c r="N5818" s="291"/>
      <c r="O5818" s="291"/>
      <c r="P5818" s="291"/>
      <c r="S5818" s="364"/>
      <c r="Z5818" s="609" t="s">
        <v>2182</v>
      </c>
      <c r="AA5818" s="609"/>
    </row>
    <row r="5819" spans="1:27" ht="36">
      <c r="A5819" s="2714"/>
      <c r="B5819" s="371">
        <v>112</v>
      </c>
      <c r="C5819" s="371"/>
      <c r="D5819" s="2716">
        <f t="shared" si="622"/>
        <v>1</v>
      </c>
      <c r="E5819" s="2721">
        <v>1</v>
      </c>
      <c r="F5819" s="294"/>
      <c r="G5819" s="308" t="s">
        <v>4688</v>
      </c>
      <c r="H5819" s="309"/>
      <c r="I5819" s="309"/>
      <c r="J5819" s="388"/>
      <c r="K5819" s="626"/>
      <c r="M5819" s="291"/>
      <c r="N5819" s="291"/>
      <c r="O5819" s="291"/>
      <c r="P5819" s="291"/>
      <c r="S5819" s="364"/>
      <c r="Z5819" s="609" t="s">
        <v>2182</v>
      </c>
      <c r="AA5819" s="609"/>
    </row>
    <row r="5820" spans="1:27" ht="24">
      <c r="A5820" s="2714"/>
      <c r="B5820" s="371">
        <v>113</v>
      </c>
      <c r="C5820" s="371"/>
      <c r="D5820" s="2716">
        <f t="shared" si="622"/>
        <v>1</v>
      </c>
      <c r="E5820" s="2721">
        <v>1</v>
      </c>
      <c r="F5820" s="294"/>
      <c r="G5820" s="308" t="s">
        <v>4689</v>
      </c>
      <c r="H5820" s="309"/>
      <c r="I5820" s="309"/>
      <c r="J5820" s="388"/>
      <c r="K5820" s="626"/>
      <c r="M5820" s="291"/>
      <c r="N5820" s="291"/>
      <c r="O5820" s="291"/>
      <c r="P5820" s="291"/>
      <c r="S5820" s="364"/>
      <c r="Z5820" s="609" t="s">
        <v>2182</v>
      </c>
      <c r="AA5820" s="609"/>
    </row>
    <row r="5821" spans="1:27" ht="108">
      <c r="A5821" s="2714"/>
      <c r="B5821" s="371">
        <v>114</v>
      </c>
      <c r="C5821" s="371"/>
      <c r="D5821" s="2716">
        <f t="shared" si="622"/>
        <v>1</v>
      </c>
      <c r="E5821" s="2721">
        <v>1</v>
      </c>
      <c r="F5821" s="294"/>
      <c r="G5821" s="1474" t="s">
        <v>6148</v>
      </c>
      <c r="H5821" s="309"/>
      <c r="I5821" s="2277">
        <v>0</v>
      </c>
      <c r="J5821" s="388"/>
      <c r="K5821" s="626"/>
      <c r="M5821" s="291"/>
      <c r="N5821" s="291"/>
      <c r="O5821" s="291"/>
      <c r="P5821" s="291"/>
      <c r="S5821" s="364"/>
      <c r="Z5821" s="609" t="s">
        <v>2182</v>
      </c>
      <c r="AA5821" s="609"/>
    </row>
    <row r="5822" spans="1:27" ht="84">
      <c r="A5822" s="2714"/>
      <c r="B5822" s="371">
        <v>115</v>
      </c>
      <c r="C5822" s="371"/>
      <c r="D5822" s="2716">
        <f t="shared" si="622"/>
        <v>1</v>
      </c>
      <c r="E5822" s="2721">
        <v>1</v>
      </c>
      <c r="F5822" s="294"/>
      <c r="G5822" s="308" t="s">
        <v>4690</v>
      </c>
      <c r="H5822" s="2277">
        <v>0</v>
      </c>
      <c r="I5822" s="309"/>
      <c r="J5822" s="388"/>
      <c r="K5822" s="626"/>
      <c r="M5822" s="291"/>
      <c r="N5822" s="291"/>
      <c r="O5822" s="291"/>
      <c r="P5822" s="291"/>
      <c r="S5822" s="364"/>
      <c r="Z5822" s="609" t="s">
        <v>2182</v>
      </c>
      <c r="AA5822" s="609"/>
    </row>
    <row r="5823" spans="1:27" ht="24">
      <c r="A5823" s="2714"/>
      <c r="B5823" s="371">
        <v>116</v>
      </c>
      <c r="C5823" s="371"/>
      <c r="D5823" s="2716">
        <f t="shared" si="622"/>
        <v>1</v>
      </c>
      <c r="E5823" s="2721">
        <v>1</v>
      </c>
      <c r="F5823" s="294"/>
      <c r="G5823" s="308" t="s">
        <v>4691</v>
      </c>
      <c r="H5823" s="309"/>
      <c r="I5823" s="309"/>
      <c r="J5823" s="388"/>
      <c r="K5823" s="626"/>
      <c r="M5823" s="291"/>
      <c r="N5823" s="291"/>
      <c r="O5823" s="291"/>
      <c r="P5823" s="291"/>
      <c r="S5823" s="364"/>
      <c r="Z5823" s="609" t="s">
        <v>2182</v>
      </c>
      <c r="AA5823" s="609"/>
    </row>
    <row r="5824" spans="1:27" ht="18">
      <c r="A5824" s="2714"/>
      <c r="B5824" s="371">
        <v>117</v>
      </c>
      <c r="C5824" s="371"/>
      <c r="D5824" s="2716">
        <f t="shared" si="622"/>
        <v>1</v>
      </c>
      <c r="E5824" s="2721">
        <v>1</v>
      </c>
      <c r="F5824" s="294"/>
      <c r="G5824" s="308" t="s">
        <v>4692</v>
      </c>
      <c r="H5824" s="309"/>
      <c r="I5824" s="309"/>
      <c r="J5824" s="388"/>
      <c r="K5824" s="626"/>
      <c r="M5824" s="291"/>
      <c r="N5824" s="291"/>
      <c r="O5824" s="291"/>
      <c r="P5824" s="291"/>
      <c r="S5824" s="364"/>
      <c r="Z5824" s="609" t="s">
        <v>2182</v>
      </c>
      <c r="AA5824" s="609"/>
    </row>
    <row r="5825" spans="1:27" ht="36">
      <c r="A5825" s="2714"/>
      <c r="B5825" s="371">
        <v>118</v>
      </c>
      <c r="C5825" s="371"/>
      <c r="D5825" s="2716">
        <f t="shared" si="622"/>
        <v>1</v>
      </c>
      <c r="E5825" s="2721">
        <v>1</v>
      </c>
      <c r="F5825" s="294"/>
      <c r="G5825" s="308" t="s">
        <v>4693</v>
      </c>
      <c r="H5825" s="309"/>
      <c r="I5825" s="309"/>
      <c r="J5825" s="388"/>
      <c r="K5825" s="626"/>
      <c r="M5825" s="291"/>
      <c r="N5825" s="291"/>
      <c r="O5825" s="291"/>
      <c r="P5825" s="291"/>
      <c r="S5825" s="364"/>
      <c r="Z5825" s="609" t="s">
        <v>2182</v>
      </c>
      <c r="AA5825" s="609"/>
    </row>
    <row r="5826" spans="1:27" ht="36">
      <c r="A5826" s="2714"/>
      <c r="B5826" s="371">
        <v>119</v>
      </c>
      <c r="C5826" s="371"/>
      <c r="D5826" s="2716">
        <f t="shared" si="622"/>
        <v>1</v>
      </c>
      <c r="E5826" s="2721">
        <v>1</v>
      </c>
      <c r="F5826" s="294"/>
      <c r="G5826" s="308" t="s">
        <v>4694</v>
      </c>
      <c r="H5826" s="309"/>
      <c r="I5826" s="309"/>
      <c r="J5826" s="388"/>
      <c r="K5826" s="626"/>
      <c r="M5826" s="291"/>
      <c r="N5826" s="291"/>
      <c r="O5826" s="291"/>
      <c r="P5826" s="291"/>
      <c r="S5826" s="364"/>
      <c r="Z5826" s="609" t="s">
        <v>2182</v>
      </c>
      <c r="AA5826" s="609"/>
    </row>
    <row r="5827" spans="1:27" ht="18">
      <c r="A5827" s="2714"/>
      <c r="B5827" s="371">
        <v>120</v>
      </c>
      <c r="C5827" s="371"/>
      <c r="D5827" s="2716">
        <f t="shared" si="622"/>
        <v>1</v>
      </c>
      <c r="E5827" s="2721">
        <v>1</v>
      </c>
      <c r="F5827" s="294"/>
      <c r="G5827" s="308" t="s">
        <v>4695</v>
      </c>
      <c r="H5827" s="309"/>
      <c r="I5827" s="309"/>
      <c r="J5827" s="388"/>
      <c r="K5827" s="626"/>
      <c r="M5827" s="291"/>
      <c r="N5827" s="291"/>
      <c r="O5827" s="291"/>
      <c r="P5827" s="291"/>
      <c r="S5827" s="364"/>
      <c r="Z5827" s="609" t="s">
        <v>2182</v>
      </c>
      <c r="AA5827" s="609"/>
    </row>
    <row r="5828" spans="1:27" ht="24">
      <c r="A5828" s="2714"/>
      <c r="B5828" s="371">
        <v>121</v>
      </c>
      <c r="C5828" s="371"/>
      <c r="D5828" s="2716">
        <f t="shared" si="622"/>
        <v>1</v>
      </c>
      <c r="E5828" s="2721">
        <v>1</v>
      </c>
      <c r="F5828" s="294"/>
      <c r="G5828" s="308" t="s">
        <v>4696</v>
      </c>
      <c r="H5828" s="309"/>
      <c r="I5828" s="309"/>
      <c r="J5828" s="388"/>
      <c r="K5828" s="626"/>
      <c r="M5828" s="291"/>
      <c r="N5828" s="291"/>
      <c r="O5828" s="291"/>
      <c r="P5828" s="291"/>
      <c r="S5828" s="364"/>
      <c r="Z5828" s="609" t="s">
        <v>2182</v>
      </c>
      <c r="AA5828" s="609"/>
    </row>
    <row r="5829" spans="1:27" ht="24">
      <c r="A5829" s="2714"/>
      <c r="B5829" s="371">
        <v>122</v>
      </c>
      <c r="C5829" s="371"/>
      <c r="D5829" s="2716">
        <f t="shared" si="622"/>
        <v>1</v>
      </c>
      <c r="E5829" s="2721">
        <v>1</v>
      </c>
      <c r="F5829" s="294"/>
      <c r="G5829" s="308" t="s">
        <v>2185</v>
      </c>
      <c r="H5829" s="309"/>
      <c r="I5829" s="309"/>
      <c r="J5829" s="388"/>
      <c r="K5829" s="626"/>
      <c r="M5829" s="291"/>
      <c r="N5829" s="291"/>
      <c r="O5829" s="291"/>
      <c r="P5829" s="291"/>
      <c r="S5829" s="364"/>
      <c r="Z5829" s="609" t="s">
        <v>2182</v>
      </c>
      <c r="AA5829" s="609"/>
    </row>
    <row r="5830" spans="1:27" ht="18">
      <c r="A5830" s="2714"/>
      <c r="B5830" s="371">
        <v>123</v>
      </c>
      <c r="C5830" s="371" t="s">
        <v>2791</v>
      </c>
      <c r="D5830" s="2716">
        <f t="shared" si="622"/>
        <v>0</v>
      </c>
      <c r="E5830" s="2721">
        <v>1</v>
      </c>
      <c r="F5830" s="294"/>
      <c r="G5830" s="319" t="s">
        <v>2792</v>
      </c>
      <c r="H5830" s="309"/>
      <c r="I5830" s="309"/>
      <c r="J5830" s="388"/>
      <c r="K5830" s="626"/>
      <c r="M5830" s="291"/>
      <c r="N5830" s="291"/>
      <c r="O5830" s="291"/>
      <c r="P5830" s="291"/>
      <c r="S5830" s="364"/>
      <c r="Z5830" s="609" t="s">
        <v>2182</v>
      </c>
      <c r="AA5830" s="609"/>
    </row>
    <row r="5831" spans="1:27" ht="18">
      <c r="A5831" s="2714"/>
      <c r="B5831" s="371">
        <v>124</v>
      </c>
      <c r="C5831" s="371"/>
      <c r="D5831" s="2716">
        <f t="shared" si="622"/>
        <v>1</v>
      </c>
      <c r="E5831" s="2721">
        <v>0</v>
      </c>
      <c r="F5831" s="294"/>
      <c r="G5831" s="308" t="s">
        <v>4697</v>
      </c>
      <c r="H5831" s="309">
        <f>SUM(H5808:H5830)</f>
        <v>0</v>
      </c>
      <c r="I5831" s="309">
        <f>SUM(I5808:I5830)</f>
        <v>0</v>
      </c>
      <c r="J5831" s="388"/>
      <c r="K5831" s="626"/>
      <c r="M5831" s="291"/>
      <c r="N5831" s="291"/>
      <c r="O5831" s="291"/>
      <c r="P5831" s="291"/>
      <c r="S5831" s="364"/>
      <c r="Z5831" s="609" t="s">
        <v>2182</v>
      </c>
      <c r="AA5831" s="609"/>
    </row>
    <row r="5832" spans="1:27" ht="24">
      <c r="A5832" s="2714"/>
      <c r="B5832" s="371">
        <v>126</v>
      </c>
      <c r="C5832" s="371"/>
      <c r="D5832" s="2716">
        <f t="shared" si="622"/>
        <v>1</v>
      </c>
      <c r="E5832" s="2721">
        <v>-1</v>
      </c>
      <c r="F5832" s="294"/>
      <c r="G5832" s="308" t="s">
        <v>4698</v>
      </c>
      <c r="H5832" s="309"/>
      <c r="I5832" s="309"/>
      <c r="J5832" s="388"/>
      <c r="K5832" s="626"/>
      <c r="M5832" s="291"/>
      <c r="N5832" s="291"/>
      <c r="O5832" s="291"/>
      <c r="P5832" s="291"/>
      <c r="S5832" s="364"/>
      <c r="Z5832" s="609" t="s">
        <v>2182</v>
      </c>
      <c r="AA5832" s="609"/>
    </row>
    <row r="5833" spans="1:27" ht="18">
      <c r="A5833" s="2714"/>
      <c r="B5833" s="371">
        <v>127</v>
      </c>
      <c r="C5833" s="371"/>
      <c r="D5833" s="2716">
        <f t="shared" si="622"/>
        <v>1</v>
      </c>
      <c r="E5833" s="2721">
        <v>0</v>
      </c>
      <c r="F5833" s="294"/>
      <c r="G5833" s="308" t="s">
        <v>4699</v>
      </c>
      <c r="H5833" s="309">
        <f>SUM(H5831,-H5832)</f>
        <v>0</v>
      </c>
      <c r="I5833" s="309">
        <f>SUM(I5831,-I5832)</f>
        <v>0</v>
      </c>
      <c r="J5833" s="388"/>
      <c r="K5833" s="626"/>
      <c r="M5833" s="291"/>
      <c r="N5833" s="291"/>
      <c r="O5833" s="291"/>
      <c r="P5833" s="291"/>
      <c r="S5833" s="364"/>
      <c r="Z5833" s="609" t="s">
        <v>2182</v>
      </c>
      <c r="AA5833" s="609"/>
    </row>
    <row r="5834" spans="1:27" ht="24">
      <c r="A5834" s="2714"/>
      <c r="B5834" s="371">
        <v>128</v>
      </c>
      <c r="C5834" s="371"/>
      <c r="D5834" s="2716">
        <f t="shared" si="622"/>
        <v>1</v>
      </c>
      <c r="E5834" s="2721">
        <v>-1</v>
      </c>
      <c r="F5834" s="294"/>
      <c r="G5834" s="308" t="s">
        <v>4700</v>
      </c>
      <c r="H5834" s="309"/>
      <c r="I5834" s="309"/>
      <c r="J5834" s="388"/>
      <c r="K5834" s="626"/>
      <c r="M5834" s="291"/>
      <c r="N5834" s="291"/>
      <c r="O5834" s="291"/>
      <c r="P5834" s="291"/>
      <c r="S5834" s="364"/>
      <c r="Z5834" s="609" t="s">
        <v>2182</v>
      </c>
      <c r="AA5834" s="609"/>
    </row>
    <row r="5835" spans="1:27" ht="24.75" thickBot="1">
      <c r="A5835" s="2714"/>
      <c r="B5835" s="371"/>
      <c r="C5835" s="371"/>
      <c r="D5835" s="2716">
        <f t="shared" si="622"/>
        <v>1</v>
      </c>
      <c r="E5835" s="2721" t="s">
        <v>3032</v>
      </c>
      <c r="F5835" s="294"/>
      <c r="G5835" s="2234" t="s">
        <v>4701</v>
      </c>
      <c r="H5835" s="2325">
        <f>SUMPRODUCT($E5807:$E5834,H5807:H5834)</f>
        <v>0</v>
      </c>
      <c r="I5835" s="2325">
        <f>SUMPRODUCT($E5807:$E5834,I5807:I5834)</f>
        <v>0</v>
      </c>
      <c r="J5835" s="2505"/>
      <c r="M5835" s="291"/>
      <c r="N5835" s="291"/>
      <c r="O5835" s="291"/>
      <c r="P5835" s="291"/>
      <c r="S5835" s="364"/>
      <c r="Z5835" s="609" t="s">
        <v>2182</v>
      </c>
      <c r="AA5835" s="609"/>
    </row>
    <row r="5836" spans="1:27" ht="18">
      <c r="A5836" s="2714"/>
      <c r="B5836" s="371"/>
      <c r="C5836" s="371" t="s">
        <v>2755</v>
      </c>
      <c r="D5836" s="371"/>
      <c r="F5836" s="294"/>
      <c r="G5836" s="301"/>
      <c r="H5836" s="315"/>
      <c r="I5836" s="315"/>
      <c r="J5836" s="393"/>
      <c r="K5836" s="349"/>
      <c r="L5836" s="350"/>
      <c r="M5836" s="291"/>
      <c r="N5836" s="291"/>
      <c r="O5836" s="291"/>
      <c r="P5836" s="291"/>
      <c r="S5836" s="364"/>
      <c r="Z5836" s="609" t="s">
        <v>2182</v>
      </c>
      <c r="AA5836" s="609"/>
    </row>
    <row r="5837" spans="1:27" ht="60">
      <c r="A5837" s="2714" t="s">
        <v>2187</v>
      </c>
      <c r="B5837" s="371">
        <v>2</v>
      </c>
      <c r="C5837" s="371"/>
      <c r="D5837" s="2716" t="str">
        <f>VLOOKUP($A5837,Sheet_NoteList,2,0)</f>
        <v>将《公开发行证券的公司信息披露解释性公告第1号——非经常性损益》中列举的非经常性损益项目界定为经常性损益的项目及原因</v>
      </c>
      <c r="E5837" s="2716" t="s">
        <v>2742</v>
      </c>
      <c r="F5837" s="294"/>
      <c r="G5837" s="372" t="str">
        <f>"("&amp;B5837&amp;")"&amp;D5837</f>
        <v>(2)将《公开发行证券的公司信息披露解释性公告第1号——非经常性损益》中列举的非经常性损益项目界定为经常性损益的项目及原因</v>
      </c>
      <c r="H5837" s="1517" t="str">
        <f>$A5837</f>
        <v>9601c</v>
      </c>
      <c r="I5837" s="343" t="s">
        <v>2743</v>
      </c>
      <c r="J5837" s="301"/>
      <c r="K5837" s="3084"/>
      <c r="L5837" s="315"/>
      <c r="M5837" s="301"/>
      <c r="N5837" s="3084"/>
      <c r="O5837" s="315"/>
      <c r="P5837" s="301"/>
      <c r="S5837" s="364"/>
      <c r="Z5837" s="609" t="s">
        <v>2182</v>
      </c>
      <c r="AA5837" s="609"/>
    </row>
    <row r="5838" spans="1:27" ht="0.75" customHeight="1" thickBot="1">
      <c r="A5838" s="2714"/>
      <c r="B5838" s="371"/>
      <c r="C5838" s="371"/>
      <c r="D5838" s="371"/>
      <c r="F5838" s="371"/>
      <c r="G5838" s="371" t="s">
        <v>4702</v>
      </c>
      <c r="H5838" s="371" t="s">
        <v>4703</v>
      </c>
      <c r="I5838" s="371" t="s">
        <v>4704</v>
      </c>
      <c r="M5838" s="291"/>
      <c r="N5838" s="291"/>
      <c r="O5838" s="291"/>
      <c r="P5838" s="291"/>
      <c r="S5838" s="364"/>
      <c r="Z5838" s="609" t="s">
        <v>2182</v>
      </c>
      <c r="AA5838" s="609"/>
    </row>
    <row r="5839" spans="1:27" ht="18">
      <c r="A5839" s="2714"/>
      <c r="B5839" s="371"/>
      <c r="C5839" s="371"/>
      <c r="D5839" s="371"/>
      <c r="E5839" s="2716" t="s">
        <v>2749</v>
      </c>
      <c r="F5839" s="294"/>
      <c r="G5839" s="2498" t="s">
        <v>47</v>
      </c>
      <c r="H5839" s="2499" t="s">
        <v>4705</v>
      </c>
      <c r="I5839" s="2500" t="s">
        <v>4660</v>
      </c>
      <c r="J5839" s="355" t="s">
        <v>5353</v>
      </c>
      <c r="M5839" s="291"/>
      <c r="N5839" s="291"/>
      <c r="O5839" s="291"/>
      <c r="P5839" s="291"/>
      <c r="S5839" s="364"/>
      <c r="Z5839" s="609" t="s">
        <v>2182</v>
      </c>
      <c r="AA5839" s="609"/>
    </row>
    <row r="5840" spans="1:27" ht="18">
      <c r="A5840" s="2714"/>
      <c r="B5840" s="371">
        <v>101</v>
      </c>
      <c r="C5840" s="371" t="s">
        <v>2791</v>
      </c>
      <c r="D5840" s="2716">
        <f t="shared" ref="D5840:D5845" si="623">IF(OR(G5840="*",G5840="",G5840=0),0,COUNTIF($G$5840:$G$5845,G5840))</f>
        <v>0</v>
      </c>
      <c r="E5840" s="2721">
        <v>1</v>
      </c>
      <c r="F5840" s="294"/>
      <c r="G5840" s="319" t="s">
        <v>2792</v>
      </c>
      <c r="H5840" s="309"/>
      <c r="I5840" s="388"/>
      <c r="M5840" s="291"/>
      <c r="N5840" s="291"/>
      <c r="O5840" s="291"/>
      <c r="P5840" s="291"/>
      <c r="S5840" s="364"/>
      <c r="Z5840" s="609" t="s">
        <v>2182</v>
      </c>
      <c r="AA5840" s="609"/>
    </row>
    <row r="5841" spans="1:27" ht="18">
      <c r="A5841" s="2714"/>
      <c r="B5841" s="371">
        <v>102</v>
      </c>
      <c r="C5841" s="371" t="s">
        <v>2791</v>
      </c>
      <c r="D5841" s="2716">
        <f t="shared" si="623"/>
        <v>0</v>
      </c>
      <c r="E5841" s="2721">
        <v>1</v>
      </c>
      <c r="F5841" s="294"/>
      <c r="G5841" s="319" t="s">
        <v>2792</v>
      </c>
      <c r="H5841" s="309"/>
      <c r="I5841" s="388"/>
      <c r="M5841" s="291"/>
      <c r="N5841" s="291"/>
      <c r="O5841" s="291"/>
      <c r="P5841" s="291"/>
      <c r="S5841" s="364"/>
      <c r="Z5841" s="609" t="s">
        <v>2182</v>
      </c>
      <c r="AA5841" s="609"/>
    </row>
    <row r="5842" spans="1:27" ht="18">
      <c r="A5842" s="2714"/>
      <c r="B5842" s="371">
        <v>103</v>
      </c>
      <c r="C5842" s="371" t="s">
        <v>2791</v>
      </c>
      <c r="D5842" s="2716">
        <f t="shared" si="623"/>
        <v>0</v>
      </c>
      <c r="E5842" s="2721">
        <v>1</v>
      </c>
      <c r="F5842" s="294"/>
      <c r="G5842" s="319" t="s">
        <v>2792</v>
      </c>
      <c r="H5842" s="309"/>
      <c r="I5842" s="388"/>
      <c r="M5842" s="291"/>
      <c r="N5842" s="291"/>
      <c r="O5842" s="291"/>
      <c r="P5842" s="291"/>
      <c r="S5842" s="364"/>
      <c r="Z5842" s="609" t="s">
        <v>2182</v>
      </c>
      <c r="AA5842" s="609"/>
    </row>
    <row r="5843" spans="1:27" ht="18">
      <c r="A5843" s="2714"/>
      <c r="B5843" s="371">
        <v>104</v>
      </c>
      <c r="C5843" s="371" t="s">
        <v>2791</v>
      </c>
      <c r="D5843" s="2716">
        <f t="shared" si="623"/>
        <v>0</v>
      </c>
      <c r="E5843" s="2721">
        <v>1</v>
      </c>
      <c r="F5843" s="294"/>
      <c r="G5843" s="319" t="s">
        <v>2792</v>
      </c>
      <c r="H5843" s="309"/>
      <c r="I5843" s="388"/>
      <c r="M5843" s="291"/>
      <c r="N5843" s="291"/>
      <c r="O5843" s="291"/>
      <c r="P5843" s="291"/>
      <c r="S5843" s="364"/>
      <c r="Z5843" s="609" t="s">
        <v>2182</v>
      </c>
      <c r="AA5843" s="609"/>
    </row>
    <row r="5844" spans="1:27" ht="18">
      <c r="A5844" s="2714"/>
      <c r="B5844" s="371">
        <v>105</v>
      </c>
      <c r="C5844" s="371" t="s">
        <v>2791</v>
      </c>
      <c r="D5844" s="2716">
        <f t="shared" si="623"/>
        <v>0</v>
      </c>
      <c r="E5844" s="2721">
        <v>1</v>
      </c>
      <c r="F5844" s="294"/>
      <c r="G5844" s="319" t="s">
        <v>2792</v>
      </c>
      <c r="H5844" s="309"/>
      <c r="I5844" s="388"/>
      <c r="M5844" s="291"/>
      <c r="N5844" s="291"/>
      <c r="O5844" s="291"/>
      <c r="P5844" s="291"/>
      <c r="S5844" s="364"/>
      <c r="Z5844" s="609" t="s">
        <v>2182</v>
      </c>
      <c r="AA5844" s="609"/>
    </row>
    <row r="5845" spans="1:27" ht="18.75" thickBot="1">
      <c r="A5845" s="2714"/>
      <c r="B5845" s="371"/>
      <c r="C5845" s="371"/>
      <c r="D5845" s="2716">
        <f t="shared" si="623"/>
        <v>1</v>
      </c>
      <c r="E5845" s="2721" t="s">
        <v>3032</v>
      </c>
      <c r="F5845" s="294"/>
      <c r="G5845" s="2506" t="s">
        <v>2752</v>
      </c>
      <c r="H5845" s="2485">
        <f>SUMPRODUCT($E5839:$E5844,H5839:H5844)</f>
        <v>0</v>
      </c>
      <c r="I5845" s="2505"/>
      <c r="M5845" s="291"/>
      <c r="N5845" s="291"/>
      <c r="O5845" s="291"/>
      <c r="P5845" s="291"/>
      <c r="S5845" s="364"/>
      <c r="Z5845" s="609" t="s">
        <v>2182</v>
      </c>
      <c r="AA5845" s="609"/>
    </row>
    <row r="5846" spans="1:27" ht="18">
      <c r="A5846" s="2714"/>
      <c r="B5846" s="371"/>
      <c r="C5846" s="371" t="s">
        <v>2755</v>
      </c>
      <c r="D5846" s="371"/>
      <c r="F5846" s="294"/>
      <c r="G5846" s="301"/>
      <c r="H5846" s="315"/>
      <c r="I5846" s="393"/>
      <c r="J5846" s="349"/>
      <c r="K5846" s="349"/>
      <c r="L5846" s="350"/>
      <c r="M5846" s="291"/>
      <c r="N5846" s="291"/>
      <c r="O5846" s="291"/>
      <c r="P5846" s="291"/>
      <c r="S5846" s="364"/>
      <c r="Z5846" s="609" t="s">
        <v>2182</v>
      </c>
      <c r="AA5846" s="609"/>
    </row>
    <row r="5847" spans="1:27" ht="24">
      <c r="A5847" s="2714" t="s">
        <v>2184</v>
      </c>
      <c r="B5847" s="371">
        <v>3</v>
      </c>
      <c r="C5847" s="371"/>
      <c r="D5847" s="2716" t="str">
        <f>VLOOKUP($A5847,Sheet_NoteList,2,0)</f>
        <v>其他符合非经常性损益定义的损益项目</v>
      </c>
      <c r="E5847" s="2716" t="s">
        <v>6531</v>
      </c>
      <c r="F5847" s="294"/>
      <c r="G5847" s="372" t="str">
        <f>"("&amp;B5847&amp;")"&amp;D5847</f>
        <v>(3)其他符合非经常性损益定义的损益项目</v>
      </c>
      <c r="H5847" s="1517" t="str">
        <f>$A5847</f>
        <v>9601b</v>
      </c>
      <c r="I5847" s="343" t="s">
        <v>5980</v>
      </c>
      <c r="J5847" s="301"/>
      <c r="K5847" s="3084"/>
      <c r="L5847" s="315"/>
      <c r="M5847" s="301"/>
      <c r="N5847" s="3084"/>
      <c r="O5847" s="315"/>
      <c r="P5847" s="301"/>
      <c r="S5847" s="364"/>
      <c r="Z5847" s="609" t="s">
        <v>2182</v>
      </c>
      <c r="AA5847" s="609"/>
    </row>
    <row r="5848" spans="1:27" ht="0.75" customHeight="1" thickBot="1">
      <c r="A5848" s="2714"/>
      <c r="B5848" s="371"/>
      <c r="C5848" s="371"/>
      <c r="D5848" s="371"/>
      <c r="E5848" s="586"/>
      <c r="F5848" s="586"/>
      <c r="G5848" s="586" t="s">
        <v>4706</v>
      </c>
      <c r="H5848" s="371" t="s">
        <v>4703</v>
      </c>
      <c r="I5848" s="371" t="s">
        <v>4704</v>
      </c>
      <c r="M5848" s="291"/>
      <c r="N5848" s="291"/>
      <c r="O5848" s="291"/>
      <c r="P5848" s="291"/>
      <c r="S5848" s="364"/>
      <c r="Z5848" s="609" t="s">
        <v>2182</v>
      </c>
      <c r="AA5848" s="609"/>
    </row>
    <row r="5849" spans="1:27" ht="18">
      <c r="A5849" s="2714"/>
      <c r="B5849" s="371"/>
      <c r="C5849" s="371"/>
      <c r="D5849" s="371"/>
      <c r="E5849" s="586" t="s">
        <v>2749</v>
      </c>
      <c r="F5849" s="363"/>
      <c r="G5849" s="2458" t="s">
        <v>47</v>
      </c>
      <c r="H5849" s="2459" t="s">
        <v>4705</v>
      </c>
      <c r="I5849" s="2460" t="s">
        <v>4660</v>
      </c>
      <c r="M5849" s="291"/>
      <c r="N5849" s="291"/>
      <c r="O5849" s="291"/>
      <c r="P5849" s="291"/>
      <c r="S5849" s="364"/>
      <c r="Z5849" s="609" t="s">
        <v>2182</v>
      </c>
      <c r="AA5849" s="609"/>
    </row>
    <row r="5850" spans="1:27" ht="18">
      <c r="A5850" s="2714"/>
      <c r="B5850" s="371">
        <v>101</v>
      </c>
      <c r="C5850" s="371" t="s">
        <v>2791</v>
      </c>
      <c r="D5850" s="2716">
        <f t="shared" ref="D5850:D5855" si="624">IF(OR(G5850="*",G5850="",G5850=0),0,COUNTIF($G$5850:$G$5855,G5850))</f>
        <v>0</v>
      </c>
      <c r="E5850" s="2721">
        <v>1</v>
      </c>
      <c r="F5850" s="294"/>
      <c r="G5850" s="2467" t="s">
        <v>2792</v>
      </c>
      <c r="H5850" s="2275"/>
      <c r="I5850" s="2276"/>
      <c r="M5850" s="291"/>
      <c r="N5850" s="291"/>
      <c r="O5850" s="291"/>
      <c r="P5850" s="291"/>
      <c r="S5850" s="364"/>
      <c r="Z5850" s="609" t="s">
        <v>2182</v>
      </c>
      <c r="AA5850" s="609"/>
    </row>
    <row r="5851" spans="1:27" ht="18">
      <c r="A5851" s="2714"/>
      <c r="B5851" s="371">
        <v>102</v>
      </c>
      <c r="C5851" s="371" t="s">
        <v>2791</v>
      </c>
      <c r="D5851" s="2716">
        <f t="shared" si="624"/>
        <v>0</v>
      </c>
      <c r="E5851" s="2721">
        <v>1</v>
      </c>
      <c r="F5851" s="294"/>
      <c r="G5851" s="2467" t="s">
        <v>2792</v>
      </c>
      <c r="H5851" s="2275"/>
      <c r="I5851" s="2276"/>
      <c r="M5851" s="291"/>
      <c r="N5851" s="291"/>
      <c r="O5851" s="291"/>
      <c r="P5851" s="291"/>
      <c r="S5851" s="364"/>
      <c r="Z5851" s="609" t="s">
        <v>2182</v>
      </c>
      <c r="AA5851" s="609"/>
    </row>
    <row r="5852" spans="1:27" ht="18">
      <c r="A5852" s="2714"/>
      <c r="B5852" s="371">
        <v>103</v>
      </c>
      <c r="C5852" s="371" t="s">
        <v>2791</v>
      </c>
      <c r="D5852" s="2716">
        <f t="shared" si="624"/>
        <v>0</v>
      </c>
      <c r="E5852" s="2721">
        <v>1</v>
      </c>
      <c r="F5852" s="294"/>
      <c r="G5852" s="2467" t="s">
        <v>2792</v>
      </c>
      <c r="H5852" s="2275"/>
      <c r="I5852" s="2276"/>
      <c r="M5852" s="291"/>
      <c r="N5852" s="291"/>
      <c r="O5852" s="291"/>
      <c r="P5852" s="291"/>
      <c r="S5852" s="364"/>
      <c r="Z5852" s="609" t="s">
        <v>2182</v>
      </c>
      <c r="AA5852" s="609"/>
    </row>
    <row r="5853" spans="1:27" ht="18">
      <c r="A5853" s="2714"/>
      <c r="B5853" s="371">
        <v>104</v>
      </c>
      <c r="C5853" s="371" t="s">
        <v>2791</v>
      </c>
      <c r="D5853" s="2716">
        <f t="shared" si="624"/>
        <v>0</v>
      </c>
      <c r="E5853" s="2721">
        <v>1</v>
      </c>
      <c r="F5853" s="294"/>
      <c r="G5853" s="2467" t="s">
        <v>2792</v>
      </c>
      <c r="H5853" s="2275"/>
      <c r="I5853" s="2276"/>
      <c r="M5853" s="291"/>
      <c r="N5853" s="291"/>
      <c r="O5853" s="291"/>
      <c r="P5853" s="291"/>
      <c r="S5853" s="364"/>
      <c r="Z5853" s="609" t="s">
        <v>2182</v>
      </c>
      <c r="AA5853" s="609"/>
    </row>
    <row r="5854" spans="1:27" ht="18">
      <c r="A5854" s="2714"/>
      <c r="B5854" s="371">
        <v>105</v>
      </c>
      <c r="C5854" s="371" t="s">
        <v>2791</v>
      </c>
      <c r="D5854" s="2716">
        <f t="shared" si="624"/>
        <v>0</v>
      </c>
      <c r="E5854" s="2721">
        <v>1</v>
      </c>
      <c r="F5854" s="294"/>
      <c r="G5854" s="2467" t="s">
        <v>2792</v>
      </c>
      <c r="H5854" s="2275"/>
      <c r="I5854" s="2276"/>
      <c r="M5854" s="291"/>
      <c r="N5854" s="291"/>
      <c r="O5854" s="291"/>
      <c r="P5854" s="291"/>
      <c r="S5854" s="364"/>
      <c r="Z5854" s="609" t="s">
        <v>2182</v>
      </c>
      <c r="AA5854" s="609"/>
    </row>
    <row r="5855" spans="1:27" ht="18.75" thickBot="1">
      <c r="A5855" s="2714"/>
      <c r="B5855" s="371"/>
      <c r="C5855" s="371"/>
      <c r="D5855" s="2716">
        <f t="shared" si="624"/>
        <v>1</v>
      </c>
      <c r="E5855" s="2721" t="s">
        <v>3032</v>
      </c>
      <c r="F5855" s="294"/>
      <c r="G5855" s="1529" t="s">
        <v>2752</v>
      </c>
      <c r="H5855" s="1527">
        <f>SUMPRODUCT($E5849:$E5854,H5849:H5854)</f>
        <v>0</v>
      </c>
      <c r="I5855" s="2266"/>
      <c r="M5855" s="291"/>
      <c r="N5855" s="291"/>
      <c r="O5855" s="291"/>
      <c r="P5855" s="291"/>
      <c r="S5855" s="364"/>
      <c r="Z5855" s="609" t="s">
        <v>2182</v>
      </c>
      <c r="AA5855" s="609"/>
    </row>
    <row r="5856" spans="1:27" ht="18">
      <c r="A5856" s="2714"/>
      <c r="B5856" s="371"/>
      <c r="C5856" s="371" t="s">
        <v>2755</v>
      </c>
      <c r="D5856" s="371"/>
      <c r="F5856" s="294"/>
      <c r="G5856" s="301"/>
      <c r="H5856" s="315"/>
      <c r="I5856" s="393"/>
      <c r="J5856" s="349"/>
      <c r="K5856" s="349"/>
      <c r="L5856" s="350"/>
      <c r="M5856" s="291"/>
      <c r="N5856" s="291"/>
      <c r="O5856" s="291"/>
      <c r="P5856" s="291"/>
      <c r="S5856" s="364"/>
      <c r="Z5856" s="609" t="s">
        <v>2182</v>
      </c>
      <c r="AA5856" s="609"/>
    </row>
    <row r="5857" spans="1:27" ht="24">
      <c r="A5857" s="2714" t="s">
        <v>2190</v>
      </c>
      <c r="B5857" s="371">
        <v>4</v>
      </c>
      <c r="C5857" s="371"/>
      <c r="D5857" s="2716" t="str">
        <f>VLOOKUP($A5857,Sheet_NoteList,2,0)</f>
        <v>报告年度不再作为非经常性损益列报的项目</v>
      </c>
      <c r="E5857" s="2716" t="s">
        <v>6531</v>
      </c>
      <c r="F5857" s="294"/>
      <c r="G5857" s="372" t="str">
        <f>"("&amp;B5857&amp;")"&amp;D5857</f>
        <v>(4)报告年度不再作为非经常性损益列报的项目</v>
      </c>
      <c r="H5857" s="1517" t="str">
        <f>$A5857</f>
        <v>9601d</v>
      </c>
      <c r="I5857" s="343" t="s">
        <v>5977</v>
      </c>
      <c r="J5857" s="301"/>
      <c r="K5857" s="3084"/>
      <c r="L5857" s="315"/>
      <c r="M5857" s="301"/>
      <c r="N5857" s="3084"/>
      <c r="O5857" s="315"/>
      <c r="P5857" s="301"/>
      <c r="S5857" s="364"/>
      <c r="Z5857" s="609" t="s">
        <v>2182</v>
      </c>
      <c r="AA5857" s="609"/>
    </row>
    <row r="5858" spans="1:27" ht="0.75" customHeight="1" thickBot="1">
      <c r="A5858" s="2714"/>
      <c r="B5858" s="371"/>
      <c r="C5858" s="371"/>
      <c r="D5858" s="371"/>
      <c r="E5858" s="586"/>
      <c r="F5858" s="586"/>
      <c r="G5858" s="586" t="s">
        <v>4707</v>
      </c>
      <c r="H5858" s="371" t="s">
        <v>4703</v>
      </c>
      <c r="I5858" s="371" t="s">
        <v>4704</v>
      </c>
      <c r="M5858" s="291"/>
      <c r="N5858" s="291"/>
      <c r="O5858" s="291"/>
      <c r="P5858" s="291"/>
      <c r="S5858" s="364"/>
      <c r="Z5858" s="609" t="s">
        <v>2182</v>
      </c>
      <c r="AA5858" s="609"/>
    </row>
    <row r="5859" spans="1:27" ht="18">
      <c r="A5859" s="2714"/>
      <c r="B5859" s="371"/>
      <c r="C5859" s="371"/>
      <c r="D5859" s="371"/>
      <c r="E5859" s="586" t="s">
        <v>2749</v>
      </c>
      <c r="F5859" s="363"/>
      <c r="G5859" s="2458" t="s">
        <v>47</v>
      </c>
      <c r="H5859" s="2459" t="s">
        <v>4705</v>
      </c>
      <c r="I5859" s="2460" t="s">
        <v>4660</v>
      </c>
      <c r="M5859" s="291"/>
      <c r="N5859" s="291"/>
      <c r="O5859" s="291"/>
      <c r="P5859" s="291"/>
      <c r="S5859" s="364"/>
      <c r="Z5859" s="609" t="s">
        <v>2182</v>
      </c>
      <c r="AA5859" s="609"/>
    </row>
    <row r="5860" spans="1:27" ht="18">
      <c r="A5860" s="2714"/>
      <c r="B5860" s="371">
        <v>101</v>
      </c>
      <c r="C5860" s="371" t="s">
        <v>2791</v>
      </c>
      <c r="D5860" s="2716">
        <f t="shared" ref="D5860:D5865" si="625">IF(OR(G5860="*",G5860="",G5860=0),0,COUNTIF($G$5860:$G$5865,G5860))</f>
        <v>0</v>
      </c>
      <c r="E5860" s="2721">
        <v>1</v>
      </c>
      <c r="F5860" s="294"/>
      <c r="G5860" s="2467" t="s">
        <v>2792</v>
      </c>
      <c r="H5860" s="2275"/>
      <c r="I5860" s="2276"/>
      <c r="M5860" s="291"/>
      <c r="N5860" s="291"/>
      <c r="O5860" s="291"/>
      <c r="P5860" s="291"/>
      <c r="S5860" s="364"/>
      <c r="Z5860" s="609" t="s">
        <v>2182</v>
      </c>
      <c r="AA5860" s="609"/>
    </row>
    <row r="5861" spans="1:27" ht="18">
      <c r="A5861" s="2714"/>
      <c r="B5861" s="371">
        <v>102</v>
      </c>
      <c r="C5861" s="371" t="s">
        <v>2791</v>
      </c>
      <c r="D5861" s="2716">
        <f t="shared" si="625"/>
        <v>0</v>
      </c>
      <c r="E5861" s="2721">
        <v>1</v>
      </c>
      <c r="F5861" s="294"/>
      <c r="G5861" s="2467" t="s">
        <v>2792</v>
      </c>
      <c r="H5861" s="2275"/>
      <c r="I5861" s="2276"/>
      <c r="M5861" s="291"/>
      <c r="N5861" s="291"/>
      <c r="O5861" s="291"/>
      <c r="P5861" s="291"/>
      <c r="S5861" s="364"/>
      <c r="Z5861" s="609" t="s">
        <v>2182</v>
      </c>
      <c r="AA5861" s="609"/>
    </row>
    <row r="5862" spans="1:27" ht="18">
      <c r="A5862" s="2714"/>
      <c r="B5862" s="371">
        <v>103</v>
      </c>
      <c r="C5862" s="371" t="s">
        <v>2791</v>
      </c>
      <c r="D5862" s="2716">
        <f t="shared" si="625"/>
        <v>0</v>
      </c>
      <c r="E5862" s="2721">
        <v>1</v>
      </c>
      <c r="F5862" s="294"/>
      <c r="G5862" s="2467" t="s">
        <v>2792</v>
      </c>
      <c r="H5862" s="2275"/>
      <c r="I5862" s="2276"/>
      <c r="M5862" s="291"/>
      <c r="N5862" s="291"/>
      <c r="O5862" s="291"/>
      <c r="P5862" s="291"/>
      <c r="S5862" s="364"/>
      <c r="Z5862" s="609" t="s">
        <v>2182</v>
      </c>
      <c r="AA5862" s="609"/>
    </row>
    <row r="5863" spans="1:27" ht="18">
      <c r="A5863" s="2714"/>
      <c r="B5863" s="371">
        <v>104</v>
      </c>
      <c r="C5863" s="371" t="s">
        <v>2791</v>
      </c>
      <c r="D5863" s="2716">
        <f t="shared" si="625"/>
        <v>0</v>
      </c>
      <c r="E5863" s="2721">
        <v>1</v>
      </c>
      <c r="F5863" s="294"/>
      <c r="G5863" s="2467" t="s">
        <v>2792</v>
      </c>
      <c r="H5863" s="2275"/>
      <c r="I5863" s="2276"/>
      <c r="M5863" s="291"/>
      <c r="N5863" s="291"/>
      <c r="O5863" s="291"/>
      <c r="P5863" s="291"/>
      <c r="S5863" s="364"/>
      <c r="Z5863" s="609" t="s">
        <v>2182</v>
      </c>
      <c r="AA5863" s="609"/>
    </row>
    <row r="5864" spans="1:27" ht="18">
      <c r="A5864" s="2714"/>
      <c r="B5864" s="371">
        <v>105</v>
      </c>
      <c r="C5864" s="371" t="s">
        <v>2791</v>
      </c>
      <c r="D5864" s="2716">
        <f t="shared" si="625"/>
        <v>0</v>
      </c>
      <c r="E5864" s="2721">
        <v>1</v>
      </c>
      <c r="F5864" s="294"/>
      <c r="G5864" s="2467" t="s">
        <v>2792</v>
      </c>
      <c r="H5864" s="2275"/>
      <c r="I5864" s="2276"/>
      <c r="M5864" s="291"/>
      <c r="N5864" s="291"/>
      <c r="O5864" s="291"/>
      <c r="P5864" s="291"/>
      <c r="S5864" s="364"/>
      <c r="Z5864" s="609" t="s">
        <v>2182</v>
      </c>
      <c r="AA5864" s="609"/>
    </row>
    <row r="5865" spans="1:27" ht="18.75" thickBot="1">
      <c r="A5865" s="2714"/>
      <c r="B5865" s="371"/>
      <c r="C5865" s="371"/>
      <c r="D5865" s="2716">
        <f t="shared" si="625"/>
        <v>1</v>
      </c>
      <c r="E5865" s="2721" t="s">
        <v>3032</v>
      </c>
      <c r="F5865" s="294"/>
      <c r="G5865" s="1529" t="s">
        <v>2752</v>
      </c>
      <c r="H5865" s="1527">
        <f>SUMPRODUCT($E5859:$E5864,H5859:H5864)</f>
        <v>0</v>
      </c>
      <c r="I5865" s="2266"/>
      <c r="M5865" s="291"/>
      <c r="N5865" s="291"/>
      <c r="O5865" s="291"/>
      <c r="P5865" s="291"/>
      <c r="S5865" s="364"/>
      <c r="Z5865" s="609" t="s">
        <v>2182</v>
      </c>
      <c r="AA5865" s="609"/>
    </row>
    <row r="5866" spans="1:27" ht="18.75" thickBot="1">
      <c r="A5866" s="2714"/>
      <c r="B5866" s="371"/>
      <c r="C5866" s="371" t="s">
        <v>2755</v>
      </c>
      <c r="D5866" s="371"/>
      <c r="F5866" s="294"/>
      <c r="G5866" s="301"/>
      <c r="H5866" s="315"/>
      <c r="I5866" s="393"/>
      <c r="J5866" s="349"/>
      <c r="K5866" s="349"/>
      <c r="L5866" s="350"/>
      <c r="M5866" s="291"/>
      <c r="N5866" s="291"/>
      <c r="O5866" s="291"/>
      <c r="P5866" s="291"/>
      <c r="S5866" s="364"/>
      <c r="Z5866" s="609" t="s">
        <v>2182</v>
      </c>
      <c r="AA5866" s="609"/>
    </row>
    <row r="5867" spans="1:27" ht="18.75" thickBot="1">
      <c r="A5867" s="2714"/>
      <c r="B5867" s="371"/>
      <c r="C5867" s="371"/>
      <c r="D5867" s="371"/>
      <c r="F5867" s="294"/>
      <c r="G5867" s="627" t="s">
        <v>4708</v>
      </c>
      <c r="H5867" s="628" t="s">
        <v>4709</v>
      </c>
      <c r="I5867" s="629"/>
      <c r="J5867" s="630"/>
      <c r="K5867" s="630"/>
      <c r="L5867" s="630"/>
      <c r="M5867" s="630"/>
      <c r="N5867" s="631"/>
      <c r="S5867" s="364"/>
      <c r="Z5867" s="609" t="s">
        <v>4710</v>
      </c>
      <c r="AA5867" s="609"/>
    </row>
    <row r="5868" spans="1:27" ht="18">
      <c r="A5868" s="2714">
        <v>7001</v>
      </c>
      <c r="B5868" s="371">
        <v>78.709999999999994</v>
      </c>
      <c r="C5868" s="2716" t="str">
        <f>VLOOKUP($A5868,Sheet_Items,2,0)</f>
        <v>销售商品提供劳务收到的现金</v>
      </c>
      <c r="D5868" s="371"/>
      <c r="E5868" s="2716" t="s">
        <v>2739</v>
      </c>
      <c r="F5868" s="294"/>
      <c r="G5868" s="536" t="str">
        <f>B5868&amp;" "&amp;C5868</f>
        <v>78.71 销售商品提供劳务收到的现金</v>
      </c>
      <c r="H5868" s="322"/>
      <c r="I5868" s="322"/>
      <c r="J5868" s="306" t="s">
        <v>4206</v>
      </c>
      <c r="K5868" s="341">
        <f>VLOOKUP($A5868,Sheet_Trialbal,6,0)</f>
        <v>57038231</v>
      </c>
      <c r="L5868" s="342"/>
      <c r="M5868" s="306"/>
      <c r="N5868" s="341"/>
      <c r="O5868" s="306"/>
      <c r="P5868" s="301"/>
      <c r="S5868" s="364"/>
      <c r="Z5868" s="609" t="s">
        <v>4711</v>
      </c>
      <c r="AA5868" s="609"/>
    </row>
    <row r="5869" spans="1:27" ht="24">
      <c r="A5869" s="2714" t="s">
        <v>1944</v>
      </c>
      <c r="B5869" s="371">
        <v>1</v>
      </c>
      <c r="C5869" s="371"/>
      <c r="D5869" s="2716" t="str">
        <f>VLOOKUP($A5869,Sheet_NoteList,2,0)</f>
        <v>销售商品提供劳务收到的现金计算表</v>
      </c>
      <c r="E5869" s="2716" t="s">
        <v>2742</v>
      </c>
      <c r="F5869" s="294"/>
      <c r="G5869" s="483" t="str">
        <f>"("&amp;B5869&amp;")"&amp;D5869</f>
        <v>(1)销售商品提供劳务收到的现金计算表</v>
      </c>
      <c r="H5869" s="1517" t="str">
        <f>$A5869</f>
        <v>7001x</v>
      </c>
      <c r="I5869" s="343" t="s">
        <v>2743</v>
      </c>
      <c r="J5869" s="301" t="s">
        <v>4712</v>
      </c>
      <c r="K5869" s="2210">
        <f>I5877</f>
        <v>0</v>
      </c>
      <c r="L5869" s="345">
        <f>IF(ROUND(K5868-K5869,2)=0,"F/S",ROUND(K5868-K5869,2))</f>
        <v>57038231</v>
      </c>
      <c r="M5869" s="532" t="s">
        <v>4713</v>
      </c>
      <c r="N5869" s="3084"/>
      <c r="O5869" s="315"/>
      <c r="P5869" s="301"/>
      <c r="S5869" s="364"/>
      <c r="Z5869" s="609" t="s">
        <v>4711</v>
      </c>
      <c r="AA5869" s="609"/>
    </row>
    <row r="5870" spans="1:27" ht="0.75" customHeight="1" thickBot="1">
      <c r="A5870" s="2714"/>
      <c r="B5870" s="371"/>
      <c r="C5870" s="371"/>
      <c r="D5870" s="371"/>
      <c r="F5870" s="371"/>
      <c r="G5870" s="371" t="s">
        <v>4714</v>
      </c>
      <c r="H5870" s="371" t="s">
        <v>4715</v>
      </c>
      <c r="I5870" s="371" t="s">
        <v>4716</v>
      </c>
      <c r="J5870" s="371" t="s">
        <v>3671</v>
      </c>
      <c r="K5870" s="291"/>
      <c r="L5870" s="291"/>
      <c r="M5870" s="291"/>
      <c r="S5870" s="364"/>
      <c r="Z5870" s="609" t="s">
        <v>4711</v>
      </c>
      <c r="AA5870" s="609"/>
    </row>
    <row r="5871" spans="1:27" ht="18">
      <c r="A5871" s="2714"/>
      <c r="B5871" s="371"/>
      <c r="C5871" s="371"/>
      <c r="D5871" s="371"/>
      <c r="E5871" s="2716" t="s">
        <v>2749</v>
      </c>
      <c r="F5871" s="294"/>
      <c r="G5871" s="1564" t="s">
        <v>47</v>
      </c>
      <c r="H5871" s="1565" t="s">
        <v>4717</v>
      </c>
      <c r="I5871" s="1565" t="s">
        <v>2887</v>
      </c>
      <c r="J5871" s="1566" t="s">
        <v>2758</v>
      </c>
      <c r="K5871" s="575"/>
      <c r="L5871" s="291"/>
      <c r="M5871" s="291"/>
      <c r="S5871" s="364"/>
      <c r="Z5871" s="609" t="s">
        <v>4711</v>
      </c>
      <c r="AA5871" s="609"/>
    </row>
    <row r="5872" spans="1:27" ht="18">
      <c r="A5872" s="2714"/>
      <c r="B5872" s="371">
        <v>101</v>
      </c>
      <c r="C5872" s="371" t="s">
        <v>2791</v>
      </c>
      <c r="D5872" s="2716">
        <f t="shared" ref="D5872:D5877" si="626">IF(OR(G5872="*",G5872="",G5872=0),0,COUNTIF($G$5872:$G$5877,G5872))</f>
        <v>0</v>
      </c>
      <c r="E5872" s="2721">
        <v>1</v>
      </c>
      <c r="F5872" s="294"/>
      <c r="G5872" s="1563" t="s">
        <v>2792</v>
      </c>
      <c r="H5872" s="360"/>
      <c r="I5872" s="309"/>
      <c r="J5872" s="388"/>
      <c r="K5872" s="291"/>
      <c r="L5872" s="291"/>
      <c r="M5872" s="291"/>
      <c r="S5872" s="364"/>
      <c r="Z5872" s="609" t="s">
        <v>4711</v>
      </c>
      <c r="AA5872" s="609"/>
    </row>
    <row r="5873" spans="1:27" ht="18">
      <c r="A5873" s="2714"/>
      <c r="B5873" s="371">
        <v>102</v>
      </c>
      <c r="C5873" s="371" t="s">
        <v>2791</v>
      </c>
      <c r="D5873" s="2716">
        <f t="shared" si="626"/>
        <v>0</v>
      </c>
      <c r="E5873" s="2721">
        <v>1</v>
      </c>
      <c r="F5873" s="294"/>
      <c r="G5873" s="1563" t="s">
        <v>2792</v>
      </c>
      <c r="H5873" s="360"/>
      <c r="I5873" s="309"/>
      <c r="J5873" s="388"/>
      <c r="K5873" s="291"/>
      <c r="L5873" s="291"/>
      <c r="M5873" s="291"/>
      <c r="S5873" s="364"/>
      <c r="Z5873" s="609" t="s">
        <v>4711</v>
      </c>
      <c r="AA5873" s="609"/>
    </row>
    <row r="5874" spans="1:27" ht="18">
      <c r="A5874" s="2714"/>
      <c r="B5874" s="371">
        <v>103</v>
      </c>
      <c r="C5874" s="371" t="s">
        <v>2791</v>
      </c>
      <c r="D5874" s="2716">
        <f t="shared" si="626"/>
        <v>0</v>
      </c>
      <c r="E5874" s="2721">
        <v>1</v>
      </c>
      <c r="F5874" s="294"/>
      <c r="G5874" s="1563" t="s">
        <v>2792</v>
      </c>
      <c r="H5874" s="360"/>
      <c r="I5874" s="309"/>
      <c r="J5874" s="388"/>
      <c r="K5874" s="291"/>
      <c r="L5874" s="291"/>
      <c r="M5874" s="291"/>
      <c r="S5874" s="364"/>
      <c r="Z5874" s="609" t="s">
        <v>4711</v>
      </c>
      <c r="AA5874" s="609"/>
    </row>
    <row r="5875" spans="1:27" ht="18">
      <c r="A5875" s="2714"/>
      <c r="B5875" s="371">
        <v>104</v>
      </c>
      <c r="C5875" s="371" t="s">
        <v>2791</v>
      </c>
      <c r="D5875" s="2716">
        <f t="shared" si="626"/>
        <v>0</v>
      </c>
      <c r="E5875" s="2721">
        <v>1</v>
      </c>
      <c r="F5875" s="294"/>
      <c r="G5875" s="1563" t="s">
        <v>2792</v>
      </c>
      <c r="H5875" s="360"/>
      <c r="I5875" s="309"/>
      <c r="J5875" s="388"/>
      <c r="K5875" s="291"/>
      <c r="L5875" s="291"/>
      <c r="M5875" s="291"/>
      <c r="S5875" s="364"/>
      <c r="Z5875" s="609" t="s">
        <v>4711</v>
      </c>
      <c r="AA5875" s="609"/>
    </row>
    <row r="5876" spans="1:27" ht="18">
      <c r="A5876" s="2714"/>
      <c r="B5876" s="371">
        <v>105</v>
      </c>
      <c r="C5876" s="371" t="s">
        <v>2791</v>
      </c>
      <c r="D5876" s="2716">
        <f t="shared" si="626"/>
        <v>0</v>
      </c>
      <c r="E5876" s="2721">
        <v>1</v>
      </c>
      <c r="F5876" s="294"/>
      <c r="G5876" s="1563" t="s">
        <v>2792</v>
      </c>
      <c r="H5876" s="360"/>
      <c r="I5876" s="309"/>
      <c r="J5876" s="388"/>
      <c r="K5876" s="291"/>
      <c r="L5876" s="291"/>
      <c r="M5876" s="291"/>
      <c r="S5876" s="364"/>
      <c r="Z5876" s="609" t="s">
        <v>4711</v>
      </c>
      <c r="AA5876" s="609"/>
    </row>
    <row r="5877" spans="1:27" ht="18.75" thickBot="1">
      <c r="A5877" s="2714"/>
      <c r="B5877" s="371"/>
      <c r="C5877" s="371"/>
      <c r="D5877" s="2716">
        <f t="shared" si="626"/>
        <v>1</v>
      </c>
      <c r="E5877" s="2721" t="s">
        <v>2751</v>
      </c>
      <c r="F5877" s="294"/>
      <c r="G5877" s="1529" t="s">
        <v>2752</v>
      </c>
      <c r="H5877" s="1570"/>
      <c r="I5877" s="1527">
        <f>SUMPRODUCT($E5871:$E5876,I5871:I5876)</f>
        <v>0</v>
      </c>
      <c r="J5877" s="1571"/>
      <c r="K5877" s="291"/>
      <c r="L5877" s="291"/>
      <c r="M5877" s="291"/>
      <c r="S5877" s="364"/>
      <c r="Z5877" s="609" t="s">
        <v>4711</v>
      </c>
      <c r="AA5877" s="609"/>
    </row>
    <row r="5878" spans="1:27" ht="18">
      <c r="A5878" s="2714"/>
      <c r="B5878" s="371"/>
      <c r="C5878" s="371" t="s">
        <v>2755</v>
      </c>
      <c r="D5878" s="371"/>
      <c r="F5878" s="294"/>
      <c r="G5878" s="301"/>
      <c r="H5878" s="393"/>
      <c r="I5878" s="315"/>
      <c r="J5878" s="393"/>
      <c r="K5878" s="291"/>
      <c r="L5878" s="291"/>
      <c r="M5878" s="291"/>
      <c r="S5878" s="364"/>
      <c r="Z5878" s="609" t="s">
        <v>4711</v>
      </c>
      <c r="AA5878" s="609"/>
    </row>
    <row r="5879" spans="1:27" ht="18">
      <c r="A5879" s="2714">
        <v>7046</v>
      </c>
      <c r="B5879" s="371">
        <v>78.099999999999994</v>
      </c>
      <c r="C5879" s="2716" t="str">
        <f>VLOOKUP($A5879,Sheet_Items,2,0)</f>
        <v>收到其他与经营活动有关的现金</v>
      </c>
      <c r="D5879" s="371"/>
      <c r="E5879" s="2716" t="s">
        <v>2739</v>
      </c>
      <c r="F5879" s="294"/>
      <c r="G5879" s="536" t="str">
        <f>B5879&amp;" "&amp;C5879</f>
        <v>78.1 收到其他与经营活动有关的现金</v>
      </c>
      <c r="H5879" s="322"/>
      <c r="I5879" s="322"/>
      <c r="J5879" s="306" t="s">
        <v>4206</v>
      </c>
      <c r="K5879" s="341">
        <f>VLOOKUP($A5879,Sheet_Trialbal,6,0)</f>
        <v>36993105.18</v>
      </c>
      <c r="L5879" s="342"/>
      <c r="M5879" s="306"/>
      <c r="N5879" s="341"/>
      <c r="O5879" s="306"/>
      <c r="P5879" s="301"/>
      <c r="S5879" s="364"/>
      <c r="Z5879" s="609" t="s">
        <v>4384</v>
      </c>
      <c r="AA5879" s="609"/>
    </row>
    <row r="5880" spans="1:27" ht="24">
      <c r="A5880" s="2714" t="s">
        <v>1948</v>
      </c>
      <c r="B5880" s="371">
        <v>1</v>
      </c>
      <c r="C5880" s="371"/>
      <c r="D5880" s="2716" t="str">
        <f>VLOOKUP($A5880,Sheet_NoteList,2,0)</f>
        <v>收到其他与经营活动有关的现金计算表</v>
      </c>
      <c r="E5880" s="2716" t="s">
        <v>2742</v>
      </c>
      <c r="F5880" s="294"/>
      <c r="G5880" s="483" t="str">
        <f>"("&amp;B5880&amp;")"&amp;D5880</f>
        <v>(1)收到其他与经营活动有关的现金计算表</v>
      </c>
      <c r="H5880" s="1517" t="str">
        <f>$A5880</f>
        <v>7046x</v>
      </c>
      <c r="I5880" s="343" t="s">
        <v>2743</v>
      </c>
      <c r="J5880" s="301" t="s">
        <v>4712</v>
      </c>
      <c r="K5880" s="2210">
        <f>I5888</f>
        <v>0</v>
      </c>
      <c r="L5880" s="345">
        <f>IF(ROUND(K5879-K5880,2)=0,"F/S",ROUND(K5879-K5880,2))</f>
        <v>36993105.18</v>
      </c>
      <c r="M5880" s="532" t="s">
        <v>4713</v>
      </c>
      <c r="N5880" s="3084"/>
      <c r="O5880" s="315"/>
      <c r="P5880" s="301"/>
      <c r="S5880" s="364"/>
      <c r="Z5880" s="609" t="s">
        <v>4384</v>
      </c>
      <c r="AA5880" s="609"/>
    </row>
    <row r="5881" spans="1:27" ht="0.75" customHeight="1" thickBot="1">
      <c r="A5881" s="2714"/>
      <c r="B5881" s="371"/>
      <c r="C5881" s="371"/>
      <c r="D5881" s="371"/>
      <c r="F5881" s="371"/>
      <c r="G5881" s="371" t="s">
        <v>4718</v>
      </c>
      <c r="H5881" s="371" t="s">
        <v>4715</v>
      </c>
      <c r="I5881" s="371" t="s">
        <v>4716</v>
      </c>
      <c r="J5881" s="371" t="s">
        <v>3671</v>
      </c>
      <c r="K5881" s="291"/>
      <c r="L5881" s="291"/>
      <c r="M5881" s="291"/>
      <c r="S5881" s="364"/>
      <c r="Z5881" s="609" t="s">
        <v>4384</v>
      </c>
      <c r="AA5881" s="609"/>
    </row>
    <row r="5882" spans="1:27" ht="18">
      <c r="A5882" s="2714"/>
      <c r="B5882" s="371"/>
      <c r="C5882" s="371"/>
      <c r="D5882" s="371"/>
      <c r="E5882" s="2716" t="s">
        <v>2749</v>
      </c>
      <c r="F5882" s="294"/>
      <c r="G5882" s="1564" t="s">
        <v>47</v>
      </c>
      <c r="H5882" s="1565" t="s">
        <v>4717</v>
      </c>
      <c r="I5882" s="1565" t="s">
        <v>2887</v>
      </c>
      <c r="J5882" s="1566" t="s">
        <v>2758</v>
      </c>
      <c r="K5882" s="291"/>
      <c r="L5882" s="291"/>
      <c r="M5882" s="291"/>
      <c r="S5882" s="364"/>
      <c r="Z5882" s="609" t="s">
        <v>4384</v>
      </c>
      <c r="AA5882" s="609"/>
    </row>
    <row r="5883" spans="1:27" ht="18">
      <c r="A5883" s="2714"/>
      <c r="B5883" s="371">
        <v>101</v>
      </c>
      <c r="C5883" s="371" t="s">
        <v>2791</v>
      </c>
      <c r="D5883" s="2716">
        <f t="shared" ref="D5883:D5888" si="627">IF(OR(G5883="*",G5883="",G5883=0),0,COUNTIF($G$5883:$G$5888,G5883))</f>
        <v>0</v>
      </c>
      <c r="E5883" s="2721">
        <v>1</v>
      </c>
      <c r="F5883" s="294"/>
      <c r="G5883" s="1563" t="s">
        <v>2792</v>
      </c>
      <c r="H5883" s="360"/>
      <c r="I5883" s="309"/>
      <c r="J5883" s="388"/>
      <c r="K5883" s="291"/>
      <c r="L5883" s="291"/>
      <c r="M5883" s="291"/>
      <c r="S5883" s="364"/>
      <c r="Z5883" s="609" t="s">
        <v>4384</v>
      </c>
      <c r="AA5883" s="609"/>
    </row>
    <row r="5884" spans="1:27" ht="18">
      <c r="A5884" s="2714"/>
      <c r="B5884" s="371">
        <v>102</v>
      </c>
      <c r="C5884" s="371" t="s">
        <v>2791</v>
      </c>
      <c r="D5884" s="2716">
        <f t="shared" si="627"/>
        <v>0</v>
      </c>
      <c r="E5884" s="2721">
        <v>1</v>
      </c>
      <c r="F5884" s="294"/>
      <c r="G5884" s="1563" t="s">
        <v>2792</v>
      </c>
      <c r="H5884" s="360"/>
      <c r="I5884" s="309"/>
      <c r="J5884" s="388"/>
      <c r="K5884" s="291"/>
      <c r="L5884" s="291"/>
      <c r="M5884" s="291"/>
      <c r="S5884" s="364"/>
      <c r="Z5884" s="609" t="s">
        <v>4384</v>
      </c>
      <c r="AA5884" s="609"/>
    </row>
    <row r="5885" spans="1:27" ht="18">
      <c r="A5885" s="2714"/>
      <c r="B5885" s="371">
        <v>103</v>
      </c>
      <c r="C5885" s="371" t="s">
        <v>2791</v>
      </c>
      <c r="D5885" s="2716">
        <f t="shared" si="627"/>
        <v>0</v>
      </c>
      <c r="E5885" s="2721">
        <v>1</v>
      </c>
      <c r="F5885" s="294"/>
      <c r="G5885" s="1563" t="s">
        <v>2792</v>
      </c>
      <c r="H5885" s="360"/>
      <c r="I5885" s="309"/>
      <c r="J5885" s="388"/>
      <c r="K5885" s="291"/>
      <c r="L5885" s="291"/>
      <c r="M5885" s="291"/>
      <c r="S5885" s="364"/>
      <c r="Z5885" s="609" t="s">
        <v>4384</v>
      </c>
      <c r="AA5885" s="609"/>
    </row>
    <row r="5886" spans="1:27" ht="18">
      <c r="A5886" s="2714"/>
      <c r="B5886" s="371">
        <v>104</v>
      </c>
      <c r="C5886" s="371" t="s">
        <v>2791</v>
      </c>
      <c r="D5886" s="2716">
        <f t="shared" si="627"/>
        <v>0</v>
      </c>
      <c r="E5886" s="2721">
        <v>1</v>
      </c>
      <c r="F5886" s="294"/>
      <c r="G5886" s="1563" t="s">
        <v>2792</v>
      </c>
      <c r="H5886" s="360"/>
      <c r="I5886" s="309"/>
      <c r="J5886" s="388"/>
      <c r="K5886" s="291"/>
      <c r="L5886" s="291"/>
      <c r="M5886" s="291"/>
      <c r="S5886" s="364"/>
      <c r="Z5886" s="609" t="s">
        <v>4384</v>
      </c>
      <c r="AA5886" s="609"/>
    </row>
    <row r="5887" spans="1:27" ht="18">
      <c r="A5887" s="2714"/>
      <c r="B5887" s="371">
        <v>105</v>
      </c>
      <c r="C5887" s="371" t="s">
        <v>2791</v>
      </c>
      <c r="D5887" s="2716">
        <f t="shared" si="627"/>
        <v>0</v>
      </c>
      <c r="E5887" s="2721">
        <v>1</v>
      </c>
      <c r="F5887" s="294"/>
      <c r="G5887" s="1563" t="s">
        <v>2792</v>
      </c>
      <c r="H5887" s="360"/>
      <c r="I5887" s="309"/>
      <c r="J5887" s="388"/>
      <c r="K5887" s="291"/>
      <c r="L5887" s="291"/>
      <c r="M5887" s="291"/>
      <c r="S5887" s="364"/>
      <c r="Z5887" s="609" t="s">
        <v>4384</v>
      </c>
      <c r="AA5887" s="609"/>
    </row>
    <row r="5888" spans="1:27" ht="18.75" thickBot="1">
      <c r="A5888" s="2714"/>
      <c r="B5888" s="371"/>
      <c r="C5888" s="371"/>
      <c r="D5888" s="2716">
        <f t="shared" si="627"/>
        <v>1</v>
      </c>
      <c r="E5888" s="2721" t="s">
        <v>2751</v>
      </c>
      <c r="F5888" s="294"/>
      <c r="G5888" s="1529" t="s">
        <v>2752</v>
      </c>
      <c r="H5888" s="1570"/>
      <c r="I5888" s="1527">
        <f>SUMPRODUCT($E5882:$E5887,I5882:I5887)</f>
        <v>0</v>
      </c>
      <c r="J5888" s="1571"/>
      <c r="K5888" s="291"/>
      <c r="L5888" s="291"/>
      <c r="M5888" s="291"/>
      <c r="S5888" s="364"/>
      <c r="Z5888" s="609" t="s">
        <v>4384</v>
      </c>
      <c r="AA5888" s="609"/>
    </row>
    <row r="5889" spans="1:27" ht="18">
      <c r="A5889" s="2714"/>
      <c r="B5889" s="371"/>
      <c r="C5889" s="371" t="s">
        <v>2755</v>
      </c>
      <c r="D5889" s="371"/>
      <c r="F5889" s="294"/>
      <c r="G5889" s="301"/>
      <c r="H5889" s="393"/>
      <c r="I5889" s="315"/>
      <c r="J5889" s="393"/>
      <c r="K5889" s="291"/>
      <c r="L5889" s="291"/>
      <c r="M5889" s="291"/>
      <c r="S5889" s="364"/>
      <c r="Z5889" s="609" t="s">
        <v>4384</v>
      </c>
      <c r="AA5889" s="609"/>
    </row>
    <row r="5890" spans="1:27" ht="18">
      <c r="A5890" s="2714">
        <v>7051</v>
      </c>
      <c r="B5890" s="371">
        <v>78.72</v>
      </c>
      <c r="C5890" s="2716" t="str">
        <f>VLOOKUP($A5890,Sheet_Items,2,0)</f>
        <v>购买商品接受劳务支付的现金</v>
      </c>
      <c r="D5890" s="371"/>
      <c r="E5890" s="2716" t="s">
        <v>2739</v>
      </c>
      <c r="F5890" s="294"/>
      <c r="G5890" s="536" t="str">
        <f>B5890&amp;" "&amp;C5890</f>
        <v>78.72 购买商品接受劳务支付的现金</v>
      </c>
      <c r="H5890" s="322"/>
      <c r="I5890" s="322"/>
      <c r="J5890" s="306" t="s">
        <v>4206</v>
      </c>
      <c r="K5890" s="341">
        <f>VLOOKUP($A5890,Sheet_Trialbal,6,0)</f>
        <v>0</v>
      </c>
      <c r="L5890" s="342"/>
      <c r="M5890" s="306"/>
      <c r="N5890" s="341"/>
      <c r="O5890" s="306"/>
      <c r="P5890" s="301"/>
      <c r="S5890" s="364"/>
      <c r="Z5890" s="609" t="s">
        <v>4719</v>
      </c>
      <c r="AA5890" s="609"/>
    </row>
    <row r="5891" spans="1:27" ht="24">
      <c r="A5891" s="2714" t="s">
        <v>1951</v>
      </c>
      <c r="B5891" s="371">
        <v>1</v>
      </c>
      <c r="C5891" s="371"/>
      <c r="D5891" s="2716" t="str">
        <f>VLOOKUP($A5891,Sheet_NoteList,2,0)</f>
        <v>购买商品接受劳务支付的现金计算表</v>
      </c>
      <c r="E5891" s="2716" t="s">
        <v>2742</v>
      </c>
      <c r="F5891" s="294"/>
      <c r="G5891" s="483" t="str">
        <f>"("&amp;B5891&amp;")"&amp;D5891</f>
        <v>(1)购买商品接受劳务支付的现金计算表</v>
      </c>
      <c r="H5891" s="1517" t="str">
        <f>$A5891</f>
        <v>7051x</v>
      </c>
      <c r="I5891" s="343" t="s">
        <v>2743</v>
      </c>
      <c r="J5891" s="301" t="s">
        <v>4712</v>
      </c>
      <c r="K5891" s="2210">
        <f>I5899</f>
        <v>0</v>
      </c>
      <c r="L5891" s="345" t="str">
        <f>IF(ROUND(K5890-K5891,2)=0,"F/S",ROUND(K5890-K5891,2))</f>
        <v>F/S</v>
      </c>
      <c r="M5891" s="532" t="s">
        <v>4713</v>
      </c>
      <c r="N5891" s="3084"/>
      <c r="O5891" s="315"/>
      <c r="P5891" s="301"/>
      <c r="S5891" s="364"/>
      <c r="Z5891" s="609" t="s">
        <v>4719</v>
      </c>
      <c r="AA5891" s="609"/>
    </row>
    <row r="5892" spans="1:27" ht="0.75" customHeight="1" thickBot="1">
      <c r="A5892" s="2714"/>
      <c r="B5892" s="371"/>
      <c r="C5892" s="371"/>
      <c r="D5892" s="371"/>
      <c r="F5892" s="371"/>
      <c r="G5892" s="371" t="s">
        <v>4720</v>
      </c>
      <c r="H5892" s="371" t="s">
        <v>4715</v>
      </c>
      <c r="I5892" s="371" t="s">
        <v>4716</v>
      </c>
      <c r="J5892" s="371" t="s">
        <v>3671</v>
      </c>
      <c r="K5892" s="291"/>
      <c r="L5892" s="291"/>
      <c r="M5892" s="291"/>
      <c r="S5892" s="364"/>
      <c r="Z5892" s="609" t="s">
        <v>4719</v>
      </c>
      <c r="AA5892" s="609"/>
    </row>
    <row r="5893" spans="1:27" ht="18">
      <c r="A5893" s="2714"/>
      <c r="B5893" s="371"/>
      <c r="C5893" s="371"/>
      <c r="D5893" s="371"/>
      <c r="E5893" s="2716" t="s">
        <v>2749</v>
      </c>
      <c r="F5893" s="294"/>
      <c r="G5893" s="1564" t="s">
        <v>47</v>
      </c>
      <c r="H5893" s="1565" t="s">
        <v>4717</v>
      </c>
      <c r="I5893" s="1565" t="s">
        <v>2887</v>
      </c>
      <c r="J5893" s="1566" t="s">
        <v>2758</v>
      </c>
      <c r="K5893" s="291"/>
      <c r="L5893" s="291"/>
      <c r="M5893" s="291"/>
      <c r="S5893" s="364"/>
      <c r="Z5893" s="609" t="s">
        <v>4719</v>
      </c>
      <c r="AA5893" s="609"/>
    </row>
    <row r="5894" spans="1:27" ht="18">
      <c r="A5894" s="2714"/>
      <c r="B5894" s="371">
        <v>101</v>
      </c>
      <c r="C5894" s="371" t="s">
        <v>2791</v>
      </c>
      <c r="D5894" s="2716">
        <f t="shared" ref="D5894:D5899" si="628">IF(OR(G5894="*",G5894="",G5894=0),0,COUNTIF($G$5894:$G$5899,G5894))</f>
        <v>0</v>
      </c>
      <c r="E5894" s="2721">
        <v>1</v>
      </c>
      <c r="F5894" s="294"/>
      <c r="G5894" s="1563" t="s">
        <v>2792</v>
      </c>
      <c r="H5894" s="360"/>
      <c r="I5894" s="309"/>
      <c r="J5894" s="388"/>
      <c r="K5894" s="291"/>
      <c r="L5894" s="291"/>
      <c r="M5894" s="291"/>
      <c r="S5894" s="364"/>
      <c r="Z5894" s="609" t="s">
        <v>4719</v>
      </c>
      <c r="AA5894" s="609"/>
    </row>
    <row r="5895" spans="1:27" ht="18">
      <c r="A5895" s="2714"/>
      <c r="B5895" s="371">
        <v>102</v>
      </c>
      <c r="C5895" s="371" t="s">
        <v>2791</v>
      </c>
      <c r="D5895" s="2716">
        <f t="shared" si="628"/>
        <v>0</v>
      </c>
      <c r="E5895" s="2721">
        <v>1</v>
      </c>
      <c r="F5895" s="294"/>
      <c r="G5895" s="1563" t="s">
        <v>2792</v>
      </c>
      <c r="H5895" s="360"/>
      <c r="I5895" s="309"/>
      <c r="J5895" s="388"/>
      <c r="K5895" s="291"/>
      <c r="L5895" s="291"/>
      <c r="M5895" s="291"/>
      <c r="S5895" s="364"/>
      <c r="Z5895" s="609" t="s">
        <v>4719</v>
      </c>
      <c r="AA5895" s="609"/>
    </row>
    <row r="5896" spans="1:27" ht="18">
      <c r="A5896" s="2714"/>
      <c r="B5896" s="371">
        <v>103</v>
      </c>
      <c r="C5896" s="371" t="s">
        <v>2791</v>
      </c>
      <c r="D5896" s="2716">
        <f t="shared" si="628"/>
        <v>0</v>
      </c>
      <c r="E5896" s="2721">
        <v>1</v>
      </c>
      <c r="F5896" s="294"/>
      <c r="G5896" s="1563" t="s">
        <v>2792</v>
      </c>
      <c r="H5896" s="360"/>
      <c r="I5896" s="309"/>
      <c r="J5896" s="388"/>
      <c r="K5896" s="291"/>
      <c r="L5896" s="291"/>
      <c r="M5896" s="291"/>
      <c r="S5896" s="364"/>
      <c r="Z5896" s="609" t="s">
        <v>4719</v>
      </c>
      <c r="AA5896" s="609"/>
    </row>
    <row r="5897" spans="1:27" ht="18">
      <c r="A5897" s="2714"/>
      <c r="B5897" s="371">
        <v>104</v>
      </c>
      <c r="C5897" s="371" t="s">
        <v>2791</v>
      </c>
      <c r="D5897" s="2716">
        <f t="shared" si="628"/>
        <v>0</v>
      </c>
      <c r="E5897" s="2721">
        <v>1</v>
      </c>
      <c r="F5897" s="294"/>
      <c r="G5897" s="1563" t="s">
        <v>2792</v>
      </c>
      <c r="H5897" s="360"/>
      <c r="I5897" s="309"/>
      <c r="J5897" s="388"/>
      <c r="K5897" s="291"/>
      <c r="L5897" s="291"/>
      <c r="M5897" s="291"/>
      <c r="S5897" s="364"/>
      <c r="Z5897" s="609" t="s">
        <v>4719</v>
      </c>
      <c r="AA5897" s="609"/>
    </row>
    <row r="5898" spans="1:27" ht="18">
      <c r="A5898" s="2714"/>
      <c r="B5898" s="371">
        <v>105</v>
      </c>
      <c r="C5898" s="371" t="s">
        <v>2791</v>
      </c>
      <c r="D5898" s="2716">
        <f t="shared" si="628"/>
        <v>0</v>
      </c>
      <c r="E5898" s="2721">
        <v>1</v>
      </c>
      <c r="F5898" s="294"/>
      <c r="G5898" s="1563" t="s">
        <v>2792</v>
      </c>
      <c r="H5898" s="360"/>
      <c r="I5898" s="309"/>
      <c r="J5898" s="388"/>
      <c r="K5898" s="291"/>
      <c r="L5898" s="291"/>
      <c r="M5898" s="291"/>
      <c r="S5898" s="364"/>
      <c r="Z5898" s="609" t="s">
        <v>4719</v>
      </c>
      <c r="AA5898" s="609"/>
    </row>
    <row r="5899" spans="1:27" ht="18.75" thickBot="1">
      <c r="A5899" s="2714"/>
      <c r="B5899" s="371"/>
      <c r="C5899" s="371"/>
      <c r="D5899" s="2716">
        <f t="shared" si="628"/>
        <v>1</v>
      </c>
      <c r="E5899" s="2721" t="s">
        <v>2751</v>
      </c>
      <c r="F5899" s="294"/>
      <c r="G5899" s="1529" t="s">
        <v>2752</v>
      </c>
      <c r="H5899" s="1570"/>
      <c r="I5899" s="1527">
        <f>SUMPRODUCT($E5893:$E5898,I5893:I5898)</f>
        <v>0</v>
      </c>
      <c r="J5899" s="1571"/>
      <c r="K5899" s="291"/>
      <c r="L5899" s="291"/>
      <c r="M5899" s="291"/>
      <c r="S5899" s="364"/>
      <c r="Z5899" s="609" t="s">
        <v>4719</v>
      </c>
      <c r="AA5899" s="609"/>
    </row>
    <row r="5900" spans="1:27" ht="18">
      <c r="A5900" s="2714"/>
      <c r="B5900" s="371"/>
      <c r="C5900" s="371" t="s">
        <v>2755</v>
      </c>
      <c r="D5900" s="371"/>
      <c r="F5900" s="294"/>
      <c r="G5900" s="301"/>
      <c r="H5900" s="393"/>
      <c r="I5900" s="315"/>
      <c r="J5900" s="393"/>
      <c r="K5900" s="291"/>
      <c r="L5900" s="291"/>
      <c r="M5900" s="291"/>
      <c r="S5900" s="364"/>
      <c r="Z5900" s="609" t="s">
        <v>4719</v>
      </c>
      <c r="AA5900" s="609"/>
    </row>
    <row r="5901" spans="1:27" ht="18">
      <c r="A5901" s="2714">
        <v>7061</v>
      </c>
      <c r="B5901" s="371">
        <v>78.73</v>
      </c>
      <c r="C5901" s="2716" t="str">
        <f>VLOOKUP($A5901,Sheet_Items,2,0)</f>
        <v>支付给职工以及为职工支付的现金</v>
      </c>
      <c r="D5901" s="371"/>
      <c r="E5901" s="2716" t="s">
        <v>2739</v>
      </c>
      <c r="F5901" s="294"/>
      <c r="G5901" s="536" t="str">
        <f>B5901&amp;" "&amp;C5901</f>
        <v>78.73 支付给职工以及为职工支付的现金</v>
      </c>
      <c r="H5901" s="322"/>
      <c r="I5901" s="322"/>
      <c r="J5901" s="306" t="s">
        <v>4206</v>
      </c>
      <c r="K5901" s="341">
        <f>VLOOKUP($A5901,Sheet_Trialbal,6,0)</f>
        <v>4451795.68</v>
      </c>
      <c r="L5901" s="342"/>
      <c r="M5901" s="306"/>
      <c r="N5901" s="341"/>
      <c r="O5901" s="306"/>
      <c r="P5901" s="301"/>
      <c r="S5901" s="364"/>
      <c r="Z5901" s="609">
        <v>7061</v>
      </c>
      <c r="AA5901" s="609"/>
    </row>
    <row r="5902" spans="1:27" ht="24">
      <c r="A5902" s="2714" t="s">
        <v>1953</v>
      </c>
      <c r="B5902" s="371">
        <v>1</v>
      </c>
      <c r="C5902" s="371"/>
      <c r="D5902" s="2716" t="str">
        <f>VLOOKUP($A5902,Sheet_NoteList,2,0)</f>
        <v>支付给职工以及为职工支付的现金计算表</v>
      </c>
      <c r="E5902" s="2716" t="s">
        <v>2742</v>
      </c>
      <c r="F5902" s="294"/>
      <c r="G5902" s="483" t="str">
        <f>"("&amp;B5902&amp;")"&amp;D5902</f>
        <v>(1)支付给职工以及为职工支付的现金计算表</v>
      </c>
      <c r="H5902" s="1517" t="str">
        <f>$A5902</f>
        <v>7061x</v>
      </c>
      <c r="I5902" s="343" t="s">
        <v>2743</v>
      </c>
      <c r="J5902" s="301" t="s">
        <v>4712</v>
      </c>
      <c r="K5902" s="2210">
        <f>I5910</f>
        <v>0</v>
      </c>
      <c r="L5902" s="345">
        <f>IF(ROUND(K5901-K5902,2)=0,"F/S",ROUND(K5901-K5902,2))</f>
        <v>4451795.68</v>
      </c>
      <c r="M5902" s="532" t="s">
        <v>4713</v>
      </c>
      <c r="N5902" s="3084"/>
      <c r="O5902" s="315"/>
      <c r="P5902" s="301"/>
      <c r="S5902" s="364"/>
      <c r="Z5902" s="609">
        <v>7061</v>
      </c>
      <c r="AA5902" s="609"/>
    </row>
    <row r="5903" spans="1:27" ht="0.75" customHeight="1" thickBot="1">
      <c r="A5903" s="2714"/>
      <c r="B5903" s="371"/>
      <c r="C5903" s="371"/>
      <c r="D5903" s="371"/>
      <c r="F5903" s="371"/>
      <c r="G5903" s="371" t="s">
        <v>4721</v>
      </c>
      <c r="H5903" s="371" t="s">
        <v>4715</v>
      </c>
      <c r="I5903" s="371" t="s">
        <v>4716</v>
      </c>
      <c r="J5903" s="371" t="s">
        <v>3671</v>
      </c>
      <c r="K5903" s="291"/>
      <c r="L5903" s="291"/>
      <c r="M5903" s="291"/>
      <c r="S5903" s="364"/>
      <c r="Z5903" s="609">
        <v>7061</v>
      </c>
      <c r="AA5903" s="609"/>
    </row>
    <row r="5904" spans="1:27" ht="18">
      <c r="A5904" s="2714"/>
      <c r="B5904" s="371"/>
      <c r="C5904" s="371"/>
      <c r="D5904" s="371"/>
      <c r="E5904" s="2716" t="s">
        <v>2749</v>
      </c>
      <c r="F5904" s="294"/>
      <c r="G5904" s="1564" t="s">
        <v>47</v>
      </c>
      <c r="H5904" s="1565" t="s">
        <v>4717</v>
      </c>
      <c r="I5904" s="1565" t="s">
        <v>2887</v>
      </c>
      <c r="J5904" s="1566" t="s">
        <v>2758</v>
      </c>
      <c r="K5904" s="291"/>
      <c r="L5904" s="291"/>
      <c r="M5904" s="291"/>
      <c r="S5904" s="364"/>
      <c r="Z5904" s="609">
        <v>7061</v>
      </c>
      <c r="AA5904" s="609"/>
    </row>
    <row r="5905" spans="1:27" ht="18">
      <c r="A5905" s="2714"/>
      <c r="B5905" s="371">
        <v>101</v>
      </c>
      <c r="C5905" s="371" t="s">
        <v>2791</v>
      </c>
      <c r="D5905" s="2716">
        <f t="shared" ref="D5905:D5910" si="629">IF(OR(G5905="*",G5905="",G5905=0),0,COUNTIF($G$5905:$G$5910,G5905))</f>
        <v>0</v>
      </c>
      <c r="E5905" s="2721">
        <v>1</v>
      </c>
      <c r="F5905" s="294"/>
      <c r="G5905" s="1563" t="s">
        <v>2792</v>
      </c>
      <c r="H5905" s="360"/>
      <c r="I5905" s="309"/>
      <c r="J5905" s="388"/>
      <c r="K5905" s="291"/>
      <c r="L5905" s="291"/>
      <c r="M5905" s="291"/>
      <c r="S5905" s="364"/>
      <c r="Z5905" s="609">
        <v>7061</v>
      </c>
      <c r="AA5905" s="609"/>
    </row>
    <row r="5906" spans="1:27" ht="18">
      <c r="A5906" s="2714"/>
      <c r="B5906" s="371">
        <v>102</v>
      </c>
      <c r="C5906" s="371" t="s">
        <v>2791</v>
      </c>
      <c r="D5906" s="2716">
        <f t="shared" si="629"/>
        <v>0</v>
      </c>
      <c r="E5906" s="2721">
        <v>1</v>
      </c>
      <c r="F5906" s="294"/>
      <c r="G5906" s="1563" t="s">
        <v>2792</v>
      </c>
      <c r="H5906" s="360"/>
      <c r="I5906" s="309"/>
      <c r="J5906" s="388"/>
      <c r="K5906" s="291"/>
      <c r="L5906" s="291"/>
      <c r="M5906" s="291"/>
      <c r="S5906" s="364"/>
      <c r="Z5906" s="609">
        <v>7061</v>
      </c>
      <c r="AA5906" s="609"/>
    </row>
    <row r="5907" spans="1:27" ht="18">
      <c r="A5907" s="2714"/>
      <c r="B5907" s="371">
        <v>103</v>
      </c>
      <c r="C5907" s="371" t="s">
        <v>2791</v>
      </c>
      <c r="D5907" s="2716">
        <f t="shared" si="629"/>
        <v>0</v>
      </c>
      <c r="E5907" s="2721">
        <v>1</v>
      </c>
      <c r="F5907" s="294"/>
      <c r="G5907" s="1563" t="s">
        <v>2792</v>
      </c>
      <c r="H5907" s="360"/>
      <c r="I5907" s="309"/>
      <c r="J5907" s="388"/>
      <c r="K5907" s="291"/>
      <c r="L5907" s="291"/>
      <c r="M5907" s="291"/>
      <c r="S5907" s="364"/>
      <c r="Z5907" s="609">
        <v>7061</v>
      </c>
      <c r="AA5907" s="609"/>
    </row>
    <row r="5908" spans="1:27" ht="18">
      <c r="A5908" s="2714"/>
      <c r="B5908" s="371">
        <v>104</v>
      </c>
      <c r="C5908" s="371" t="s">
        <v>2791</v>
      </c>
      <c r="D5908" s="2716">
        <f t="shared" si="629"/>
        <v>0</v>
      </c>
      <c r="E5908" s="2721">
        <v>1</v>
      </c>
      <c r="F5908" s="294"/>
      <c r="G5908" s="1563" t="s">
        <v>2792</v>
      </c>
      <c r="H5908" s="360"/>
      <c r="I5908" s="309"/>
      <c r="J5908" s="388"/>
      <c r="K5908" s="291"/>
      <c r="L5908" s="291"/>
      <c r="M5908" s="291"/>
      <c r="S5908" s="364"/>
      <c r="Z5908" s="609">
        <v>7061</v>
      </c>
      <c r="AA5908" s="609"/>
    </row>
    <row r="5909" spans="1:27" ht="18">
      <c r="A5909" s="2714"/>
      <c r="B5909" s="371">
        <v>105</v>
      </c>
      <c r="C5909" s="371" t="s">
        <v>2791</v>
      </c>
      <c r="D5909" s="2716">
        <f t="shared" si="629"/>
        <v>0</v>
      </c>
      <c r="E5909" s="2721">
        <v>1</v>
      </c>
      <c r="F5909" s="294"/>
      <c r="G5909" s="1563" t="s">
        <v>2792</v>
      </c>
      <c r="H5909" s="360"/>
      <c r="I5909" s="309"/>
      <c r="J5909" s="388"/>
      <c r="K5909" s="291"/>
      <c r="L5909" s="291"/>
      <c r="M5909" s="291"/>
      <c r="S5909" s="364"/>
      <c r="Z5909" s="609">
        <v>7061</v>
      </c>
      <c r="AA5909" s="609"/>
    </row>
    <row r="5910" spans="1:27" ht="18.75" thickBot="1">
      <c r="A5910" s="2714"/>
      <c r="B5910" s="371"/>
      <c r="C5910" s="371"/>
      <c r="D5910" s="2716">
        <f t="shared" si="629"/>
        <v>1</v>
      </c>
      <c r="E5910" s="2721" t="s">
        <v>2751</v>
      </c>
      <c r="F5910" s="294"/>
      <c r="G5910" s="1529" t="s">
        <v>2752</v>
      </c>
      <c r="H5910" s="1570"/>
      <c r="I5910" s="1527">
        <f>SUMPRODUCT($E5904:$E5909,I5904:I5909)</f>
        <v>0</v>
      </c>
      <c r="J5910" s="1571"/>
      <c r="K5910" s="291"/>
      <c r="L5910" s="291"/>
      <c r="M5910" s="291"/>
      <c r="S5910" s="364"/>
      <c r="Z5910" s="609">
        <v>7061</v>
      </c>
      <c r="AA5910" s="609"/>
    </row>
    <row r="5911" spans="1:27" ht="18">
      <c r="A5911" s="2714"/>
      <c r="B5911" s="371"/>
      <c r="C5911" s="371" t="s">
        <v>2755</v>
      </c>
      <c r="D5911" s="371"/>
      <c r="F5911" s="294"/>
      <c r="G5911" s="301"/>
      <c r="H5911" s="393"/>
      <c r="I5911" s="315"/>
      <c r="J5911" s="393"/>
      <c r="K5911" s="291"/>
      <c r="L5911" s="291"/>
      <c r="M5911" s="291"/>
      <c r="S5911" s="364"/>
      <c r="Z5911" s="609">
        <v>7061</v>
      </c>
      <c r="AA5911" s="609"/>
    </row>
    <row r="5912" spans="1:27" ht="18">
      <c r="A5912" s="2714">
        <v>7071</v>
      </c>
      <c r="B5912" s="371">
        <v>78.739999999999995</v>
      </c>
      <c r="C5912" s="2716" t="str">
        <f>VLOOKUP($A5912,Sheet_Items,2,0)</f>
        <v>支付的各项税费</v>
      </c>
      <c r="D5912" s="371"/>
      <c r="E5912" s="2716" t="s">
        <v>2739</v>
      </c>
      <c r="F5912" s="294"/>
      <c r="G5912" s="536" t="str">
        <f>B5912&amp;" "&amp;C5912</f>
        <v>78.74 支付的各项税费</v>
      </c>
      <c r="H5912" s="322"/>
      <c r="I5912" s="322"/>
      <c r="J5912" s="306" t="s">
        <v>4206</v>
      </c>
      <c r="K5912" s="341">
        <f>VLOOKUP($A5912,Sheet_Trialbal,6,0)</f>
        <v>42795.23</v>
      </c>
      <c r="L5912" s="342"/>
      <c r="M5912" s="306"/>
      <c r="N5912" s="341"/>
      <c r="O5912" s="306"/>
      <c r="P5912" s="301"/>
      <c r="S5912" s="364"/>
      <c r="Z5912" s="609">
        <v>7071</v>
      </c>
      <c r="AA5912" s="609"/>
    </row>
    <row r="5913" spans="1:27" ht="18">
      <c r="A5913" s="2714" t="s">
        <v>1955</v>
      </c>
      <c r="B5913" s="371">
        <v>1</v>
      </c>
      <c r="C5913" s="371"/>
      <c r="D5913" s="2716" t="str">
        <f>VLOOKUP($A5913,Sheet_NoteList,2,0)</f>
        <v>支付的各项税费计算表</v>
      </c>
      <c r="E5913" s="2716" t="s">
        <v>2742</v>
      </c>
      <c r="F5913" s="294"/>
      <c r="G5913" s="483" t="str">
        <f>"("&amp;B5913&amp;")"&amp;D5913</f>
        <v>(1)支付的各项税费计算表</v>
      </c>
      <c r="H5913" s="1517" t="str">
        <f>$A5913</f>
        <v>7071x</v>
      </c>
      <c r="I5913" s="343" t="s">
        <v>2743</v>
      </c>
      <c r="J5913" s="301" t="s">
        <v>4712</v>
      </c>
      <c r="K5913" s="2210">
        <f>I5921</f>
        <v>0</v>
      </c>
      <c r="L5913" s="345">
        <f>IF(ROUND(K5912-K5913,2)=0,"F/S",ROUND(K5912-K5913,2))</f>
        <v>42795.23</v>
      </c>
      <c r="M5913" s="532" t="s">
        <v>4713</v>
      </c>
      <c r="N5913" s="3084"/>
      <c r="O5913" s="315"/>
      <c r="P5913" s="301"/>
      <c r="S5913" s="364"/>
      <c r="Z5913" s="609">
        <v>7071</v>
      </c>
      <c r="AA5913" s="609"/>
    </row>
    <row r="5914" spans="1:27" ht="0.75" customHeight="1" thickBot="1">
      <c r="A5914" s="2714"/>
      <c r="B5914" s="371"/>
      <c r="C5914" s="371"/>
      <c r="D5914" s="371"/>
      <c r="F5914" s="371"/>
      <c r="G5914" s="371" t="s">
        <v>4722</v>
      </c>
      <c r="H5914" s="371" t="s">
        <v>4715</v>
      </c>
      <c r="I5914" s="371" t="s">
        <v>4716</v>
      </c>
      <c r="J5914" s="371" t="s">
        <v>3671</v>
      </c>
      <c r="K5914" s="291"/>
      <c r="L5914" s="291"/>
      <c r="M5914" s="291"/>
      <c r="S5914" s="364"/>
      <c r="Z5914" s="609">
        <v>7071</v>
      </c>
      <c r="AA5914" s="609"/>
    </row>
    <row r="5915" spans="1:27" ht="18">
      <c r="A5915" s="2714"/>
      <c r="B5915" s="371"/>
      <c r="C5915" s="371"/>
      <c r="D5915" s="371"/>
      <c r="E5915" s="2716" t="s">
        <v>2749</v>
      </c>
      <c r="F5915" s="294"/>
      <c r="G5915" s="1564" t="s">
        <v>47</v>
      </c>
      <c r="H5915" s="1565" t="s">
        <v>4717</v>
      </c>
      <c r="I5915" s="1565" t="s">
        <v>2887</v>
      </c>
      <c r="J5915" s="1566" t="s">
        <v>2758</v>
      </c>
      <c r="K5915" s="291"/>
      <c r="L5915" s="291"/>
      <c r="M5915" s="291"/>
      <c r="S5915" s="364"/>
      <c r="Z5915" s="609">
        <v>7071</v>
      </c>
      <c r="AA5915" s="609"/>
    </row>
    <row r="5916" spans="1:27" ht="18">
      <c r="A5916" s="2714"/>
      <c r="B5916" s="371">
        <v>101</v>
      </c>
      <c r="C5916" s="371" t="s">
        <v>2791</v>
      </c>
      <c r="D5916" s="2716">
        <f t="shared" ref="D5916:D5921" si="630">IF(OR(G5916="*",G5916="",G5916=0),0,COUNTIF($G$5916:$G$5921,G5916))</f>
        <v>0</v>
      </c>
      <c r="E5916" s="2721">
        <v>1</v>
      </c>
      <c r="F5916" s="294"/>
      <c r="G5916" s="1563" t="s">
        <v>2792</v>
      </c>
      <c r="H5916" s="360"/>
      <c r="I5916" s="309"/>
      <c r="J5916" s="388"/>
      <c r="K5916" s="291"/>
      <c r="L5916" s="291"/>
      <c r="M5916" s="291"/>
      <c r="S5916" s="364"/>
      <c r="Z5916" s="609">
        <v>7071</v>
      </c>
      <c r="AA5916" s="609"/>
    </row>
    <row r="5917" spans="1:27" ht="18">
      <c r="A5917" s="2714"/>
      <c r="B5917" s="371">
        <v>102</v>
      </c>
      <c r="C5917" s="371" t="s">
        <v>2791</v>
      </c>
      <c r="D5917" s="2716">
        <f t="shared" si="630"/>
        <v>0</v>
      </c>
      <c r="E5917" s="2721">
        <v>1</v>
      </c>
      <c r="F5917" s="294"/>
      <c r="G5917" s="1563" t="s">
        <v>2792</v>
      </c>
      <c r="H5917" s="360"/>
      <c r="I5917" s="309"/>
      <c r="J5917" s="388"/>
      <c r="K5917" s="291"/>
      <c r="L5917" s="291"/>
      <c r="M5917" s="291"/>
      <c r="S5917" s="364"/>
      <c r="Z5917" s="609">
        <v>7071</v>
      </c>
      <c r="AA5917" s="609"/>
    </row>
    <row r="5918" spans="1:27" ht="18">
      <c r="A5918" s="2714"/>
      <c r="B5918" s="371">
        <v>103</v>
      </c>
      <c r="C5918" s="371" t="s">
        <v>2791</v>
      </c>
      <c r="D5918" s="2716">
        <f t="shared" si="630"/>
        <v>0</v>
      </c>
      <c r="E5918" s="2721">
        <v>1</v>
      </c>
      <c r="F5918" s="294"/>
      <c r="G5918" s="1563" t="s">
        <v>2792</v>
      </c>
      <c r="H5918" s="360"/>
      <c r="I5918" s="309"/>
      <c r="J5918" s="388"/>
      <c r="K5918" s="291"/>
      <c r="L5918" s="291"/>
      <c r="M5918" s="291"/>
      <c r="S5918" s="364"/>
      <c r="Z5918" s="609">
        <v>7071</v>
      </c>
      <c r="AA5918" s="609"/>
    </row>
    <row r="5919" spans="1:27" ht="18">
      <c r="A5919" s="2714"/>
      <c r="B5919" s="371">
        <v>104</v>
      </c>
      <c r="C5919" s="371" t="s">
        <v>2791</v>
      </c>
      <c r="D5919" s="2716">
        <f t="shared" si="630"/>
        <v>0</v>
      </c>
      <c r="E5919" s="2721">
        <v>1</v>
      </c>
      <c r="F5919" s="294"/>
      <c r="G5919" s="1563" t="s">
        <v>2792</v>
      </c>
      <c r="H5919" s="360"/>
      <c r="I5919" s="309"/>
      <c r="J5919" s="388"/>
      <c r="K5919" s="291"/>
      <c r="L5919" s="291"/>
      <c r="M5919" s="291"/>
      <c r="S5919" s="364"/>
      <c r="Z5919" s="609">
        <v>7071</v>
      </c>
      <c r="AA5919" s="609"/>
    </row>
    <row r="5920" spans="1:27" ht="18">
      <c r="A5920" s="2714"/>
      <c r="B5920" s="371">
        <v>105</v>
      </c>
      <c r="C5920" s="371" t="s">
        <v>2791</v>
      </c>
      <c r="D5920" s="2716">
        <f t="shared" si="630"/>
        <v>0</v>
      </c>
      <c r="E5920" s="2721">
        <v>1</v>
      </c>
      <c r="F5920" s="294"/>
      <c r="G5920" s="1563" t="s">
        <v>2792</v>
      </c>
      <c r="H5920" s="360"/>
      <c r="I5920" s="309"/>
      <c r="J5920" s="388"/>
      <c r="K5920" s="291"/>
      <c r="L5920" s="291"/>
      <c r="M5920" s="291"/>
      <c r="S5920" s="364"/>
      <c r="Z5920" s="609">
        <v>7071</v>
      </c>
      <c r="AA5920" s="609"/>
    </row>
    <row r="5921" spans="1:27" ht="18.75" thickBot="1">
      <c r="A5921" s="2714"/>
      <c r="B5921" s="371"/>
      <c r="C5921" s="371"/>
      <c r="D5921" s="2716">
        <f t="shared" si="630"/>
        <v>1</v>
      </c>
      <c r="E5921" s="2721" t="s">
        <v>2751</v>
      </c>
      <c r="F5921" s="294"/>
      <c r="G5921" s="1529" t="s">
        <v>2752</v>
      </c>
      <c r="H5921" s="1570"/>
      <c r="I5921" s="1527">
        <f>SUMPRODUCT($E5915:$E5920,I5915:I5920)</f>
        <v>0</v>
      </c>
      <c r="J5921" s="1571"/>
      <c r="K5921" s="291"/>
      <c r="L5921" s="291"/>
      <c r="M5921" s="291"/>
      <c r="S5921" s="364"/>
      <c r="Z5921" s="609">
        <v>7071</v>
      </c>
      <c r="AA5921" s="609"/>
    </row>
    <row r="5922" spans="1:27" ht="18">
      <c r="A5922" s="2714"/>
      <c r="B5922" s="371"/>
      <c r="C5922" s="371" t="s">
        <v>2755</v>
      </c>
      <c r="D5922" s="371"/>
      <c r="F5922" s="294"/>
      <c r="G5922" s="301"/>
      <c r="H5922" s="393"/>
      <c r="I5922" s="315"/>
      <c r="J5922" s="393"/>
      <c r="K5922" s="291"/>
      <c r="L5922" s="291"/>
      <c r="M5922" s="291"/>
      <c r="S5922" s="364"/>
      <c r="Z5922" s="609">
        <v>7071</v>
      </c>
      <c r="AA5922" s="609"/>
    </row>
    <row r="5923" spans="1:27" ht="18">
      <c r="A5923" s="2714">
        <v>7096</v>
      </c>
      <c r="B5923" s="371">
        <v>78.2</v>
      </c>
      <c r="C5923" s="2716" t="str">
        <f>VLOOKUP($A5923,Sheet_Items,2,0)</f>
        <v>支付其他与经营活动有关的现金</v>
      </c>
      <c r="D5923" s="371"/>
      <c r="E5923" s="2716" t="s">
        <v>2739</v>
      </c>
      <c r="F5923" s="294"/>
      <c r="G5923" s="536" t="str">
        <f>B5923&amp;" "&amp;C5923</f>
        <v>78.2 支付其他与经营活动有关的现金</v>
      </c>
      <c r="H5923" s="322"/>
      <c r="I5923" s="322"/>
      <c r="J5923" s="306" t="s">
        <v>4206</v>
      </c>
      <c r="K5923" s="341">
        <f>VLOOKUP($A5923,Sheet_Trialbal,6,0)</f>
        <v>176928385.74000001</v>
      </c>
      <c r="L5923" s="342"/>
      <c r="M5923" s="306"/>
      <c r="N5923" s="341"/>
      <c r="O5923" s="306"/>
      <c r="P5923" s="301"/>
      <c r="S5923" s="364"/>
      <c r="Z5923" s="609">
        <v>7096</v>
      </c>
      <c r="AA5923" s="609"/>
    </row>
    <row r="5924" spans="1:27" ht="24">
      <c r="A5924" s="2714" t="s">
        <v>1960</v>
      </c>
      <c r="B5924" s="371">
        <v>1</v>
      </c>
      <c r="C5924" s="371"/>
      <c r="D5924" s="2716" t="str">
        <f>VLOOKUP($A5924,Sheet_NoteList,2,0)</f>
        <v>支付其他与经营活动有关的现金计算表</v>
      </c>
      <c r="E5924" s="2716" t="s">
        <v>2742</v>
      </c>
      <c r="F5924" s="294"/>
      <c r="G5924" s="483" t="str">
        <f>"("&amp;B5924&amp;")"&amp;D5924</f>
        <v>(1)支付其他与经营活动有关的现金计算表</v>
      </c>
      <c r="H5924" s="1517" t="str">
        <f>$A5924</f>
        <v>7096x</v>
      </c>
      <c r="I5924" s="343" t="s">
        <v>2743</v>
      </c>
      <c r="J5924" s="301" t="s">
        <v>4712</v>
      </c>
      <c r="K5924" s="2210">
        <f>I5932</f>
        <v>0</v>
      </c>
      <c r="L5924" s="345">
        <f>IF(ROUND(K5923-K5924,2)=0,"F/S",ROUND(K5923-K5924,2))</f>
        <v>176928385.74000001</v>
      </c>
      <c r="M5924" s="532" t="s">
        <v>4713</v>
      </c>
      <c r="N5924" s="3084"/>
      <c r="O5924" s="315"/>
      <c r="P5924" s="301"/>
      <c r="S5924" s="364"/>
      <c r="Z5924" s="609">
        <v>7096</v>
      </c>
      <c r="AA5924" s="609"/>
    </row>
    <row r="5925" spans="1:27" ht="0.75" customHeight="1" thickBot="1">
      <c r="A5925" s="2714"/>
      <c r="B5925" s="371"/>
      <c r="C5925" s="371"/>
      <c r="D5925" s="371"/>
      <c r="F5925" s="371"/>
      <c r="G5925" s="371" t="s">
        <v>4723</v>
      </c>
      <c r="H5925" s="371" t="s">
        <v>4715</v>
      </c>
      <c r="I5925" s="371" t="s">
        <v>4716</v>
      </c>
      <c r="J5925" s="371" t="s">
        <v>3671</v>
      </c>
      <c r="K5925" s="291"/>
      <c r="L5925" s="291"/>
      <c r="M5925" s="291"/>
      <c r="S5925" s="364"/>
      <c r="Z5925" s="609">
        <v>7096</v>
      </c>
      <c r="AA5925" s="609"/>
    </row>
    <row r="5926" spans="1:27" ht="18">
      <c r="A5926" s="2714"/>
      <c r="B5926" s="371"/>
      <c r="C5926" s="371"/>
      <c r="D5926" s="371"/>
      <c r="E5926" s="2716" t="s">
        <v>2749</v>
      </c>
      <c r="F5926" s="294"/>
      <c r="G5926" s="1564" t="s">
        <v>47</v>
      </c>
      <c r="H5926" s="1565" t="s">
        <v>4717</v>
      </c>
      <c r="I5926" s="1565" t="s">
        <v>2887</v>
      </c>
      <c r="J5926" s="1566" t="s">
        <v>2758</v>
      </c>
      <c r="K5926" s="291"/>
      <c r="L5926" s="291"/>
      <c r="M5926" s="291"/>
      <c r="S5926" s="364"/>
      <c r="Z5926" s="609">
        <v>7096</v>
      </c>
      <c r="AA5926" s="609"/>
    </row>
    <row r="5927" spans="1:27" ht="18">
      <c r="A5927" s="2714"/>
      <c r="B5927" s="371">
        <v>101</v>
      </c>
      <c r="C5927" s="371" t="s">
        <v>2791</v>
      </c>
      <c r="D5927" s="2716">
        <f t="shared" ref="D5927:D5932" si="631">IF(OR(G5927="*",G5927="",G5927=0),0,COUNTIF($G$5927:$G$5932,G5927))</f>
        <v>0</v>
      </c>
      <c r="E5927" s="2721">
        <v>1</v>
      </c>
      <c r="F5927" s="294"/>
      <c r="G5927" s="1563" t="s">
        <v>2792</v>
      </c>
      <c r="H5927" s="360"/>
      <c r="I5927" s="309"/>
      <c r="J5927" s="388"/>
      <c r="K5927" s="291"/>
      <c r="L5927" s="291"/>
      <c r="M5927" s="291"/>
      <c r="S5927" s="364"/>
      <c r="Z5927" s="609">
        <v>7096</v>
      </c>
      <c r="AA5927" s="609"/>
    </row>
    <row r="5928" spans="1:27" ht="18">
      <c r="A5928" s="2714"/>
      <c r="B5928" s="371">
        <v>102</v>
      </c>
      <c r="C5928" s="371" t="s">
        <v>2791</v>
      </c>
      <c r="D5928" s="2716">
        <f t="shared" si="631"/>
        <v>0</v>
      </c>
      <c r="E5928" s="2721">
        <v>1</v>
      </c>
      <c r="F5928" s="294"/>
      <c r="G5928" s="1563" t="s">
        <v>2792</v>
      </c>
      <c r="H5928" s="360"/>
      <c r="I5928" s="309"/>
      <c r="J5928" s="388"/>
      <c r="K5928" s="291"/>
      <c r="L5928" s="291"/>
      <c r="M5928" s="291"/>
      <c r="S5928" s="364"/>
      <c r="Z5928" s="609">
        <v>7096</v>
      </c>
      <c r="AA5928" s="609"/>
    </row>
    <row r="5929" spans="1:27" ht="18">
      <c r="A5929" s="2714"/>
      <c r="B5929" s="371">
        <v>103</v>
      </c>
      <c r="C5929" s="371" t="s">
        <v>2791</v>
      </c>
      <c r="D5929" s="2716">
        <f t="shared" si="631"/>
        <v>0</v>
      </c>
      <c r="E5929" s="2721">
        <v>1</v>
      </c>
      <c r="F5929" s="294"/>
      <c r="G5929" s="1563" t="s">
        <v>2792</v>
      </c>
      <c r="H5929" s="360"/>
      <c r="I5929" s="309"/>
      <c r="J5929" s="388"/>
      <c r="K5929" s="291"/>
      <c r="L5929" s="291"/>
      <c r="M5929" s="291"/>
      <c r="S5929" s="364"/>
      <c r="Z5929" s="609">
        <v>7096</v>
      </c>
      <c r="AA5929" s="609"/>
    </row>
    <row r="5930" spans="1:27" ht="18">
      <c r="A5930" s="2714"/>
      <c r="B5930" s="371">
        <v>104</v>
      </c>
      <c r="C5930" s="371" t="s">
        <v>2791</v>
      </c>
      <c r="D5930" s="2716">
        <f t="shared" si="631"/>
        <v>0</v>
      </c>
      <c r="E5930" s="2721">
        <v>1</v>
      </c>
      <c r="F5930" s="294"/>
      <c r="G5930" s="1563" t="s">
        <v>2792</v>
      </c>
      <c r="H5930" s="360"/>
      <c r="I5930" s="309"/>
      <c r="J5930" s="388"/>
      <c r="K5930" s="291"/>
      <c r="L5930" s="291"/>
      <c r="M5930" s="291"/>
      <c r="S5930" s="364"/>
      <c r="Z5930" s="609">
        <v>7096</v>
      </c>
      <c r="AA5930" s="609"/>
    </row>
    <row r="5931" spans="1:27" ht="18">
      <c r="A5931" s="2714"/>
      <c r="B5931" s="371">
        <v>105</v>
      </c>
      <c r="C5931" s="371" t="s">
        <v>2791</v>
      </c>
      <c r="D5931" s="2716">
        <f t="shared" si="631"/>
        <v>0</v>
      </c>
      <c r="E5931" s="2721">
        <v>1</v>
      </c>
      <c r="F5931" s="294"/>
      <c r="G5931" s="1563" t="s">
        <v>2792</v>
      </c>
      <c r="H5931" s="360"/>
      <c r="I5931" s="309"/>
      <c r="J5931" s="388"/>
      <c r="K5931" s="291"/>
      <c r="L5931" s="291"/>
      <c r="M5931" s="291"/>
      <c r="S5931" s="364"/>
      <c r="Z5931" s="609">
        <v>7096</v>
      </c>
      <c r="AA5931" s="609"/>
    </row>
    <row r="5932" spans="1:27" ht="18.75" thickBot="1">
      <c r="A5932" s="2714"/>
      <c r="B5932" s="371"/>
      <c r="C5932" s="371"/>
      <c r="D5932" s="2716">
        <f t="shared" si="631"/>
        <v>1</v>
      </c>
      <c r="E5932" s="2721" t="s">
        <v>2751</v>
      </c>
      <c r="F5932" s="294"/>
      <c r="G5932" s="1529" t="s">
        <v>2752</v>
      </c>
      <c r="H5932" s="1570"/>
      <c r="I5932" s="1527">
        <f>SUMPRODUCT($E5926:$E5931,I5926:I5931)</f>
        <v>0</v>
      </c>
      <c r="J5932" s="1571"/>
      <c r="K5932" s="291"/>
      <c r="L5932" s="291"/>
      <c r="M5932" s="291"/>
      <c r="S5932" s="364"/>
      <c r="Z5932" s="609">
        <v>7096</v>
      </c>
      <c r="AA5932" s="609"/>
    </row>
    <row r="5933" spans="1:27" ht="18">
      <c r="A5933" s="2714"/>
      <c r="B5933" s="371"/>
      <c r="C5933" s="371" t="s">
        <v>2755</v>
      </c>
      <c r="D5933" s="371"/>
      <c r="F5933" s="294"/>
      <c r="G5933" s="301"/>
      <c r="H5933" s="393"/>
      <c r="I5933" s="315"/>
      <c r="J5933" s="393"/>
      <c r="K5933" s="291"/>
      <c r="L5933" s="291"/>
      <c r="M5933" s="291"/>
      <c r="S5933" s="364"/>
      <c r="Z5933" s="609">
        <v>7096</v>
      </c>
      <c r="AA5933" s="609"/>
    </row>
    <row r="5934" spans="1:27" ht="18">
      <c r="A5934" s="2714">
        <v>7101</v>
      </c>
      <c r="B5934" s="371">
        <v>78.75</v>
      </c>
      <c r="C5934" s="2716" t="str">
        <f>VLOOKUP($A5934,Sheet_Items,2,0)</f>
        <v>收回投资收到的现金</v>
      </c>
      <c r="D5934" s="371"/>
      <c r="E5934" s="2716" t="s">
        <v>2739</v>
      </c>
      <c r="F5934" s="294"/>
      <c r="G5934" s="536" t="str">
        <f>B5934&amp;" "&amp;C5934</f>
        <v>78.75 收回投资收到的现金</v>
      </c>
      <c r="H5934" s="322"/>
      <c r="I5934" s="322"/>
      <c r="J5934" s="306" t="s">
        <v>4206</v>
      </c>
      <c r="K5934" s="341">
        <f>VLOOKUP($A5934,Sheet_Trialbal,6,0)</f>
        <v>0</v>
      </c>
      <c r="L5934" s="342"/>
      <c r="M5934" s="306"/>
      <c r="N5934" s="341"/>
      <c r="O5934" s="306"/>
      <c r="P5934" s="301"/>
      <c r="S5934" s="364"/>
      <c r="Z5934" s="609">
        <v>7101</v>
      </c>
      <c r="AA5934" s="609"/>
    </row>
    <row r="5935" spans="1:27" ht="24">
      <c r="A5935" s="2714" t="s">
        <v>1963</v>
      </c>
      <c r="B5935" s="371">
        <v>1</v>
      </c>
      <c r="C5935" s="371"/>
      <c r="D5935" s="2716" t="str">
        <f>VLOOKUP($A5935,Sheet_NoteList,2,0)</f>
        <v>收回投资收到的现金计算表</v>
      </c>
      <c r="E5935" s="2716" t="s">
        <v>2742</v>
      </c>
      <c r="F5935" s="294"/>
      <c r="G5935" s="483" t="str">
        <f>"("&amp;B5935&amp;")"&amp;D5935</f>
        <v>(1)收回投资收到的现金计算表</v>
      </c>
      <c r="H5935" s="1517" t="str">
        <f>$A5935</f>
        <v>7101x</v>
      </c>
      <c r="I5935" s="343" t="s">
        <v>2743</v>
      </c>
      <c r="J5935" s="301" t="s">
        <v>4712</v>
      </c>
      <c r="K5935" s="2210">
        <f>I5943</f>
        <v>0</v>
      </c>
      <c r="L5935" s="345" t="str">
        <f>IF(ROUND(K5934-K5935,2)=0,"F/S",ROUND(K5934-K5935,2))</f>
        <v>F/S</v>
      </c>
      <c r="M5935" s="532" t="s">
        <v>4713</v>
      </c>
      <c r="N5935" s="3084"/>
      <c r="O5935" s="315"/>
      <c r="P5935" s="301"/>
      <c r="S5935" s="364"/>
      <c r="Z5935" s="609">
        <v>7101</v>
      </c>
      <c r="AA5935" s="609"/>
    </row>
    <row r="5936" spans="1:27" ht="0.75" customHeight="1" thickBot="1">
      <c r="A5936" s="2714"/>
      <c r="B5936" s="371"/>
      <c r="C5936" s="371"/>
      <c r="D5936" s="371"/>
      <c r="F5936" s="371"/>
      <c r="G5936" s="371" t="s">
        <v>4724</v>
      </c>
      <c r="H5936" s="371" t="s">
        <v>4715</v>
      </c>
      <c r="I5936" s="371" t="s">
        <v>4716</v>
      </c>
      <c r="J5936" s="371" t="s">
        <v>3671</v>
      </c>
      <c r="K5936" s="291"/>
      <c r="L5936" s="291"/>
      <c r="M5936" s="291"/>
      <c r="S5936" s="364"/>
      <c r="Z5936" s="609">
        <v>7101</v>
      </c>
      <c r="AA5936" s="609"/>
    </row>
    <row r="5937" spans="1:27" ht="18">
      <c r="A5937" s="2714"/>
      <c r="B5937" s="371"/>
      <c r="C5937" s="371"/>
      <c r="D5937" s="371"/>
      <c r="E5937" s="2716" t="s">
        <v>2749</v>
      </c>
      <c r="F5937" s="294"/>
      <c r="G5937" s="1564" t="s">
        <v>47</v>
      </c>
      <c r="H5937" s="1565" t="s">
        <v>4717</v>
      </c>
      <c r="I5937" s="1565" t="s">
        <v>2887</v>
      </c>
      <c r="J5937" s="1566" t="s">
        <v>2758</v>
      </c>
      <c r="K5937" s="291"/>
      <c r="L5937" s="291"/>
      <c r="M5937" s="291"/>
      <c r="S5937" s="364"/>
      <c r="Z5937" s="609">
        <v>7101</v>
      </c>
      <c r="AA5937" s="609"/>
    </row>
    <row r="5938" spans="1:27" ht="18">
      <c r="A5938" s="2714"/>
      <c r="B5938" s="371">
        <v>101</v>
      </c>
      <c r="C5938" s="371" t="s">
        <v>2791</v>
      </c>
      <c r="D5938" s="2716">
        <f t="shared" ref="D5938:D5943" si="632">IF(OR(G5938="*",G5938="",G5938=0),0,COUNTIF($G$5938:$G$5943,G5938))</f>
        <v>1</v>
      </c>
      <c r="E5938" s="2721">
        <v>1</v>
      </c>
      <c r="F5938" s="294"/>
      <c r="G5938" s="1563" t="s">
        <v>4725</v>
      </c>
      <c r="H5938" s="360" t="s">
        <v>4726</v>
      </c>
      <c r="I5938" s="309"/>
      <c r="J5938" s="388"/>
      <c r="K5938" s="291"/>
      <c r="L5938" s="291"/>
      <c r="M5938" s="291"/>
      <c r="S5938" s="364"/>
      <c r="Z5938" s="609">
        <v>7101</v>
      </c>
      <c r="AA5938" s="609"/>
    </row>
    <row r="5939" spans="1:27" ht="18">
      <c r="A5939" s="2714"/>
      <c r="B5939" s="371">
        <v>102</v>
      </c>
      <c r="C5939" s="371" t="s">
        <v>2791</v>
      </c>
      <c r="D5939" s="2716">
        <f t="shared" si="632"/>
        <v>1</v>
      </c>
      <c r="E5939" s="2721">
        <v>1</v>
      </c>
      <c r="F5939" s="294"/>
      <c r="G5939" s="1563" t="s">
        <v>4727</v>
      </c>
      <c r="H5939" s="360" t="s">
        <v>4726</v>
      </c>
      <c r="I5939" s="309"/>
      <c r="J5939" s="388"/>
      <c r="K5939" s="291"/>
      <c r="L5939" s="291"/>
      <c r="M5939" s="291"/>
      <c r="S5939" s="364"/>
      <c r="Z5939" s="609">
        <v>7101</v>
      </c>
      <c r="AA5939" s="609"/>
    </row>
    <row r="5940" spans="1:27" ht="18">
      <c r="A5940" s="2714"/>
      <c r="B5940" s="371">
        <v>103</v>
      </c>
      <c r="C5940" s="371" t="s">
        <v>2791</v>
      </c>
      <c r="D5940" s="2716">
        <f t="shared" si="632"/>
        <v>1</v>
      </c>
      <c r="E5940" s="2721">
        <v>1</v>
      </c>
      <c r="F5940" s="294"/>
      <c r="G5940" s="1563" t="s">
        <v>4728</v>
      </c>
      <c r="H5940" s="360" t="s">
        <v>4726</v>
      </c>
      <c r="I5940" s="309"/>
      <c r="J5940" s="388"/>
      <c r="K5940" s="291"/>
      <c r="L5940" s="291"/>
      <c r="M5940" s="291"/>
      <c r="S5940" s="364"/>
      <c r="Z5940" s="609">
        <v>7101</v>
      </c>
      <c r="AA5940" s="609"/>
    </row>
    <row r="5941" spans="1:27" ht="18">
      <c r="A5941" s="2714"/>
      <c r="B5941" s="371">
        <v>104</v>
      </c>
      <c r="C5941" s="371" t="s">
        <v>2791</v>
      </c>
      <c r="D5941" s="2716">
        <f t="shared" si="632"/>
        <v>1</v>
      </c>
      <c r="E5941" s="2721">
        <v>1</v>
      </c>
      <c r="F5941" s="294"/>
      <c r="G5941" s="1563" t="s">
        <v>4729</v>
      </c>
      <c r="H5941" s="360" t="s">
        <v>4726</v>
      </c>
      <c r="I5941" s="309"/>
      <c r="J5941" s="388"/>
      <c r="K5941" s="291"/>
      <c r="L5941" s="291"/>
      <c r="M5941" s="291"/>
      <c r="S5941" s="364"/>
      <c r="Z5941" s="609">
        <v>7101</v>
      </c>
      <c r="AA5941" s="609"/>
    </row>
    <row r="5942" spans="1:27" ht="18">
      <c r="A5942" s="2714"/>
      <c r="B5942" s="371">
        <v>105</v>
      </c>
      <c r="C5942" s="371" t="s">
        <v>2791</v>
      </c>
      <c r="D5942" s="2716">
        <f t="shared" si="632"/>
        <v>0</v>
      </c>
      <c r="E5942" s="2721">
        <v>1</v>
      </c>
      <c r="F5942" s="294"/>
      <c r="G5942" s="1563" t="s">
        <v>2792</v>
      </c>
      <c r="H5942" s="360"/>
      <c r="I5942" s="309"/>
      <c r="J5942" s="388"/>
      <c r="K5942" s="291"/>
      <c r="L5942" s="291"/>
      <c r="M5942" s="291"/>
      <c r="S5942" s="364"/>
      <c r="Z5942" s="609">
        <v>7101</v>
      </c>
      <c r="AA5942" s="609"/>
    </row>
    <row r="5943" spans="1:27" ht="18.75" thickBot="1">
      <c r="A5943" s="2714"/>
      <c r="B5943" s="371"/>
      <c r="C5943" s="371"/>
      <c r="D5943" s="2716">
        <f t="shared" si="632"/>
        <v>1</v>
      </c>
      <c r="E5943" s="2721" t="s">
        <v>2751</v>
      </c>
      <c r="F5943" s="294"/>
      <c r="G5943" s="1529" t="s">
        <v>2752</v>
      </c>
      <c r="H5943" s="1570"/>
      <c r="I5943" s="1527">
        <f>SUMPRODUCT($E5937:$E5942,I5937:I5942)</f>
        <v>0</v>
      </c>
      <c r="J5943" s="1571"/>
      <c r="K5943" s="291"/>
      <c r="L5943" s="291"/>
      <c r="M5943" s="291"/>
      <c r="S5943" s="364"/>
      <c r="Z5943" s="609">
        <v>7101</v>
      </c>
      <c r="AA5943" s="609"/>
    </row>
    <row r="5944" spans="1:27" ht="18">
      <c r="A5944" s="2714"/>
      <c r="B5944" s="371"/>
      <c r="C5944" s="371" t="s">
        <v>2755</v>
      </c>
      <c r="D5944" s="371"/>
      <c r="F5944" s="294"/>
      <c r="G5944" s="301"/>
      <c r="H5944" s="393"/>
      <c r="I5944" s="315"/>
      <c r="J5944" s="393"/>
      <c r="K5944" s="291"/>
      <c r="L5944" s="291"/>
      <c r="M5944" s="291"/>
      <c r="S5944" s="364"/>
      <c r="Z5944" s="609">
        <v>7101</v>
      </c>
      <c r="AA5944" s="609"/>
    </row>
    <row r="5945" spans="1:27" ht="18">
      <c r="A5945" s="2714">
        <v>7105</v>
      </c>
      <c r="B5945" s="371">
        <v>78.760000000000005</v>
      </c>
      <c r="C5945" s="2716" t="str">
        <f>VLOOKUP($A5945,Sheet_Items,2,0)</f>
        <v>取得投资收益收到的现金</v>
      </c>
      <c r="D5945" s="371"/>
      <c r="E5945" s="2716" t="s">
        <v>2739</v>
      </c>
      <c r="F5945" s="294"/>
      <c r="G5945" s="536" t="str">
        <f>B5945&amp;" "&amp;C5945</f>
        <v>78.76 取得投资收益收到的现金</v>
      </c>
      <c r="H5945" s="322"/>
      <c r="I5945" s="322"/>
      <c r="J5945" s="306" t="s">
        <v>4206</v>
      </c>
      <c r="K5945" s="341">
        <f>VLOOKUP($A5945,Sheet_Trialbal,6,0)</f>
        <v>0</v>
      </c>
      <c r="L5945" s="342"/>
      <c r="M5945" s="306"/>
      <c r="N5945" s="341"/>
      <c r="O5945" s="306"/>
      <c r="P5945" s="301"/>
      <c r="S5945" s="364"/>
      <c r="Z5945" s="609">
        <v>7105</v>
      </c>
      <c r="AA5945" s="609"/>
    </row>
    <row r="5946" spans="1:27" ht="24">
      <c r="A5946" s="2714" t="s">
        <v>1965</v>
      </c>
      <c r="B5946" s="371">
        <v>1</v>
      </c>
      <c r="C5946" s="371"/>
      <c r="D5946" s="2716" t="str">
        <f>VLOOKUP($A5946,Sheet_NoteList,2,0)</f>
        <v>取得投资收益收到的现金计算表</v>
      </c>
      <c r="E5946" s="2716" t="s">
        <v>2742</v>
      </c>
      <c r="F5946" s="294"/>
      <c r="G5946" s="483" t="str">
        <f>"("&amp;B5946&amp;")"&amp;D5946</f>
        <v>(1)取得投资收益收到的现金计算表</v>
      </c>
      <c r="H5946" s="1517" t="str">
        <f>$A5946</f>
        <v>7105x</v>
      </c>
      <c r="I5946" s="343" t="s">
        <v>2743</v>
      </c>
      <c r="J5946" s="301" t="s">
        <v>4712</v>
      </c>
      <c r="K5946" s="2210">
        <f>I5954</f>
        <v>0</v>
      </c>
      <c r="L5946" s="345" t="str">
        <f>IF(ROUND(K5945-K5946,2)=0,"F/S",ROUND(K5945-K5946,2))</f>
        <v>F/S</v>
      </c>
      <c r="M5946" s="532" t="s">
        <v>4713</v>
      </c>
      <c r="N5946" s="3084"/>
      <c r="O5946" s="315"/>
      <c r="P5946" s="301"/>
      <c r="S5946" s="364"/>
      <c r="Z5946" s="609">
        <v>7105</v>
      </c>
      <c r="AA5946" s="609"/>
    </row>
    <row r="5947" spans="1:27" ht="0.75" customHeight="1" thickBot="1">
      <c r="A5947" s="2714"/>
      <c r="B5947" s="371"/>
      <c r="C5947" s="371"/>
      <c r="D5947" s="371"/>
      <c r="F5947" s="371"/>
      <c r="G5947" s="371" t="s">
        <v>4730</v>
      </c>
      <c r="H5947" s="371" t="s">
        <v>4715</v>
      </c>
      <c r="I5947" s="371" t="s">
        <v>4716</v>
      </c>
      <c r="J5947" s="371" t="s">
        <v>3671</v>
      </c>
      <c r="K5947" s="291"/>
      <c r="L5947" s="291"/>
      <c r="M5947" s="291"/>
      <c r="S5947" s="364"/>
      <c r="Z5947" s="609">
        <v>7105</v>
      </c>
      <c r="AA5947" s="609"/>
    </row>
    <row r="5948" spans="1:27" ht="18">
      <c r="A5948" s="2714"/>
      <c r="B5948" s="371"/>
      <c r="C5948" s="371"/>
      <c r="D5948" s="371"/>
      <c r="E5948" s="2716" t="s">
        <v>2749</v>
      </c>
      <c r="F5948" s="294"/>
      <c r="G5948" s="1564" t="s">
        <v>47</v>
      </c>
      <c r="H5948" s="1565" t="s">
        <v>4717</v>
      </c>
      <c r="I5948" s="1565" t="s">
        <v>2887</v>
      </c>
      <c r="J5948" s="1566" t="s">
        <v>2758</v>
      </c>
      <c r="K5948" s="291"/>
      <c r="L5948" s="291"/>
      <c r="M5948" s="291"/>
      <c r="S5948" s="364"/>
      <c r="Z5948" s="609">
        <v>7105</v>
      </c>
      <c r="AA5948" s="609"/>
    </row>
    <row r="5949" spans="1:27" ht="18">
      <c r="A5949" s="2714"/>
      <c r="B5949" s="371">
        <v>101</v>
      </c>
      <c r="C5949" s="371" t="s">
        <v>2791</v>
      </c>
      <c r="D5949" s="2716">
        <f t="shared" ref="D5949:D5954" si="633">IF(OR(G5949="*",G5949="",G5949=0),0,COUNTIF($G$5949:$G$5954,G5949))</f>
        <v>1</v>
      </c>
      <c r="E5949" s="2721">
        <v>1</v>
      </c>
      <c r="F5949" s="294"/>
      <c r="G5949" s="1563" t="s">
        <v>4731</v>
      </c>
      <c r="H5949" s="360" t="s">
        <v>4726</v>
      </c>
      <c r="I5949" s="309"/>
      <c r="J5949" s="388"/>
      <c r="K5949" s="291"/>
      <c r="L5949" s="291"/>
      <c r="M5949" s="291"/>
      <c r="S5949" s="364"/>
      <c r="Z5949" s="609">
        <v>7105</v>
      </c>
      <c r="AA5949" s="609"/>
    </row>
    <row r="5950" spans="1:27" ht="18">
      <c r="A5950" s="2714"/>
      <c r="B5950" s="371">
        <v>102</v>
      </c>
      <c r="C5950" s="371" t="s">
        <v>2791</v>
      </c>
      <c r="D5950" s="2716">
        <f t="shared" si="633"/>
        <v>1</v>
      </c>
      <c r="E5950" s="2721">
        <v>1</v>
      </c>
      <c r="F5950" s="294"/>
      <c r="G5950" s="1563" t="s">
        <v>4732</v>
      </c>
      <c r="H5950" s="360" t="s">
        <v>4726</v>
      </c>
      <c r="I5950" s="309"/>
      <c r="J5950" s="388"/>
      <c r="K5950" s="291"/>
      <c r="L5950" s="291"/>
      <c r="M5950" s="291"/>
      <c r="S5950" s="364"/>
      <c r="Z5950" s="609">
        <v>7105</v>
      </c>
      <c r="AA5950" s="609"/>
    </row>
    <row r="5951" spans="1:27" ht="18">
      <c r="A5951" s="2714"/>
      <c r="B5951" s="371">
        <v>103</v>
      </c>
      <c r="C5951" s="371" t="s">
        <v>2791</v>
      </c>
      <c r="D5951" s="2716">
        <f t="shared" si="633"/>
        <v>1</v>
      </c>
      <c r="E5951" s="2721">
        <v>1</v>
      </c>
      <c r="F5951" s="294"/>
      <c r="G5951" s="1563" t="s">
        <v>4733</v>
      </c>
      <c r="H5951" s="360" t="s">
        <v>4726</v>
      </c>
      <c r="I5951" s="309"/>
      <c r="J5951" s="388"/>
      <c r="K5951" s="291"/>
      <c r="L5951" s="291"/>
      <c r="M5951" s="291"/>
      <c r="S5951" s="364"/>
      <c r="Z5951" s="609">
        <v>7105</v>
      </c>
      <c r="AA5951" s="609"/>
    </row>
    <row r="5952" spans="1:27" ht="18">
      <c r="A5952" s="2714"/>
      <c r="B5952" s="371">
        <v>104</v>
      </c>
      <c r="C5952" s="371" t="s">
        <v>2791</v>
      </c>
      <c r="D5952" s="2716">
        <f t="shared" si="633"/>
        <v>1</v>
      </c>
      <c r="E5952" s="2721">
        <v>1</v>
      </c>
      <c r="F5952" s="294"/>
      <c r="G5952" s="1563" t="s">
        <v>4729</v>
      </c>
      <c r="H5952" s="360" t="s">
        <v>4726</v>
      </c>
      <c r="I5952" s="309"/>
      <c r="J5952" s="388"/>
      <c r="K5952" s="291"/>
      <c r="L5952" s="291"/>
      <c r="M5952" s="291"/>
      <c r="S5952" s="364"/>
      <c r="Z5952" s="609">
        <v>7105</v>
      </c>
      <c r="AA5952" s="609"/>
    </row>
    <row r="5953" spans="1:27" ht="18">
      <c r="A5953" s="2714"/>
      <c r="B5953" s="371">
        <v>105</v>
      </c>
      <c r="C5953" s="371" t="s">
        <v>2791</v>
      </c>
      <c r="D5953" s="2716">
        <f t="shared" si="633"/>
        <v>0</v>
      </c>
      <c r="E5953" s="2721">
        <v>1</v>
      </c>
      <c r="F5953" s="294"/>
      <c r="G5953" s="1563" t="s">
        <v>2792</v>
      </c>
      <c r="H5953" s="360"/>
      <c r="I5953" s="309"/>
      <c r="J5953" s="388"/>
      <c r="K5953" s="291"/>
      <c r="L5953" s="291"/>
      <c r="M5953" s="291"/>
      <c r="S5953" s="364"/>
      <c r="Z5953" s="609">
        <v>7105</v>
      </c>
      <c r="AA5953" s="609"/>
    </row>
    <row r="5954" spans="1:27" ht="18.75" thickBot="1">
      <c r="A5954" s="2714"/>
      <c r="B5954" s="371"/>
      <c r="C5954" s="371"/>
      <c r="D5954" s="2716">
        <f t="shared" si="633"/>
        <v>1</v>
      </c>
      <c r="E5954" s="2721" t="s">
        <v>2751</v>
      </c>
      <c r="F5954" s="294"/>
      <c r="G5954" s="1529" t="s">
        <v>2752</v>
      </c>
      <c r="H5954" s="1570"/>
      <c r="I5954" s="1527">
        <f>SUMPRODUCT($E5948:$E5953,I5948:I5953)</f>
        <v>0</v>
      </c>
      <c r="J5954" s="1571"/>
      <c r="K5954" s="291"/>
      <c r="L5954" s="291"/>
      <c r="M5954" s="291"/>
      <c r="S5954" s="364"/>
      <c r="Z5954" s="609">
        <v>7105</v>
      </c>
      <c r="AA5954" s="609"/>
    </row>
    <row r="5955" spans="1:27" ht="18">
      <c r="A5955" s="2714"/>
      <c r="B5955" s="371"/>
      <c r="C5955" s="371" t="s">
        <v>2755</v>
      </c>
      <c r="D5955" s="371"/>
      <c r="F5955" s="294"/>
      <c r="G5955" s="301"/>
      <c r="H5955" s="393"/>
      <c r="I5955" s="315"/>
      <c r="J5955" s="393"/>
      <c r="K5955" s="291"/>
      <c r="L5955" s="291"/>
      <c r="M5955" s="291"/>
      <c r="S5955" s="364"/>
      <c r="Z5955" s="609">
        <v>7105</v>
      </c>
      <c r="AA5955" s="609"/>
    </row>
    <row r="5956" spans="1:27" ht="18">
      <c r="A5956" s="2714">
        <v>7111</v>
      </c>
      <c r="B5956" s="371">
        <v>78.77</v>
      </c>
      <c r="C5956" s="2716" t="str">
        <f>VLOOKUP($A5956,Sheet_Items,2,0)</f>
        <v>处置固定资产无形资产长期资产收回的现金</v>
      </c>
      <c r="D5956" s="371"/>
      <c r="E5956" s="2716" t="s">
        <v>2739</v>
      </c>
      <c r="F5956" s="294"/>
      <c r="G5956" s="536" t="str">
        <f>B5956&amp;" "&amp;C5956</f>
        <v>78.77 处置固定资产无形资产长期资产收回的现金</v>
      </c>
      <c r="H5956" s="322"/>
      <c r="I5956" s="322"/>
      <c r="J5956" s="306" t="s">
        <v>4206</v>
      </c>
      <c r="K5956" s="341">
        <f>VLOOKUP($A5956,Sheet_Trialbal,6,0)</f>
        <v>0</v>
      </c>
      <c r="L5956" s="342"/>
      <c r="M5956" s="306"/>
      <c r="N5956" s="341"/>
      <c r="O5956" s="306"/>
      <c r="P5956" s="301"/>
      <c r="S5956" s="364"/>
      <c r="Z5956" s="609">
        <v>7111</v>
      </c>
      <c r="AA5956" s="609"/>
    </row>
    <row r="5957" spans="1:27" ht="24">
      <c r="A5957" s="2714" t="s">
        <v>1967</v>
      </c>
      <c r="B5957" s="371">
        <v>1</v>
      </c>
      <c r="C5957" s="371"/>
      <c r="D5957" s="2716" t="str">
        <f>VLOOKUP($A5957,Sheet_NoteList,2,0)</f>
        <v>处置固定资产无形资产长期资产收回的现金计算表</v>
      </c>
      <c r="E5957" s="2716" t="s">
        <v>2742</v>
      </c>
      <c r="F5957" s="294"/>
      <c r="G5957" s="483" t="str">
        <f>"("&amp;B5957&amp;")"&amp;D5957</f>
        <v>(1)处置固定资产无形资产长期资产收回的现金计算表</v>
      </c>
      <c r="H5957" s="1517" t="str">
        <f>$A5957</f>
        <v>7111x</v>
      </c>
      <c r="I5957" s="343" t="s">
        <v>2743</v>
      </c>
      <c r="J5957" s="301" t="s">
        <v>4712</v>
      </c>
      <c r="K5957" s="2210">
        <f>I5973</f>
        <v>0</v>
      </c>
      <c r="L5957" s="345" t="str">
        <f>IF(ROUND(K5956-K5957,2)=0,"F/S",ROUND(K5956-K5957,2))</f>
        <v>F/S</v>
      </c>
      <c r="M5957" s="532" t="s">
        <v>4713</v>
      </c>
      <c r="N5957" s="3084"/>
      <c r="O5957" s="315"/>
      <c r="P5957" s="301"/>
      <c r="S5957" s="364"/>
      <c r="Z5957" s="609">
        <v>7111</v>
      </c>
      <c r="AA5957" s="609"/>
    </row>
    <row r="5958" spans="1:27" ht="0.75" customHeight="1" thickBot="1">
      <c r="A5958" s="2714"/>
      <c r="B5958" s="371"/>
      <c r="C5958" s="371"/>
      <c r="D5958" s="371"/>
      <c r="F5958" s="371"/>
      <c r="G5958" s="371" t="s">
        <v>4734</v>
      </c>
      <c r="H5958" s="371" t="s">
        <v>4715</v>
      </c>
      <c r="I5958" s="371" t="s">
        <v>4716</v>
      </c>
      <c r="J5958" s="371" t="s">
        <v>3671</v>
      </c>
      <c r="K5958" s="291"/>
      <c r="L5958" s="291"/>
      <c r="M5958" s="291"/>
      <c r="S5958" s="364"/>
      <c r="Z5958" s="609">
        <v>7111</v>
      </c>
      <c r="AA5958" s="609"/>
    </row>
    <row r="5959" spans="1:27" ht="18">
      <c r="A5959" s="2714"/>
      <c r="B5959" s="371"/>
      <c r="C5959" s="371"/>
      <c r="D5959" s="371"/>
      <c r="E5959" s="2716" t="s">
        <v>2749</v>
      </c>
      <c r="F5959" s="294"/>
      <c r="G5959" s="1564" t="s">
        <v>47</v>
      </c>
      <c r="H5959" s="1565" t="s">
        <v>4717</v>
      </c>
      <c r="I5959" s="1565" t="s">
        <v>2887</v>
      </c>
      <c r="J5959" s="1566" t="s">
        <v>2758</v>
      </c>
      <c r="K5959" s="291"/>
      <c r="L5959" s="291"/>
      <c r="M5959" s="291"/>
      <c r="S5959" s="364"/>
      <c r="Z5959" s="609">
        <v>7111</v>
      </c>
      <c r="AA5959" s="609"/>
    </row>
    <row r="5960" spans="1:27" ht="18">
      <c r="A5960" s="2714"/>
      <c r="B5960" s="371">
        <v>101</v>
      </c>
      <c r="C5960" s="371" t="s">
        <v>2791</v>
      </c>
      <c r="D5960" s="2716">
        <f t="shared" ref="D5960:D5973" si="634">IF(OR(G5960="*",G5960="",G5960=0),0,COUNTIF($G$5960:$G$5973,G5960))</f>
        <v>1</v>
      </c>
      <c r="E5960" s="2721">
        <v>1</v>
      </c>
      <c r="F5960" s="294"/>
      <c r="G5960" s="1563" t="s">
        <v>4735</v>
      </c>
      <c r="H5960" s="360" t="s">
        <v>4726</v>
      </c>
      <c r="I5960" s="309"/>
      <c r="J5960" s="388"/>
      <c r="K5960" s="291"/>
      <c r="L5960" s="291"/>
      <c r="M5960" s="291"/>
      <c r="S5960" s="364"/>
      <c r="Z5960" s="609">
        <v>7111</v>
      </c>
      <c r="AA5960" s="609"/>
    </row>
    <row r="5961" spans="1:27" ht="18">
      <c r="A5961" s="2714"/>
      <c r="B5961" s="371">
        <v>102</v>
      </c>
      <c r="C5961" s="371" t="s">
        <v>2791</v>
      </c>
      <c r="D5961" s="2716">
        <f t="shared" si="634"/>
        <v>1</v>
      </c>
      <c r="E5961" s="2721">
        <v>1</v>
      </c>
      <c r="F5961" s="294"/>
      <c r="G5961" s="1563" t="s">
        <v>4736</v>
      </c>
      <c r="H5961" s="360" t="s">
        <v>4726</v>
      </c>
      <c r="I5961" s="309"/>
      <c r="J5961" s="388"/>
      <c r="K5961" s="291"/>
      <c r="L5961" s="291"/>
      <c r="M5961" s="291"/>
      <c r="S5961" s="364"/>
      <c r="Z5961" s="609">
        <v>7111</v>
      </c>
      <c r="AA5961" s="609"/>
    </row>
    <row r="5962" spans="1:27" ht="18">
      <c r="A5962" s="2714"/>
      <c r="B5962" s="371">
        <v>103</v>
      </c>
      <c r="C5962" s="371" t="s">
        <v>2791</v>
      </c>
      <c r="D5962" s="2716">
        <f t="shared" si="634"/>
        <v>1</v>
      </c>
      <c r="E5962" s="2721">
        <v>1</v>
      </c>
      <c r="F5962" s="294"/>
      <c r="G5962" s="1563" t="s">
        <v>4737</v>
      </c>
      <c r="H5962" s="360" t="s">
        <v>4726</v>
      </c>
      <c r="I5962" s="309"/>
      <c r="J5962" s="388"/>
      <c r="K5962" s="291"/>
      <c r="L5962" s="291"/>
      <c r="M5962" s="291"/>
      <c r="S5962" s="364"/>
      <c r="Z5962" s="609">
        <v>7111</v>
      </c>
      <c r="AA5962" s="609"/>
    </row>
    <row r="5963" spans="1:27" ht="18">
      <c r="A5963" s="2714"/>
      <c r="B5963" s="371">
        <v>104</v>
      </c>
      <c r="C5963" s="371" t="s">
        <v>2791</v>
      </c>
      <c r="D5963" s="2716">
        <f t="shared" si="634"/>
        <v>1</v>
      </c>
      <c r="E5963" s="2721">
        <v>1</v>
      </c>
      <c r="F5963" s="294"/>
      <c r="G5963" s="1563" t="s">
        <v>4738</v>
      </c>
      <c r="H5963" s="360" t="s">
        <v>4726</v>
      </c>
      <c r="I5963" s="309"/>
      <c r="J5963" s="388"/>
      <c r="K5963" s="291"/>
      <c r="L5963" s="291"/>
      <c r="M5963" s="291"/>
      <c r="S5963" s="364"/>
      <c r="Z5963" s="609">
        <v>7111</v>
      </c>
      <c r="AA5963" s="609"/>
    </row>
    <row r="5964" spans="1:27" ht="18">
      <c r="A5964" s="2714"/>
      <c r="B5964" s="371">
        <v>105</v>
      </c>
      <c r="C5964" s="371" t="s">
        <v>2791</v>
      </c>
      <c r="D5964" s="2716">
        <f t="shared" si="634"/>
        <v>1</v>
      </c>
      <c r="E5964" s="2721">
        <v>1</v>
      </c>
      <c r="F5964" s="294"/>
      <c r="G5964" s="1563" t="s">
        <v>4739</v>
      </c>
      <c r="H5964" s="360" t="s">
        <v>4726</v>
      </c>
      <c r="I5964" s="309"/>
      <c r="J5964" s="388"/>
      <c r="K5964" s="291"/>
      <c r="L5964" s="291"/>
      <c r="M5964" s="291"/>
      <c r="S5964" s="364"/>
      <c r="Z5964" s="609">
        <v>7111</v>
      </c>
      <c r="AA5964" s="609"/>
    </row>
    <row r="5965" spans="1:27" ht="24">
      <c r="A5965" s="2714"/>
      <c r="B5965" s="371">
        <v>106</v>
      </c>
      <c r="C5965" s="371" t="s">
        <v>2791</v>
      </c>
      <c r="D5965" s="2716">
        <f t="shared" si="634"/>
        <v>1</v>
      </c>
      <c r="E5965" s="2721">
        <v>-1</v>
      </c>
      <c r="F5965" s="294"/>
      <c r="G5965" s="1563" t="s">
        <v>4740</v>
      </c>
      <c r="H5965" s="360" t="s">
        <v>4741</v>
      </c>
      <c r="I5965" s="309"/>
      <c r="J5965" s="388"/>
      <c r="K5965" s="291"/>
      <c r="L5965" s="291"/>
      <c r="M5965" s="291"/>
      <c r="S5965" s="364"/>
      <c r="Z5965" s="609">
        <v>7111</v>
      </c>
      <c r="AA5965" s="609"/>
    </row>
    <row r="5966" spans="1:27" ht="18">
      <c r="A5966" s="2714"/>
      <c r="B5966" s="371">
        <v>107</v>
      </c>
      <c r="C5966" s="371" t="s">
        <v>2791</v>
      </c>
      <c r="D5966" s="2716">
        <f t="shared" si="634"/>
        <v>1</v>
      </c>
      <c r="E5966" s="2721">
        <v>-1</v>
      </c>
      <c r="F5966" s="294"/>
      <c r="G5966" s="1563" t="s">
        <v>4742</v>
      </c>
      <c r="H5966" s="360" t="s">
        <v>4741</v>
      </c>
      <c r="I5966" s="309"/>
      <c r="J5966" s="388"/>
      <c r="K5966" s="291"/>
      <c r="L5966" s="291"/>
      <c r="M5966" s="291"/>
      <c r="S5966" s="364"/>
      <c r="Z5966" s="609">
        <v>7111</v>
      </c>
      <c r="AA5966" s="609"/>
    </row>
    <row r="5967" spans="1:27" ht="18">
      <c r="A5967" s="2714"/>
      <c r="B5967" s="371">
        <v>108</v>
      </c>
      <c r="C5967" s="371" t="s">
        <v>2791</v>
      </c>
      <c r="D5967" s="2716">
        <f t="shared" si="634"/>
        <v>1</v>
      </c>
      <c r="E5967" s="2721">
        <v>-1</v>
      </c>
      <c r="F5967" s="294"/>
      <c r="G5967" s="1563" t="s">
        <v>4743</v>
      </c>
      <c r="H5967" s="360" t="s">
        <v>4741</v>
      </c>
      <c r="I5967" s="309"/>
      <c r="J5967" s="388"/>
      <c r="K5967" s="291"/>
      <c r="L5967" s="291"/>
      <c r="M5967" s="291"/>
      <c r="S5967" s="364"/>
      <c r="Z5967" s="609">
        <v>7111</v>
      </c>
      <c r="AA5967" s="609"/>
    </row>
    <row r="5968" spans="1:27" ht="18">
      <c r="A5968" s="2714"/>
      <c r="B5968" s="371">
        <v>109</v>
      </c>
      <c r="C5968" s="371" t="s">
        <v>2791</v>
      </c>
      <c r="D5968" s="2716">
        <f t="shared" si="634"/>
        <v>1</v>
      </c>
      <c r="E5968" s="2721">
        <v>1</v>
      </c>
      <c r="F5968" s="294"/>
      <c r="G5968" s="1563" t="s">
        <v>4744</v>
      </c>
      <c r="H5968" s="360" t="s">
        <v>4726</v>
      </c>
      <c r="I5968" s="309"/>
      <c r="J5968" s="388"/>
      <c r="K5968" s="291"/>
      <c r="L5968" s="291"/>
      <c r="M5968" s="291"/>
      <c r="S5968" s="364"/>
      <c r="Z5968" s="609">
        <v>7111</v>
      </c>
      <c r="AA5968" s="609"/>
    </row>
    <row r="5969" spans="1:27" ht="18">
      <c r="A5969" s="2714"/>
      <c r="B5969" s="371">
        <v>110</v>
      </c>
      <c r="C5969" s="371" t="s">
        <v>2791</v>
      </c>
      <c r="D5969" s="2716">
        <f t="shared" si="634"/>
        <v>1</v>
      </c>
      <c r="E5969" s="2721">
        <v>-1</v>
      </c>
      <c r="F5969" s="294"/>
      <c r="G5969" s="1563" t="s">
        <v>4745</v>
      </c>
      <c r="H5969" s="360" t="s">
        <v>4741</v>
      </c>
      <c r="I5969" s="309"/>
      <c r="J5969" s="388"/>
      <c r="K5969" s="291"/>
      <c r="L5969" s="291"/>
      <c r="M5969" s="291"/>
      <c r="S5969" s="364"/>
      <c r="Z5969" s="609">
        <v>7111</v>
      </c>
      <c r="AA5969" s="609"/>
    </row>
    <row r="5970" spans="1:27" ht="24">
      <c r="A5970" s="2714"/>
      <c r="B5970" s="371">
        <v>111</v>
      </c>
      <c r="C5970" s="371" t="s">
        <v>2791</v>
      </c>
      <c r="D5970" s="2716">
        <f t="shared" si="634"/>
        <v>1</v>
      </c>
      <c r="E5970" s="2721">
        <v>1</v>
      </c>
      <c r="F5970" s="294"/>
      <c r="G5970" s="1563" t="s">
        <v>4746</v>
      </c>
      <c r="H5970" s="360" t="s">
        <v>4726</v>
      </c>
      <c r="I5970" s="309"/>
      <c r="J5970" s="388"/>
      <c r="K5970" s="291"/>
      <c r="L5970" s="291"/>
      <c r="M5970" s="291"/>
      <c r="S5970" s="364"/>
      <c r="Z5970" s="609">
        <v>7111</v>
      </c>
      <c r="AA5970" s="609"/>
    </row>
    <row r="5971" spans="1:27" ht="18">
      <c r="A5971" s="2714"/>
      <c r="B5971" s="371">
        <v>112</v>
      </c>
      <c r="C5971" s="371" t="s">
        <v>2791</v>
      </c>
      <c r="D5971" s="2716">
        <f t="shared" si="634"/>
        <v>1</v>
      </c>
      <c r="E5971" s="2721">
        <v>1</v>
      </c>
      <c r="F5971" s="294"/>
      <c r="G5971" s="1563" t="s">
        <v>932</v>
      </c>
      <c r="H5971" s="360" t="s">
        <v>4726</v>
      </c>
      <c r="I5971" s="309"/>
      <c r="J5971" s="388"/>
      <c r="K5971" s="291"/>
      <c r="L5971" s="291"/>
      <c r="M5971" s="291"/>
      <c r="S5971" s="364"/>
      <c r="Z5971" s="609">
        <v>7111</v>
      </c>
      <c r="AA5971" s="609"/>
    </row>
    <row r="5972" spans="1:27" ht="18">
      <c r="A5972" s="2714"/>
      <c r="B5972" s="371">
        <v>113</v>
      </c>
      <c r="C5972" s="371" t="s">
        <v>2791</v>
      </c>
      <c r="D5972" s="2716">
        <f t="shared" si="634"/>
        <v>0</v>
      </c>
      <c r="E5972" s="2721">
        <v>1</v>
      </c>
      <c r="F5972" s="294"/>
      <c r="G5972" s="1563" t="s">
        <v>2792</v>
      </c>
      <c r="H5972" s="360"/>
      <c r="I5972" s="309"/>
      <c r="J5972" s="388"/>
      <c r="K5972" s="291"/>
      <c r="L5972" s="291"/>
      <c r="M5972" s="291"/>
      <c r="S5972" s="364"/>
      <c r="Z5972" s="609">
        <v>7111</v>
      </c>
      <c r="AA5972" s="609"/>
    </row>
    <row r="5973" spans="1:27" ht="18.75" thickBot="1">
      <c r="A5973" s="2714"/>
      <c r="B5973" s="371"/>
      <c r="C5973" s="371"/>
      <c r="D5973" s="2716">
        <f t="shared" si="634"/>
        <v>1</v>
      </c>
      <c r="E5973" s="2721" t="s">
        <v>2751</v>
      </c>
      <c r="F5973" s="294"/>
      <c r="G5973" s="1529" t="s">
        <v>2752</v>
      </c>
      <c r="H5973" s="1570"/>
      <c r="I5973" s="1527">
        <f>SUMPRODUCT($E5959:$E5972,I5959:I5972)</f>
        <v>0</v>
      </c>
      <c r="J5973" s="1571"/>
      <c r="K5973" s="291"/>
      <c r="L5973" s="291"/>
      <c r="M5973" s="291"/>
      <c r="S5973" s="364"/>
      <c r="Z5973" s="609">
        <v>7111</v>
      </c>
      <c r="AA5973" s="609"/>
    </row>
    <row r="5974" spans="1:27" ht="18">
      <c r="A5974" s="2714"/>
      <c r="B5974" s="371"/>
      <c r="C5974" s="371" t="s">
        <v>2755</v>
      </c>
      <c r="D5974" s="371"/>
      <c r="F5974" s="294"/>
      <c r="G5974" s="301"/>
      <c r="H5974" s="393"/>
      <c r="I5974" s="315"/>
      <c r="J5974" s="393"/>
      <c r="K5974" s="291"/>
      <c r="L5974" s="291"/>
      <c r="M5974" s="291"/>
      <c r="S5974" s="364"/>
      <c r="Z5974" s="609">
        <v>7111</v>
      </c>
      <c r="AA5974" s="609"/>
    </row>
    <row r="5975" spans="1:27" ht="18">
      <c r="A5975" s="2714">
        <v>7151</v>
      </c>
      <c r="B5975" s="371">
        <v>78.78</v>
      </c>
      <c r="C5975" s="2716" t="str">
        <f>VLOOKUP($A5975,Sheet_Items,2,0)</f>
        <v>购置固定资产无形资产长期资产支付的现金</v>
      </c>
      <c r="D5975" s="371"/>
      <c r="E5975" s="2716" t="s">
        <v>2739</v>
      </c>
      <c r="F5975" s="294"/>
      <c r="G5975" s="536" t="str">
        <f>B5975&amp;" "&amp;C5975</f>
        <v>78.78 购置固定资产无形资产长期资产支付的现金</v>
      </c>
      <c r="H5975" s="322"/>
      <c r="I5975" s="322"/>
      <c r="J5975" s="306" t="s">
        <v>4206</v>
      </c>
      <c r="K5975" s="341">
        <f>VLOOKUP($A5975,Sheet_Trialbal,6,0)</f>
        <v>0</v>
      </c>
      <c r="L5975" s="342"/>
      <c r="M5975" s="306"/>
      <c r="N5975" s="341"/>
      <c r="O5975" s="306"/>
      <c r="P5975" s="301"/>
      <c r="S5975" s="364"/>
      <c r="Z5975" s="609">
        <v>7151</v>
      </c>
      <c r="AA5975" s="609"/>
    </row>
    <row r="5976" spans="1:27" ht="24">
      <c r="A5976" s="2714" t="s">
        <v>1973</v>
      </c>
      <c r="B5976" s="371">
        <v>1</v>
      </c>
      <c r="C5976" s="371"/>
      <c r="D5976" s="2716" t="str">
        <f>VLOOKUP($A5976,Sheet_NoteList,2,0)</f>
        <v>购置固定资产无形资产长期资产支付的现金计算表</v>
      </c>
      <c r="E5976" s="2716" t="s">
        <v>2742</v>
      </c>
      <c r="F5976" s="294"/>
      <c r="G5976" s="483" t="str">
        <f>"("&amp;B5976&amp;")"&amp;D5976</f>
        <v>(1)购置固定资产无形资产长期资产支付的现金计算表</v>
      </c>
      <c r="H5976" s="1517" t="str">
        <f>$A5976</f>
        <v>7151x</v>
      </c>
      <c r="I5976" s="343" t="s">
        <v>2743</v>
      </c>
      <c r="J5976" s="301" t="s">
        <v>4712</v>
      </c>
      <c r="K5976" s="2210">
        <f>I5994</f>
        <v>0</v>
      </c>
      <c r="L5976" s="345" t="str">
        <f>IF(ROUND(K5975-K5976,2)=0,"F/S",ROUND(K5975-K5976,2))</f>
        <v>F/S</v>
      </c>
      <c r="M5976" s="532" t="s">
        <v>4713</v>
      </c>
      <c r="N5976" s="3084"/>
      <c r="O5976" s="315"/>
      <c r="P5976" s="301"/>
      <c r="S5976" s="364"/>
      <c r="Z5976" s="609">
        <v>7151</v>
      </c>
      <c r="AA5976" s="609"/>
    </row>
    <row r="5977" spans="1:27" ht="0.75" customHeight="1" thickBot="1">
      <c r="A5977" s="2714"/>
      <c r="B5977" s="371"/>
      <c r="C5977" s="371"/>
      <c r="D5977" s="371"/>
      <c r="F5977" s="371"/>
      <c r="G5977" s="340" t="s">
        <v>4747</v>
      </c>
      <c r="H5977" s="340" t="s">
        <v>4715</v>
      </c>
      <c r="I5977" s="340" t="s">
        <v>4716</v>
      </c>
      <c r="J5977" s="340" t="s">
        <v>3671</v>
      </c>
      <c r="K5977" s="291"/>
      <c r="L5977" s="291"/>
      <c r="M5977" s="291"/>
      <c r="S5977" s="364"/>
      <c r="Z5977" s="609">
        <v>7151</v>
      </c>
      <c r="AA5977" s="609"/>
    </row>
    <row r="5978" spans="1:27" ht="18">
      <c r="A5978" s="2714"/>
      <c r="B5978" s="371"/>
      <c r="C5978" s="371"/>
      <c r="D5978" s="371"/>
      <c r="E5978" s="2716" t="s">
        <v>2749</v>
      </c>
      <c r="F5978" s="294"/>
      <c r="G5978" s="1564" t="s">
        <v>47</v>
      </c>
      <c r="H5978" s="1565" t="s">
        <v>4717</v>
      </c>
      <c r="I5978" s="1565" t="s">
        <v>2887</v>
      </c>
      <c r="J5978" s="1566" t="s">
        <v>2758</v>
      </c>
      <c r="K5978" s="291"/>
      <c r="L5978" s="291"/>
      <c r="M5978" s="291"/>
      <c r="S5978" s="364"/>
      <c r="Z5978" s="609">
        <v>7151</v>
      </c>
      <c r="AA5978" s="609"/>
    </row>
    <row r="5979" spans="1:27" ht="18">
      <c r="A5979" s="2714"/>
      <c r="B5979" s="371">
        <v>101</v>
      </c>
      <c r="C5979" s="371" t="s">
        <v>2791</v>
      </c>
      <c r="D5979" s="2716">
        <f t="shared" ref="D5979:D5994" si="635">IF(OR(G5979="*",G5979="",G5979=0),0,COUNTIF($G$5979:$G$5994,G5979))</f>
        <v>1</v>
      </c>
      <c r="E5979" s="2721">
        <v>1</v>
      </c>
      <c r="F5979" s="294"/>
      <c r="G5979" s="1563" t="s">
        <v>4748</v>
      </c>
      <c r="H5979" s="360" t="s">
        <v>4726</v>
      </c>
      <c r="I5979" s="309"/>
      <c r="J5979" s="388"/>
      <c r="K5979" s="291"/>
      <c r="L5979" s="291"/>
      <c r="M5979" s="291"/>
      <c r="S5979" s="364"/>
      <c r="Z5979" s="609">
        <v>7151</v>
      </c>
      <c r="AA5979" s="609"/>
    </row>
    <row r="5980" spans="1:27" ht="18">
      <c r="A5980" s="2714"/>
      <c r="B5980" s="371">
        <v>102</v>
      </c>
      <c r="C5980" s="371" t="s">
        <v>2791</v>
      </c>
      <c r="D5980" s="2716">
        <f t="shared" si="635"/>
        <v>1</v>
      </c>
      <c r="E5980" s="2721">
        <v>1</v>
      </c>
      <c r="F5980" s="294"/>
      <c r="G5980" s="1563" t="s">
        <v>4749</v>
      </c>
      <c r="H5980" s="360" t="s">
        <v>4726</v>
      </c>
      <c r="I5980" s="309"/>
      <c r="J5980" s="388"/>
      <c r="K5980" s="291"/>
      <c r="L5980" s="291"/>
      <c r="M5980" s="291"/>
      <c r="S5980" s="364"/>
      <c r="Z5980" s="609">
        <v>7151</v>
      </c>
      <c r="AA5980" s="609"/>
    </row>
    <row r="5981" spans="1:27" ht="18">
      <c r="A5981" s="2714"/>
      <c r="B5981" s="371">
        <v>103</v>
      </c>
      <c r="C5981" s="371" t="s">
        <v>2791</v>
      </c>
      <c r="D5981" s="2716">
        <f t="shared" si="635"/>
        <v>1</v>
      </c>
      <c r="E5981" s="2721">
        <v>1</v>
      </c>
      <c r="F5981" s="294"/>
      <c r="G5981" s="1563" t="s">
        <v>4750</v>
      </c>
      <c r="H5981" s="360" t="s">
        <v>4726</v>
      </c>
      <c r="I5981" s="309"/>
      <c r="J5981" s="388"/>
      <c r="K5981" s="291"/>
      <c r="L5981" s="291"/>
      <c r="M5981" s="291"/>
      <c r="S5981" s="364"/>
      <c r="Z5981" s="609">
        <v>7151</v>
      </c>
      <c r="AA5981" s="609"/>
    </row>
    <row r="5982" spans="1:27" ht="36">
      <c r="A5982" s="2714"/>
      <c r="B5982" s="371">
        <v>104</v>
      </c>
      <c r="C5982" s="371" t="s">
        <v>2791</v>
      </c>
      <c r="D5982" s="2716">
        <f t="shared" si="635"/>
        <v>1</v>
      </c>
      <c r="E5982" s="2721">
        <v>1</v>
      </c>
      <c r="F5982" s="294"/>
      <c r="G5982" s="1591" t="s">
        <v>5523</v>
      </c>
      <c r="H5982" s="360" t="s">
        <v>4726</v>
      </c>
      <c r="I5982" s="309"/>
      <c r="J5982" s="388"/>
      <c r="K5982" s="291"/>
      <c r="L5982" s="291"/>
      <c r="M5982" s="291"/>
      <c r="S5982" s="364"/>
      <c r="Z5982" s="609">
        <v>7151</v>
      </c>
      <c r="AA5982" s="609"/>
    </row>
    <row r="5983" spans="1:27" ht="18">
      <c r="A5983" s="2714"/>
      <c r="B5983" s="371">
        <v>105</v>
      </c>
      <c r="C5983" s="371" t="s">
        <v>2791</v>
      </c>
      <c r="D5983" s="2716">
        <f t="shared" si="635"/>
        <v>1</v>
      </c>
      <c r="E5983" s="2721">
        <v>1</v>
      </c>
      <c r="F5983" s="294"/>
      <c r="G5983" s="1563" t="s">
        <v>4751</v>
      </c>
      <c r="H5983" s="360" t="s">
        <v>4726</v>
      </c>
      <c r="I5983" s="309"/>
      <c r="J5983" s="388"/>
      <c r="K5983" s="291"/>
      <c r="L5983" s="291"/>
      <c r="M5983" s="291"/>
      <c r="S5983" s="364"/>
      <c r="Z5983" s="609">
        <v>7151</v>
      </c>
      <c r="AA5983" s="609"/>
    </row>
    <row r="5984" spans="1:27" ht="18">
      <c r="A5984" s="2714"/>
      <c r="B5984" s="371">
        <v>106</v>
      </c>
      <c r="C5984" s="371" t="s">
        <v>2791</v>
      </c>
      <c r="D5984" s="2716">
        <f t="shared" si="635"/>
        <v>1</v>
      </c>
      <c r="E5984" s="2721">
        <v>1</v>
      </c>
      <c r="F5984" s="294"/>
      <c r="G5984" s="1563" t="s">
        <v>4752</v>
      </c>
      <c r="H5984" s="360" t="s">
        <v>4726</v>
      </c>
      <c r="I5984" s="309"/>
      <c r="J5984" s="388"/>
      <c r="K5984" s="291"/>
      <c r="L5984" s="291"/>
      <c r="M5984" s="291"/>
      <c r="S5984" s="364"/>
      <c r="Z5984" s="609">
        <v>7151</v>
      </c>
      <c r="AA5984" s="609"/>
    </row>
    <row r="5985" spans="1:27" ht="18">
      <c r="A5985" s="2714"/>
      <c r="B5985" s="371">
        <v>107</v>
      </c>
      <c r="C5985" s="371" t="s">
        <v>2791</v>
      </c>
      <c r="D5985" s="2716">
        <f t="shared" si="635"/>
        <v>1</v>
      </c>
      <c r="E5985" s="2721">
        <v>1</v>
      </c>
      <c r="F5985" s="294"/>
      <c r="G5985" s="1563" t="s">
        <v>4753</v>
      </c>
      <c r="H5985" s="360" t="s">
        <v>4726</v>
      </c>
      <c r="I5985" s="309"/>
      <c r="J5985" s="388"/>
      <c r="K5985" s="291"/>
      <c r="L5985" s="291"/>
      <c r="M5985" s="291"/>
      <c r="S5985" s="364"/>
      <c r="Z5985" s="609">
        <v>7151</v>
      </c>
      <c r="AA5985" s="609"/>
    </row>
    <row r="5986" spans="1:27" ht="18">
      <c r="A5986" s="2714"/>
      <c r="B5986" s="371">
        <v>108</v>
      </c>
      <c r="C5986" s="371" t="s">
        <v>2791</v>
      </c>
      <c r="D5986" s="2716">
        <f t="shared" si="635"/>
        <v>1</v>
      </c>
      <c r="E5986" s="2721">
        <v>1</v>
      </c>
      <c r="F5986" s="294"/>
      <c r="G5986" s="1563" t="s">
        <v>4754</v>
      </c>
      <c r="H5986" s="360" t="s">
        <v>4726</v>
      </c>
      <c r="I5986" s="309"/>
      <c r="J5986" s="388"/>
      <c r="K5986" s="291"/>
      <c r="L5986" s="291"/>
      <c r="M5986" s="291"/>
      <c r="S5986" s="364"/>
      <c r="Z5986" s="609">
        <v>7151</v>
      </c>
      <c r="AA5986" s="609"/>
    </row>
    <row r="5987" spans="1:27" ht="24">
      <c r="A5987" s="2714"/>
      <c r="B5987" s="371">
        <v>109</v>
      </c>
      <c r="C5987" s="371" t="s">
        <v>2791</v>
      </c>
      <c r="D5987" s="2716">
        <f t="shared" si="635"/>
        <v>1</v>
      </c>
      <c r="E5987" s="2721">
        <v>-1</v>
      </c>
      <c r="F5987" s="294"/>
      <c r="G5987" s="1563" t="s">
        <v>4740</v>
      </c>
      <c r="H5987" s="360" t="s">
        <v>4741</v>
      </c>
      <c r="I5987" s="309"/>
      <c r="J5987" s="388"/>
      <c r="K5987" s="291"/>
      <c r="L5987" s="291"/>
      <c r="M5987" s="291"/>
      <c r="S5987" s="364"/>
      <c r="Z5987" s="609">
        <v>7151</v>
      </c>
      <c r="AA5987" s="609"/>
    </row>
    <row r="5988" spans="1:27" ht="24">
      <c r="A5988" s="2714"/>
      <c r="B5988" s="371">
        <v>110</v>
      </c>
      <c r="C5988" s="371" t="s">
        <v>2791</v>
      </c>
      <c r="D5988" s="2716">
        <f t="shared" si="635"/>
        <v>1</v>
      </c>
      <c r="E5988" s="2721">
        <v>-1</v>
      </c>
      <c r="F5988" s="294"/>
      <c r="G5988" s="1563" t="s">
        <v>4755</v>
      </c>
      <c r="H5988" s="360" t="s">
        <v>4741</v>
      </c>
      <c r="I5988" s="309"/>
      <c r="J5988" s="388"/>
      <c r="K5988" s="291"/>
      <c r="L5988" s="291"/>
      <c r="M5988" s="291"/>
      <c r="S5988" s="364"/>
      <c r="Z5988" s="609">
        <v>7151</v>
      </c>
      <c r="AA5988" s="609"/>
    </row>
    <row r="5989" spans="1:27" ht="24">
      <c r="A5989" s="2714"/>
      <c r="B5989" s="371">
        <v>111</v>
      </c>
      <c r="C5989" s="371" t="s">
        <v>2791</v>
      </c>
      <c r="D5989" s="2716">
        <f t="shared" si="635"/>
        <v>1</v>
      </c>
      <c r="E5989" s="2721">
        <v>-1</v>
      </c>
      <c r="F5989" s="294"/>
      <c r="G5989" s="1563" t="s">
        <v>4756</v>
      </c>
      <c r="H5989" s="360" t="s">
        <v>4741</v>
      </c>
      <c r="I5989" s="309"/>
      <c r="J5989" s="388"/>
      <c r="K5989" s="291"/>
      <c r="L5989" s="291"/>
      <c r="M5989" s="291"/>
      <c r="S5989" s="364"/>
      <c r="Z5989" s="609">
        <v>7151</v>
      </c>
      <c r="AA5989" s="609"/>
    </row>
    <row r="5990" spans="1:27" ht="24">
      <c r="A5990" s="2714"/>
      <c r="B5990" s="371">
        <v>112</v>
      </c>
      <c r="C5990" s="371" t="s">
        <v>2791</v>
      </c>
      <c r="D5990" s="2716">
        <f t="shared" si="635"/>
        <v>1</v>
      </c>
      <c r="E5990" s="2721">
        <v>-1</v>
      </c>
      <c r="F5990" s="294"/>
      <c r="G5990" s="1563" t="s">
        <v>4757</v>
      </c>
      <c r="H5990" s="360" t="s">
        <v>4741</v>
      </c>
      <c r="I5990" s="309"/>
      <c r="J5990" s="388"/>
      <c r="K5990" s="291"/>
      <c r="L5990" s="291"/>
      <c r="M5990" s="291"/>
      <c r="S5990" s="364"/>
      <c r="Z5990" s="609">
        <v>7151</v>
      </c>
      <c r="AA5990" s="609"/>
    </row>
    <row r="5991" spans="1:27" ht="24">
      <c r="A5991" s="2714"/>
      <c r="B5991" s="371">
        <v>113</v>
      </c>
      <c r="C5991" s="371" t="s">
        <v>2791</v>
      </c>
      <c r="D5991" s="2716">
        <f t="shared" si="635"/>
        <v>1</v>
      </c>
      <c r="E5991" s="2721">
        <v>-1</v>
      </c>
      <c r="F5991" s="294"/>
      <c r="G5991" s="1563" t="s">
        <v>4758</v>
      </c>
      <c r="H5991" s="360" t="s">
        <v>4741</v>
      </c>
      <c r="I5991" s="309"/>
      <c r="J5991" s="388"/>
      <c r="K5991" s="291"/>
      <c r="L5991" s="291"/>
      <c r="M5991" s="291"/>
      <c r="S5991" s="364"/>
      <c r="Z5991" s="609">
        <v>7151</v>
      </c>
      <c r="AA5991" s="609"/>
    </row>
    <row r="5992" spans="1:27" ht="18">
      <c r="A5992" s="2714"/>
      <c r="B5992" s="371">
        <v>114</v>
      </c>
      <c r="C5992" s="371" t="s">
        <v>2791</v>
      </c>
      <c r="D5992" s="2716">
        <f t="shared" si="635"/>
        <v>1</v>
      </c>
      <c r="E5992" s="2721">
        <v>1</v>
      </c>
      <c r="F5992" s="294"/>
      <c r="G5992" s="1563" t="s">
        <v>932</v>
      </c>
      <c r="H5992" s="360" t="s">
        <v>4726</v>
      </c>
      <c r="I5992" s="309"/>
      <c r="J5992" s="388"/>
      <c r="K5992" s="291"/>
      <c r="L5992" s="291"/>
      <c r="M5992" s="291"/>
      <c r="S5992" s="364"/>
      <c r="Z5992" s="609">
        <v>7151</v>
      </c>
      <c r="AA5992" s="609"/>
    </row>
    <row r="5993" spans="1:27" ht="18">
      <c r="A5993" s="2714"/>
      <c r="B5993" s="371">
        <v>115</v>
      </c>
      <c r="C5993" s="371" t="s">
        <v>2791</v>
      </c>
      <c r="D5993" s="2716">
        <f t="shared" si="635"/>
        <v>0</v>
      </c>
      <c r="E5993" s="2721">
        <v>1</v>
      </c>
      <c r="F5993" s="294"/>
      <c r="G5993" s="1563" t="s">
        <v>2792</v>
      </c>
      <c r="H5993" s="360"/>
      <c r="I5993" s="309"/>
      <c r="J5993" s="388"/>
      <c r="K5993" s="291"/>
      <c r="L5993" s="291"/>
      <c r="M5993" s="291"/>
      <c r="S5993" s="364"/>
      <c r="Z5993" s="609">
        <v>7151</v>
      </c>
      <c r="AA5993" s="609"/>
    </row>
    <row r="5994" spans="1:27" ht="18.75" thickBot="1">
      <c r="A5994" s="2714"/>
      <c r="B5994" s="371"/>
      <c r="C5994" s="371"/>
      <c r="D5994" s="2716">
        <f t="shared" si="635"/>
        <v>1</v>
      </c>
      <c r="E5994" s="2721" t="s">
        <v>2751</v>
      </c>
      <c r="F5994" s="294"/>
      <c r="G5994" s="1529" t="s">
        <v>2752</v>
      </c>
      <c r="H5994" s="1570"/>
      <c r="I5994" s="1527">
        <f>SUMPRODUCT($E5978:$E5993,I5978:I5993)</f>
        <v>0</v>
      </c>
      <c r="J5994" s="1571"/>
      <c r="K5994" s="291"/>
      <c r="L5994" s="291"/>
      <c r="M5994" s="291"/>
      <c r="S5994" s="364"/>
      <c r="Z5994" s="609">
        <v>7151</v>
      </c>
      <c r="AA5994" s="609"/>
    </row>
    <row r="5995" spans="1:27" ht="18">
      <c r="A5995" s="2714"/>
      <c r="B5995" s="371"/>
      <c r="C5995" s="371" t="s">
        <v>2755</v>
      </c>
      <c r="D5995" s="371"/>
      <c r="F5995" s="294"/>
      <c r="G5995" s="301"/>
      <c r="H5995" s="393"/>
      <c r="I5995" s="315"/>
      <c r="J5995" s="393"/>
      <c r="K5995" s="291"/>
      <c r="L5995" s="291"/>
      <c r="M5995" s="291"/>
      <c r="S5995" s="364"/>
      <c r="Z5995" s="609">
        <v>7151</v>
      </c>
      <c r="AA5995" s="609"/>
    </row>
    <row r="5996" spans="1:27" ht="18">
      <c r="A5996" s="2714">
        <v>7161</v>
      </c>
      <c r="B5996" s="371">
        <v>78.790000000000006</v>
      </c>
      <c r="C5996" s="2716" t="str">
        <f>VLOOKUP($A5996,Sheet_Items,2,0)</f>
        <v>投资支付的现金</v>
      </c>
      <c r="D5996" s="371"/>
      <c r="E5996" s="2716" t="s">
        <v>2739</v>
      </c>
      <c r="F5996" s="294"/>
      <c r="G5996" s="536" t="str">
        <f>B5996&amp;" "&amp;C5996</f>
        <v>78.79 投资支付的现金</v>
      </c>
      <c r="H5996" s="322"/>
      <c r="I5996" s="322"/>
      <c r="J5996" s="306" t="s">
        <v>4206</v>
      </c>
      <c r="K5996" s="341">
        <f>VLOOKUP($A5996,Sheet_Trialbal,6,0)</f>
        <v>0</v>
      </c>
      <c r="L5996" s="342"/>
      <c r="M5996" s="306"/>
      <c r="N5996" s="341"/>
      <c r="O5996" s="306"/>
      <c r="P5996" s="301"/>
      <c r="S5996" s="364"/>
      <c r="Z5996" s="609">
        <v>7161</v>
      </c>
      <c r="AA5996" s="609"/>
    </row>
    <row r="5997" spans="1:27" ht="18">
      <c r="A5997" s="2714" t="s">
        <v>1975</v>
      </c>
      <c r="B5997" s="371">
        <v>1</v>
      </c>
      <c r="C5997" s="371"/>
      <c r="D5997" s="2716" t="str">
        <f>VLOOKUP($A5997,Sheet_NoteList,2,0)</f>
        <v>投资支付的现金计算表</v>
      </c>
      <c r="E5997" s="2716" t="s">
        <v>2742</v>
      </c>
      <c r="F5997" s="294"/>
      <c r="G5997" s="483" t="str">
        <f>"("&amp;B5997&amp;")"&amp;D5997</f>
        <v>(1)投资支付的现金计算表</v>
      </c>
      <c r="H5997" s="1517" t="str">
        <f>$A5997</f>
        <v>7161x</v>
      </c>
      <c r="I5997" s="343" t="s">
        <v>2743</v>
      </c>
      <c r="J5997" s="301" t="s">
        <v>4712</v>
      </c>
      <c r="K5997" s="2210">
        <f>I6005</f>
        <v>0</v>
      </c>
      <c r="L5997" s="345" t="str">
        <f>IF(ROUND(K5996-K5997,2)=0,"F/S",ROUND(K5996-K5997,2))</f>
        <v>F/S</v>
      </c>
      <c r="M5997" s="532" t="s">
        <v>4713</v>
      </c>
      <c r="N5997" s="3084"/>
      <c r="O5997" s="315"/>
      <c r="P5997" s="301"/>
      <c r="S5997" s="364"/>
      <c r="Z5997" s="609">
        <v>7161</v>
      </c>
      <c r="AA5997" s="609"/>
    </row>
    <row r="5998" spans="1:27" ht="0.75" customHeight="1" thickBot="1">
      <c r="A5998" s="2714"/>
      <c r="B5998" s="371"/>
      <c r="C5998" s="371"/>
      <c r="D5998" s="371"/>
      <c r="F5998" s="371"/>
      <c r="G5998" s="371" t="s">
        <v>4759</v>
      </c>
      <c r="H5998" s="371" t="s">
        <v>4715</v>
      </c>
      <c r="I5998" s="371" t="s">
        <v>4716</v>
      </c>
      <c r="J5998" s="371" t="s">
        <v>3671</v>
      </c>
      <c r="K5998" s="291"/>
      <c r="L5998" s="291"/>
      <c r="M5998" s="291"/>
      <c r="S5998" s="364"/>
      <c r="Z5998" s="609">
        <v>7161</v>
      </c>
      <c r="AA5998" s="609"/>
    </row>
    <row r="5999" spans="1:27" ht="18">
      <c r="A5999" s="2714"/>
      <c r="B5999" s="371"/>
      <c r="C5999" s="371"/>
      <c r="D5999" s="371"/>
      <c r="E5999" s="2716" t="s">
        <v>2749</v>
      </c>
      <c r="F5999" s="294"/>
      <c r="G5999" s="1564" t="s">
        <v>47</v>
      </c>
      <c r="H5999" s="1565" t="s">
        <v>4717</v>
      </c>
      <c r="I5999" s="1565" t="s">
        <v>2887</v>
      </c>
      <c r="J5999" s="1566" t="s">
        <v>2758</v>
      </c>
      <c r="K5999" s="291"/>
      <c r="L5999" s="291"/>
      <c r="M5999" s="291"/>
      <c r="S5999" s="364"/>
      <c r="Z5999" s="609">
        <v>7161</v>
      </c>
      <c r="AA5999" s="609"/>
    </row>
    <row r="6000" spans="1:27" ht="18">
      <c r="A6000" s="2714"/>
      <c r="B6000" s="371">
        <v>101</v>
      </c>
      <c r="C6000" s="371" t="s">
        <v>2791</v>
      </c>
      <c r="D6000" s="2716">
        <f t="shared" ref="D6000:D6005" si="636">IF(OR(G6000="*",G6000="",G6000=0),0,COUNTIF($G$6000:$G$6005,G6000))</f>
        <v>1</v>
      </c>
      <c r="E6000" s="2721">
        <v>1</v>
      </c>
      <c r="F6000" s="294"/>
      <c r="G6000" s="1563" t="s">
        <v>4760</v>
      </c>
      <c r="H6000" s="360" t="s">
        <v>4726</v>
      </c>
      <c r="I6000" s="309"/>
      <c r="J6000" s="388"/>
      <c r="K6000" s="291"/>
      <c r="L6000" s="291"/>
      <c r="M6000" s="291"/>
      <c r="S6000" s="364"/>
      <c r="Z6000" s="609">
        <v>7161</v>
      </c>
      <c r="AA6000" s="609"/>
    </row>
    <row r="6001" spans="1:27" ht="18">
      <c r="A6001" s="2714"/>
      <c r="B6001" s="371">
        <v>102</v>
      </c>
      <c r="C6001" s="371" t="s">
        <v>2791</v>
      </c>
      <c r="D6001" s="2716">
        <f t="shared" si="636"/>
        <v>1</v>
      </c>
      <c r="E6001" s="2721">
        <v>1</v>
      </c>
      <c r="F6001" s="294"/>
      <c r="G6001" s="1563" t="s">
        <v>4761</v>
      </c>
      <c r="H6001" s="360" t="s">
        <v>4726</v>
      </c>
      <c r="I6001" s="309"/>
      <c r="J6001" s="388"/>
      <c r="K6001" s="291"/>
      <c r="L6001" s="291"/>
      <c r="M6001" s="291"/>
      <c r="S6001" s="364"/>
      <c r="Z6001" s="609">
        <v>7161</v>
      </c>
      <c r="AA6001" s="609"/>
    </row>
    <row r="6002" spans="1:27" ht="18">
      <c r="A6002" s="2714"/>
      <c r="B6002" s="371">
        <v>103</v>
      </c>
      <c r="C6002" s="371" t="s">
        <v>2791</v>
      </c>
      <c r="D6002" s="2716">
        <f t="shared" si="636"/>
        <v>1</v>
      </c>
      <c r="E6002" s="2721">
        <v>1</v>
      </c>
      <c r="F6002" s="294"/>
      <c r="G6002" s="1563" t="s">
        <v>4762</v>
      </c>
      <c r="H6002" s="360" t="s">
        <v>4726</v>
      </c>
      <c r="I6002" s="309"/>
      <c r="J6002" s="388"/>
      <c r="K6002" s="291"/>
      <c r="L6002" s="291"/>
      <c r="M6002" s="291"/>
      <c r="S6002" s="364"/>
      <c r="Z6002" s="609">
        <v>7161</v>
      </c>
      <c r="AA6002" s="609"/>
    </row>
    <row r="6003" spans="1:27" ht="18">
      <c r="A6003" s="2714"/>
      <c r="B6003" s="371">
        <v>104</v>
      </c>
      <c r="C6003" s="371" t="s">
        <v>2791</v>
      </c>
      <c r="D6003" s="2716">
        <f t="shared" si="636"/>
        <v>1</v>
      </c>
      <c r="E6003" s="2721">
        <v>1</v>
      </c>
      <c r="F6003" s="294"/>
      <c r="G6003" s="1563" t="s">
        <v>4729</v>
      </c>
      <c r="H6003" s="360" t="s">
        <v>4726</v>
      </c>
      <c r="I6003" s="309"/>
      <c r="J6003" s="388"/>
      <c r="K6003" s="291"/>
      <c r="L6003" s="291"/>
      <c r="M6003" s="291"/>
      <c r="S6003" s="364"/>
      <c r="Z6003" s="609">
        <v>7161</v>
      </c>
      <c r="AA6003" s="609"/>
    </row>
    <row r="6004" spans="1:27" ht="18">
      <c r="A6004" s="2714"/>
      <c r="B6004" s="371">
        <v>105</v>
      </c>
      <c r="C6004" s="371" t="s">
        <v>2791</v>
      </c>
      <c r="D6004" s="2716">
        <f t="shared" si="636"/>
        <v>0</v>
      </c>
      <c r="E6004" s="2721">
        <v>1</v>
      </c>
      <c r="F6004" s="294"/>
      <c r="G6004" s="1563" t="s">
        <v>2792</v>
      </c>
      <c r="H6004" s="360"/>
      <c r="I6004" s="309"/>
      <c r="J6004" s="388"/>
      <c r="K6004" s="291"/>
      <c r="L6004" s="291"/>
      <c r="M6004" s="291"/>
      <c r="S6004" s="364"/>
      <c r="Z6004" s="609">
        <v>7161</v>
      </c>
      <c r="AA6004" s="609"/>
    </row>
    <row r="6005" spans="1:27" ht="18.75" thickBot="1">
      <c r="A6005" s="2714"/>
      <c r="B6005" s="371"/>
      <c r="C6005" s="371"/>
      <c r="D6005" s="2716">
        <f t="shared" si="636"/>
        <v>1</v>
      </c>
      <c r="E6005" s="2721" t="s">
        <v>2751</v>
      </c>
      <c r="F6005" s="294"/>
      <c r="G6005" s="1529" t="s">
        <v>2752</v>
      </c>
      <c r="H6005" s="1570"/>
      <c r="I6005" s="1527">
        <f>SUMPRODUCT($E5999:$E6004,I5999:I6004)</f>
        <v>0</v>
      </c>
      <c r="J6005" s="1571"/>
      <c r="K6005" s="291"/>
      <c r="L6005" s="291"/>
      <c r="M6005" s="291"/>
      <c r="S6005" s="364"/>
      <c r="Z6005" s="609">
        <v>7161</v>
      </c>
      <c r="AA6005" s="609"/>
    </row>
    <row r="6006" spans="1:27" ht="18">
      <c r="A6006" s="2714"/>
      <c r="B6006" s="371"/>
      <c r="C6006" s="371" t="s">
        <v>2755</v>
      </c>
      <c r="D6006" s="371"/>
      <c r="F6006" s="294"/>
      <c r="G6006" s="301"/>
      <c r="H6006" s="393"/>
      <c r="I6006" s="315"/>
      <c r="J6006" s="393"/>
      <c r="K6006" s="291"/>
      <c r="L6006" s="291"/>
      <c r="M6006" s="291"/>
      <c r="S6006" s="364"/>
      <c r="Z6006" s="609">
        <v>7161</v>
      </c>
      <c r="AA6006" s="609"/>
    </row>
    <row r="6007" spans="1:27" ht="18">
      <c r="A6007" s="2714">
        <v>7211</v>
      </c>
      <c r="B6007" s="371">
        <v>78.81</v>
      </c>
      <c r="C6007" s="2716" t="str">
        <f>VLOOKUP($A6007,Sheet_Items,2,0)</f>
        <v>取得借款收到的现金</v>
      </c>
      <c r="D6007" s="371"/>
      <c r="E6007" s="2716" t="s">
        <v>2739</v>
      </c>
      <c r="F6007" s="294"/>
      <c r="G6007" s="536" t="str">
        <f>B6007&amp;" "&amp;C6007</f>
        <v>78.81 取得借款收到的现金</v>
      </c>
      <c r="H6007" s="322"/>
      <c r="I6007" s="322"/>
      <c r="J6007" s="306" t="s">
        <v>4206</v>
      </c>
      <c r="K6007" s="341">
        <f>VLOOKUP($A6007,Sheet_Trialbal,6,0)</f>
        <v>0</v>
      </c>
      <c r="L6007" s="342"/>
      <c r="M6007" s="306"/>
      <c r="N6007" s="341"/>
      <c r="O6007" s="306"/>
      <c r="P6007" s="301"/>
      <c r="S6007" s="364"/>
      <c r="Z6007" s="609">
        <v>7211</v>
      </c>
      <c r="AA6007" s="609"/>
    </row>
    <row r="6008" spans="1:27" ht="24">
      <c r="A6008" s="2714" t="s">
        <v>1980</v>
      </c>
      <c r="B6008" s="371">
        <v>1</v>
      </c>
      <c r="C6008" s="371"/>
      <c r="D6008" s="2716" t="str">
        <f>VLOOKUP($A6008,Sheet_NoteList,2,0)</f>
        <v>取得借款收到的现金计算表</v>
      </c>
      <c r="E6008" s="2716" t="s">
        <v>2742</v>
      </c>
      <c r="F6008" s="294"/>
      <c r="G6008" s="483" t="str">
        <f>"("&amp;B6008&amp;")"&amp;D6008</f>
        <v>(1)取得借款收到的现金计算表</v>
      </c>
      <c r="H6008" s="1517" t="str">
        <f>$A6008</f>
        <v>7211x</v>
      </c>
      <c r="I6008" s="343" t="s">
        <v>2743</v>
      </c>
      <c r="J6008" s="301" t="s">
        <v>4712</v>
      </c>
      <c r="K6008" s="2210">
        <f>I6017</f>
        <v>0</v>
      </c>
      <c r="L6008" s="345" t="str">
        <f>IF(ROUND(K6007-K6008,2)=0,"F/S",ROUND(K6007-K6008,2))</f>
        <v>F/S</v>
      </c>
      <c r="M6008" s="532" t="s">
        <v>4713</v>
      </c>
      <c r="N6008" s="3084"/>
      <c r="O6008" s="315"/>
      <c r="P6008" s="301"/>
      <c r="S6008" s="364"/>
      <c r="Z6008" s="609">
        <v>7211</v>
      </c>
      <c r="AA6008" s="609"/>
    </row>
    <row r="6009" spans="1:27" ht="0.75" customHeight="1" thickBot="1">
      <c r="A6009" s="2714"/>
      <c r="B6009" s="371"/>
      <c r="C6009" s="371"/>
      <c r="D6009" s="371"/>
      <c r="F6009" s="371"/>
      <c r="G6009" s="371" t="s">
        <v>4763</v>
      </c>
      <c r="H6009" s="371" t="s">
        <v>4715</v>
      </c>
      <c r="I6009" s="371" t="s">
        <v>4716</v>
      </c>
      <c r="J6009" s="371" t="s">
        <v>3671</v>
      </c>
      <c r="K6009" s="291"/>
      <c r="L6009" s="291"/>
      <c r="M6009" s="291"/>
      <c r="S6009" s="364"/>
      <c r="Z6009" s="609">
        <v>7211</v>
      </c>
      <c r="AA6009" s="609"/>
    </row>
    <row r="6010" spans="1:27" ht="18">
      <c r="A6010" s="2714"/>
      <c r="B6010" s="371"/>
      <c r="C6010" s="371"/>
      <c r="D6010" s="371"/>
      <c r="E6010" s="2716" t="s">
        <v>2749</v>
      </c>
      <c r="F6010" s="294"/>
      <c r="G6010" s="1564" t="s">
        <v>47</v>
      </c>
      <c r="H6010" s="1565" t="s">
        <v>4717</v>
      </c>
      <c r="I6010" s="1565" t="s">
        <v>2887</v>
      </c>
      <c r="J6010" s="1566" t="s">
        <v>2758</v>
      </c>
      <c r="K6010" s="291"/>
      <c r="L6010" s="291"/>
      <c r="M6010" s="291"/>
      <c r="S6010" s="364"/>
      <c r="Z6010" s="609">
        <v>7211</v>
      </c>
      <c r="AA6010" s="609"/>
    </row>
    <row r="6011" spans="1:27" ht="18">
      <c r="A6011" s="2714"/>
      <c r="B6011" s="371">
        <v>101</v>
      </c>
      <c r="C6011" s="371" t="s">
        <v>2791</v>
      </c>
      <c r="D6011" s="2716">
        <f t="shared" ref="D6011:D6017" si="637">IF(OR(G6011="*",G6011="",G6011=0),0,COUNTIF($G$6011:$G$6017,G6011))</f>
        <v>1</v>
      </c>
      <c r="E6011" s="2721">
        <v>1</v>
      </c>
      <c r="F6011" s="294"/>
      <c r="G6011" s="1563" t="s">
        <v>4764</v>
      </c>
      <c r="H6011" s="360" t="s">
        <v>4726</v>
      </c>
      <c r="I6011" s="309"/>
      <c r="J6011" s="388"/>
      <c r="K6011" s="291"/>
      <c r="L6011" s="291"/>
      <c r="M6011" s="291"/>
      <c r="S6011" s="364"/>
      <c r="Z6011" s="609">
        <v>7211</v>
      </c>
      <c r="AA6011" s="609"/>
    </row>
    <row r="6012" spans="1:27" ht="18">
      <c r="A6012" s="2714"/>
      <c r="B6012" s="371">
        <v>102</v>
      </c>
      <c r="C6012" s="371" t="s">
        <v>2791</v>
      </c>
      <c r="D6012" s="2716">
        <f t="shared" si="637"/>
        <v>1</v>
      </c>
      <c r="E6012" s="2721">
        <v>1</v>
      </c>
      <c r="F6012" s="294"/>
      <c r="G6012" s="1563" t="s">
        <v>4765</v>
      </c>
      <c r="H6012" s="360" t="s">
        <v>4726</v>
      </c>
      <c r="I6012" s="309"/>
      <c r="J6012" s="388"/>
      <c r="K6012" s="291"/>
      <c r="L6012" s="291"/>
      <c r="M6012" s="291"/>
      <c r="S6012" s="364"/>
      <c r="Z6012" s="609">
        <v>7211</v>
      </c>
      <c r="AA6012" s="609"/>
    </row>
    <row r="6013" spans="1:27" ht="18">
      <c r="A6013" s="2714"/>
      <c r="B6013" s="371">
        <v>103</v>
      </c>
      <c r="C6013" s="371" t="s">
        <v>2791</v>
      </c>
      <c r="D6013" s="2716">
        <f t="shared" si="637"/>
        <v>1</v>
      </c>
      <c r="E6013" s="2721">
        <v>1</v>
      </c>
      <c r="F6013" s="294"/>
      <c r="G6013" s="1563" t="s">
        <v>4766</v>
      </c>
      <c r="H6013" s="360" t="s">
        <v>4726</v>
      </c>
      <c r="I6013" s="309"/>
      <c r="J6013" s="388"/>
      <c r="K6013" s="291"/>
      <c r="L6013" s="291"/>
      <c r="M6013" s="291"/>
      <c r="S6013" s="364"/>
      <c r="Z6013" s="609">
        <v>7211</v>
      </c>
      <c r="AA6013" s="609"/>
    </row>
    <row r="6014" spans="1:27" ht="18">
      <c r="A6014" s="2714"/>
      <c r="B6014" s="371">
        <v>104</v>
      </c>
      <c r="C6014" s="371" t="s">
        <v>2791</v>
      </c>
      <c r="D6014" s="2716">
        <f t="shared" si="637"/>
        <v>1</v>
      </c>
      <c r="E6014" s="2721">
        <v>1</v>
      </c>
      <c r="F6014" s="294"/>
      <c r="G6014" s="1563" t="s">
        <v>4767</v>
      </c>
      <c r="H6014" s="360" t="s">
        <v>4726</v>
      </c>
      <c r="I6014" s="309"/>
      <c r="J6014" s="388"/>
      <c r="K6014" s="291"/>
      <c r="L6014" s="291"/>
      <c r="M6014" s="291"/>
      <c r="S6014" s="364"/>
      <c r="Z6014" s="609">
        <v>7211</v>
      </c>
      <c r="AA6014" s="609"/>
    </row>
    <row r="6015" spans="1:27" ht="24">
      <c r="A6015" s="2714"/>
      <c r="B6015" s="371">
        <v>105</v>
      </c>
      <c r="C6015" s="371" t="s">
        <v>2791</v>
      </c>
      <c r="D6015" s="2716">
        <f t="shared" si="637"/>
        <v>1</v>
      </c>
      <c r="E6015" s="2721">
        <v>1</v>
      </c>
      <c r="F6015" s="294"/>
      <c r="G6015" s="1563" t="s">
        <v>4768</v>
      </c>
      <c r="H6015" s="360" t="s">
        <v>4726</v>
      </c>
      <c r="I6015" s="309"/>
      <c r="J6015" s="388"/>
      <c r="K6015" s="291"/>
      <c r="L6015" s="291"/>
      <c r="M6015" s="291"/>
      <c r="S6015" s="364"/>
      <c r="Z6015" s="609">
        <v>7211</v>
      </c>
      <c r="AA6015" s="609"/>
    </row>
    <row r="6016" spans="1:27" ht="18">
      <c r="A6016" s="2714"/>
      <c r="B6016" s="371">
        <v>106</v>
      </c>
      <c r="C6016" s="371" t="s">
        <v>2791</v>
      </c>
      <c r="D6016" s="2716">
        <f t="shared" si="637"/>
        <v>0</v>
      </c>
      <c r="E6016" s="2721">
        <v>1</v>
      </c>
      <c r="F6016" s="294"/>
      <c r="G6016" s="1563" t="s">
        <v>2792</v>
      </c>
      <c r="H6016" s="360"/>
      <c r="I6016" s="309"/>
      <c r="J6016" s="388"/>
      <c r="K6016" s="291"/>
      <c r="L6016" s="291"/>
      <c r="M6016" s="291"/>
      <c r="S6016" s="364"/>
      <c r="Z6016" s="609">
        <v>7211</v>
      </c>
      <c r="AA6016" s="609"/>
    </row>
    <row r="6017" spans="1:27" ht="18.75" thickBot="1">
      <c r="A6017" s="2714"/>
      <c r="B6017" s="371"/>
      <c r="C6017" s="371"/>
      <c r="D6017" s="2716">
        <f t="shared" si="637"/>
        <v>1</v>
      </c>
      <c r="E6017" s="2721" t="s">
        <v>2751</v>
      </c>
      <c r="F6017" s="294"/>
      <c r="G6017" s="1529" t="s">
        <v>2752</v>
      </c>
      <c r="H6017" s="1570"/>
      <c r="I6017" s="1527">
        <f>SUMPRODUCT($E6010:$E6016,I6010:I6016)</f>
        <v>0</v>
      </c>
      <c r="J6017" s="1571"/>
      <c r="K6017" s="291"/>
      <c r="L6017" s="291"/>
      <c r="M6017" s="291"/>
      <c r="S6017" s="364"/>
      <c r="Z6017" s="609">
        <v>7211</v>
      </c>
      <c r="AA6017" s="609"/>
    </row>
    <row r="6018" spans="1:27" ht="18">
      <c r="A6018" s="2714"/>
      <c r="B6018" s="371"/>
      <c r="C6018" s="371" t="s">
        <v>2755</v>
      </c>
      <c r="D6018" s="371"/>
      <c r="F6018" s="294"/>
      <c r="G6018" s="301"/>
      <c r="H6018" s="393"/>
      <c r="I6018" s="315"/>
      <c r="J6018" s="393"/>
      <c r="K6018" s="291"/>
      <c r="L6018" s="291"/>
      <c r="M6018" s="291"/>
      <c r="S6018" s="364"/>
      <c r="Z6018" s="609">
        <v>7211</v>
      </c>
      <c r="AA6018" s="609"/>
    </row>
    <row r="6019" spans="1:27" ht="18">
      <c r="A6019" s="2714">
        <v>7251</v>
      </c>
      <c r="B6019" s="371">
        <v>78.819999999999993</v>
      </c>
      <c r="C6019" s="2716" t="str">
        <f>VLOOKUP($A6019,Sheet_Items,2,0)</f>
        <v>偿还债务支付的现金</v>
      </c>
      <c r="D6019" s="371"/>
      <c r="E6019" s="2716" t="s">
        <v>2739</v>
      </c>
      <c r="F6019" s="294"/>
      <c r="G6019" s="536" t="str">
        <f>B6019&amp;" "&amp;C6019</f>
        <v>78.82 偿还债务支付的现金</v>
      </c>
      <c r="H6019" s="322"/>
      <c r="I6019" s="322"/>
      <c r="J6019" s="306" t="s">
        <v>4206</v>
      </c>
      <c r="K6019" s="341">
        <f>VLOOKUP($A6019,Sheet_Trialbal,6,0)</f>
        <v>0</v>
      </c>
      <c r="L6019" s="342"/>
      <c r="M6019" s="306"/>
      <c r="N6019" s="341"/>
      <c r="O6019" s="306"/>
      <c r="P6019" s="301"/>
      <c r="S6019" s="364"/>
      <c r="Z6019" s="609">
        <v>7251</v>
      </c>
      <c r="AA6019" s="609"/>
    </row>
    <row r="6020" spans="1:27" ht="24">
      <c r="A6020" s="2714" t="s">
        <v>1986</v>
      </c>
      <c r="B6020" s="371">
        <v>1</v>
      </c>
      <c r="C6020" s="371"/>
      <c r="D6020" s="2716" t="str">
        <f>VLOOKUP($A6020,Sheet_NoteList,2,0)</f>
        <v>偿还债务支付的现金计算表</v>
      </c>
      <c r="E6020" s="2716" t="s">
        <v>2742</v>
      </c>
      <c r="F6020" s="294"/>
      <c r="G6020" s="483" t="str">
        <f>"("&amp;B6020&amp;")"&amp;D6020</f>
        <v>(1)偿还债务支付的现金计算表</v>
      </c>
      <c r="H6020" s="1517" t="str">
        <f>$A6020</f>
        <v>7251x</v>
      </c>
      <c r="I6020" s="343" t="s">
        <v>2743</v>
      </c>
      <c r="J6020" s="301" t="s">
        <v>4712</v>
      </c>
      <c r="K6020" s="2210">
        <f>I6029</f>
        <v>0</v>
      </c>
      <c r="L6020" s="345" t="str">
        <f>IF(ROUND(K6019-K6020,2)=0,"F/S",ROUND(K6019-K6020,2))</f>
        <v>F/S</v>
      </c>
      <c r="M6020" s="532" t="s">
        <v>4713</v>
      </c>
      <c r="N6020" s="3084"/>
      <c r="O6020" s="315"/>
      <c r="P6020" s="301"/>
      <c r="S6020" s="364"/>
      <c r="Z6020" s="609">
        <v>7251</v>
      </c>
      <c r="AA6020" s="609"/>
    </row>
    <row r="6021" spans="1:27" ht="0.75" customHeight="1" thickBot="1">
      <c r="A6021" s="2714"/>
      <c r="B6021" s="371"/>
      <c r="C6021" s="371"/>
      <c r="D6021" s="371"/>
      <c r="F6021" s="371"/>
      <c r="G6021" s="371" t="s">
        <v>4769</v>
      </c>
      <c r="H6021" s="371" t="s">
        <v>4715</v>
      </c>
      <c r="I6021" s="371" t="s">
        <v>4716</v>
      </c>
      <c r="J6021" s="371" t="s">
        <v>3671</v>
      </c>
      <c r="K6021" s="291"/>
      <c r="L6021" s="291"/>
      <c r="M6021" s="291"/>
      <c r="S6021" s="364"/>
      <c r="Z6021" s="609">
        <v>7251</v>
      </c>
      <c r="AA6021" s="609"/>
    </row>
    <row r="6022" spans="1:27" ht="18">
      <c r="A6022" s="2714"/>
      <c r="B6022" s="371"/>
      <c r="C6022" s="371"/>
      <c r="D6022" s="371"/>
      <c r="E6022" s="2716" t="s">
        <v>2749</v>
      </c>
      <c r="F6022" s="294"/>
      <c r="G6022" s="1564" t="s">
        <v>47</v>
      </c>
      <c r="H6022" s="1565" t="s">
        <v>4717</v>
      </c>
      <c r="I6022" s="1565" t="s">
        <v>2887</v>
      </c>
      <c r="J6022" s="1566" t="s">
        <v>2758</v>
      </c>
      <c r="K6022" s="291"/>
      <c r="L6022" s="291"/>
      <c r="M6022" s="291"/>
      <c r="S6022" s="364"/>
      <c r="Z6022" s="609">
        <v>7251</v>
      </c>
      <c r="AA6022" s="609"/>
    </row>
    <row r="6023" spans="1:27" ht="18">
      <c r="A6023" s="2714"/>
      <c r="B6023" s="371">
        <v>101</v>
      </c>
      <c r="C6023" s="371" t="s">
        <v>2791</v>
      </c>
      <c r="D6023" s="2716">
        <f t="shared" ref="D6023:D6029" si="638">IF(OR(G6023="*",G6023="",G6023=0),0,COUNTIF($G$6023:$G$6029,G6023))</f>
        <v>1</v>
      </c>
      <c r="E6023" s="2721">
        <v>1</v>
      </c>
      <c r="F6023" s="294"/>
      <c r="G6023" s="1563" t="s">
        <v>4770</v>
      </c>
      <c r="H6023" s="360" t="s">
        <v>4726</v>
      </c>
      <c r="I6023" s="309"/>
      <c r="J6023" s="388"/>
      <c r="K6023" s="291"/>
      <c r="L6023" s="291"/>
      <c r="M6023" s="291"/>
      <c r="S6023" s="364"/>
      <c r="Z6023" s="609">
        <v>7251</v>
      </c>
      <c r="AA6023" s="609"/>
    </row>
    <row r="6024" spans="1:27" ht="18">
      <c r="A6024" s="2714"/>
      <c r="B6024" s="371">
        <v>102</v>
      </c>
      <c r="C6024" s="371" t="s">
        <v>2791</v>
      </c>
      <c r="D6024" s="2716">
        <f t="shared" si="638"/>
        <v>1</v>
      </c>
      <c r="E6024" s="2721">
        <v>1</v>
      </c>
      <c r="F6024" s="294"/>
      <c r="G6024" s="1563" t="s">
        <v>4771</v>
      </c>
      <c r="H6024" s="360" t="s">
        <v>4726</v>
      </c>
      <c r="I6024" s="309"/>
      <c r="J6024" s="388"/>
      <c r="K6024" s="291"/>
      <c r="L6024" s="291"/>
      <c r="M6024" s="291"/>
      <c r="S6024" s="364"/>
      <c r="Z6024" s="609">
        <v>7251</v>
      </c>
      <c r="AA6024" s="609"/>
    </row>
    <row r="6025" spans="1:27" ht="18">
      <c r="A6025" s="2714"/>
      <c r="B6025" s="371">
        <v>103</v>
      </c>
      <c r="C6025" s="371" t="s">
        <v>2791</v>
      </c>
      <c r="D6025" s="2716">
        <f t="shared" si="638"/>
        <v>1</v>
      </c>
      <c r="E6025" s="2721">
        <v>1</v>
      </c>
      <c r="F6025" s="294"/>
      <c r="G6025" s="1563" t="s">
        <v>4772</v>
      </c>
      <c r="H6025" s="360" t="s">
        <v>4726</v>
      </c>
      <c r="I6025" s="309"/>
      <c r="J6025" s="388"/>
      <c r="K6025" s="291"/>
      <c r="L6025" s="291"/>
      <c r="M6025" s="291"/>
      <c r="S6025" s="364"/>
      <c r="Z6025" s="609">
        <v>7251</v>
      </c>
      <c r="AA6025" s="609"/>
    </row>
    <row r="6026" spans="1:27" ht="18">
      <c r="A6026" s="2714"/>
      <c r="B6026" s="371">
        <v>104</v>
      </c>
      <c r="C6026" s="371" t="s">
        <v>2791</v>
      </c>
      <c r="D6026" s="2716">
        <f t="shared" si="638"/>
        <v>1</v>
      </c>
      <c r="E6026" s="2721">
        <v>1</v>
      </c>
      <c r="F6026" s="294"/>
      <c r="G6026" s="1563" t="s">
        <v>4773</v>
      </c>
      <c r="H6026" s="360" t="s">
        <v>4726</v>
      </c>
      <c r="I6026" s="309"/>
      <c r="J6026" s="388"/>
      <c r="K6026" s="291"/>
      <c r="L6026" s="291"/>
      <c r="M6026" s="291"/>
      <c r="S6026" s="364"/>
      <c r="Z6026" s="609">
        <v>7251</v>
      </c>
      <c r="AA6026" s="609"/>
    </row>
    <row r="6027" spans="1:27" ht="24">
      <c r="A6027" s="2714"/>
      <c r="B6027" s="371">
        <v>105</v>
      </c>
      <c r="C6027" s="371" t="s">
        <v>2791</v>
      </c>
      <c r="D6027" s="2716">
        <f t="shared" si="638"/>
        <v>1</v>
      </c>
      <c r="E6027" s="2721">
        <v>1</v>
      </c>
      <c r="F6027" s="294"/>
      <c r="G6027" s="1563" t="s">
        <v>4774</v>
      </c>
      <c r="H6027" s="360" t="s">
        <v>4726</v>
      </c>
      <c r="I6027" s="309"/>
      <c r="J6027" s="388"/>
      <c r="K6027" s="291"/>
      <c r="L6027" s="291"/>
      <c r="M6027" s="291"/>
      <c r="S6027" s="364"/>
      <c r="Z6027" s="609">
        <v>7251</v>
      </c>
      <c r="AA6027" s="609"/>
    </row>
    <row r="6028" spans="1:27" ht="18">
      <c r="A6028" s="2714"/>
      <c r="B6028" s="371">
        <v>106</v>
      </c>
      <c r="C6028" s="371" t="s">
        <v>2791</v>
      </c>
      <c r="D6028" s="2716">
        <f t="shared" si="638"/>
        <v>0</v>
      </c>
      <c r="E6028" s="2721">
        <v>1</v>
      </c>
      <c r="F6028" s="294"/>
      <c r="G6028" s="1563" t="s">
        <v>2792</v>
      </c>
      <c r="H6028" s="360"/>
      <c r="I6028" s="309"/>
      <c r="J6028" s="388"/>
      <c r="K6028" s="291"/>
      <c r="L6028" s="291"/>
      <c r="M6028" s="291"/>
      <c r="S6028" s="364"/>
      <c r="Z6028" s="609">
        <v>7251</v>
      </c>
      <c r="AA6028" s="609"/>
    </row>
    <row r="6029" spans="1:27" ht="18.75" thickBot="1">
      <c r="A6029" s="2714"/>
      <c r="B6029" s="371"/>
      <c r="C6029" s="371"/>
      <c r="D6029" s="2716">
        <f t="shared" si="638"/>
        <v>1</v>
      </c>
      <c r="E6029" s="2721" t="s">
        <v>2751</v>
      </c>
      <c r="F6029" s="294"/>
      <c r="G6029" s="1529" t="s">
        <v>2752</v>
      </c>
      <c r="H6029" s="1570"/>
      <c r="I6029" s="1527">
        <f>SUMPRODUCT($E6022:$E6028,I6022:I6028)</f>
        <v>0</v>
      </c>
      <c r="J6029" s="1571"/>
      <c r="K6029" s="291"/>
      <c r="L6029" s="291"/>
      <c r="M6029" s="291"/>
      <c r="S6029" s="364"/>
      <c r="Z6029" s="609">
        <v>7251</v>
      </c>
      <c r="AA6029" s="609"/>
    </row>
    <row r="6030" spans="1:27" ht="18">
      <c r="A6030" s="2714"/>
      <c r="B6030" s="371"/>
      <c r="C6030" s="371" t="s">
        <v>2755</v>
      </c>
      <c r="D6030" s="371"/>
      <c r="F6030" s="294"/>
      <c r="G6030" s="301"/>
      <c r="H6030" s="393"/>
      <c r="I6030" s="315"/>
      <c r="J6030" s="393"/>
      <c r="K6030" s="291"/>
      <c r="L6030" s="291"/>
      <c r="M6030" s="291"/>
      <c r="S6030" s="364"/>
      <c r="Z6030" s="609">
        <v>7251</v>
      </c>
      <c r="AA6030" s="609"/>
    </row>
    <row r="6031" spans="1:27" ht="18">
      <c r="A6031" s="2714">
        <v>7261</v>
      </c>
      <c r="B6031" s="371">
        <v>78.83</v>
      </c>
      <c r="C6031" s="2716" t="str">
        <f>VLOOKUP($A6031,Sheet_Items,2,0)</f>
        <v>分配利润偿付利息支付的现金</v>
      </c>
      <c r="D6031" s="371"/>
      <c r="E6031" s="2716" t="s">
        <v>2739</v>
      </c>
      <c r="F6031" s="294"/>
      <c r="G6031" s="536" t="str">
        <f>B6031&amp;" "&amp;C6031</f>
        <v>78.83 分配利润偿付利息支付的现金</v>
      </c>
      <c r="H6031" s="322"/>
      <c r="I6031" s="322"/>
      <c r="J6031" s="306" t="s">
        <v>4206</v>
      </c>
      <c r="K6031" s="341">
        <f>VLOOKUP($A6031,Sheet_Trialbal,6,0)</f>
        <v>0</v>
      </c>
      <c r="L6031" s="342"/>
      <c r="M6031" s="306"/>
      <c r="N6031" s="341"/>
      <c r="O6031" s="306"/>
      <c r="P6031" s="301"/>
      <c r="S6031" s="364"/>
      <c r="Z6031" s="609">
        <v>7261</v>
      </c>
      <c r="AA6031" s="609"/>
    </row>
    <row r="6032" spans="1:27" ht="24">
      <c r="A6032" s="2714" t="s">
        <v>1988</v>
      </c>
      <c r="B6032" s="371">
        <v>1</v>
      </c>
      <c r="C6032" s="371"/>
      <c r="D6032" s="2716" t="str">
        <f>VLOOKUP($A6032,Sheet_NoteList,2,0)</f>
        <v>分配利润偿付利息支付的现金计算表</v>
      </c>
      <c r="E6032" s="2716" t="s">
        <v>2742</v>
      </c>
      <c r="F6032" s="294"/>
      <c r="G6032" s="483" t="str">
        <f>"("&amp;B6032&amp;")"&amp;D6032</f>
        <v>(1)分配利润偿付利息支付的现金计算表</v>
      </c>
      <c r="H6032" s="1517" t="str">
        <f>$A6032</f>
        <v>7261x</v>
      </c>
      <c r="I6032" s="343" t="s">
        <v>2743</v>
      </c>
      <c r="J6032" s="301" t="s">
        <v>4712</v>
      </c>
      <c r="K6032" s="2210">
        <f>I6051</f>
        <v>0</v>
      </c>
      <c r="L6032" s="345" t="str">
        <f>IF(ROUND(K6031-K6032,2)=0,"F/S",ROUND(K6031-K6032,2))</f>
        <v>F/S</v>
      </c>
      <c r="M6032" s="532" t="s">
        <v>4713</v>
      </c>
      <c r="N6032" s="3084"/>
      <c r="O6032" s="315"/>
      <c r="P6032" s="301"/>
      <c r="S6032" s="364"/>
      <c r="Z6032" s="609">
        <v>7261</v>
      </c>
      <c r="AA6032" s="609"/>
    </row>
    <row r="6033" spans="1:27" ht="0.75" customHeight="1" thickBot="1">
      <c r="A6033" s="2714"/>
      <c r="B6033" s="371"/>
      <c r="C6033" s="371"/>
      <c r="D6033" s="371"/>
      <c r="F6033" s="371"/>
      <c r="G6033" s="371" t="s">
        <v>4775</v>
      </c>
      <c r="H6033" s="371" t="s">
        <v>4715</v>
      </c>
      <c r="I6033" s="371" t="s">
        <v>4716</v>
      </c>
      <c r="J6033" s="371" t="s">
        <v>3671</v>
      </c>
      <c r="K6033" s="291"/>
      <c r="L6033" s="291"/>
      <c r="M6033" s="291"/>
      <c r="S6033" s="364"/>
      <c r="Z6033" s="609">
        <v>7261</v>
      </c>
      <c r="AA6033" s="609"/>
    </row>
    <row r="6034" spans="1:27" ht="18">
      <c r="A6034" s="2714"/>
      <c r="B6034" s="371"/>
      <c r="C6034" s="371"/>
      <c r="D6034" s="371"/>
      <c r="E6034" s="2716" t="s">
        <v>2749</v>
      </c>
      <c r="F6034" s="294"/>
      <c r="G6034" s="1564" t="s">
        <v>47</v>
      </c>
      <c r="H6034" s="1565" t="s">
        <v>4717</v>
      </c>
      <c r="I6034" s="1565" t="s">
        <v>2887</v>
      </c>
      <c r="J6034" s="1566" t="s">
        <v>2758</v>
      </c>
      <c r="K6034" s="291"/>
      <c r="L6034" s="291"/>
      <c r="M6034" s="291"/>
      <c r="S6034" s="364"/>
      <c r="Z6034" s="609">
        <v>7261</v>
      </c>
      <c r="AA6034" s="609"/>
    </row>
    <row r="6035" spans="1:27" ht="18">
      <c r="A6035" s="2714"/>
      <c r="B6035" s="371">
        <v>101</v>
      </c>
      <c r="C6035" s="371" t="s">
        <v>2791</v>
      </c>
      <c r="D6035" s="2716">
        <f t="shared" ref="D6035:D6051" si="639">IF(OR(G6035="*",G6035="",G6035=0),0,COUNTIF($G$6035:$G$6051,G6035))</f>
        <v>1</v>
      </c>
      <c r="E6035" s="2721">
        <v>0</v>
      </c>
      <c r="F6035" s="294"/>
      <c r="G6035" s="1563" t="s">
        <v>4776</v>
      </c>
      <c r="H6035" s="360"/>
      <c r="I6035" s="309"/>
      <c r="J6035" s="388"/>
      <c r="K6035" s="291"/>
      <c r="L6035" s="291"/>
      <c r="M6035" s="291"/>
      <c r="S6035" s="364"/>
      <c r="Z6035" s="609">
        <v>7261</v>
      </c>
      <c r="AA6035" s="609"/>
    </row>
    <row r="6036" spans="1:27" ht="18">
      <c r="A6036" s="2714"/>
      <c r="B6036" s="371">
        <v>102</v>
      </c>
      <c r="C6036" s="371" t="s">
        <v>2791</v>
      </c>
      <c r="D6036" s="2716">
        <f t="shared" si="639"/>
        <v>1</v>
      </c>
      <c r="E6036" s="2721">
        <v>0</v>
      </c>
      <c r="F6036" s="294"/>
      <c r="G6036" s="1563" t="s">
        <v>4777</v>
      </c>
      <c r="H6036" s="360"/>
      <c r="I6036" s="309"/>
      <c r="J6036" s="388"/>
      <c r="K6036" s="291"/>
      <c r="L6036" s="291"/>
      <c r="M6036" s="291"/>
      <c r="S6036" s="364"/>
      <c r="Z6036" s="609">
        <v>7261</v>
      </c>
      <c r="AA6036" s="609"/>
    </row>
    <row r="6037" spans="1:27" ht="18">
      <c r="A6037" s="2714"/>
      <c r="B6037" s="371">
        <v>103</v>
      </c>
      <c r="C6037" s="371" t="s">
        <v>2791</v>
      </c>
      <c r="D6037" s="2716">
        <f t="shared" si="639"/>
        <v>1</v>
      </c>
      <c r="E6037" s="2721">
        <v>1</v>
      </c>
      <c r="F6037" s="294"/>
      <c r="G6037" s="1521" t="s">
        <v>4778</v>
      </c>
      <c r="H6037" s="360" t="s">
        <v>4726</v>
      </c>
      <c r="I6037" s="1476">
        <f>I6035-I6036</f>
        <v>0</v>
      </c>
      <c r="J6037" s="388"/>
      <c r="K6037" s="291"/>
      <c r="L6037" s="291"/>
      <c r="M6037" s="291"/>
      <c r="S6037" s="364"/>
      <c r="Z6037" s="609">
        <v>7261</v>
      </c>
      <c r="AA6037" s="609"/>
    </row>
    <row r="6038" spans="1:27" ht="18">
      <c r="A6038" s="2714"/>
      <c r="B6038" s="371">
        <v>104</v>
      </c>
      <c r="C6038" s="371" t="s">
        <v>2791</v>
      </c>
      <c r="D6038" s="2716">
        <f t="shared" si="639"/>
        <v>1</v>
      </c>
      <c r="E6038" s="2721">
        <v>0</v>
      </c>
      <c r="F6038" s="294"/>
      <c r="G6038" s="1563" t="s">
        <v>4779</v>
      </c>
      <c r="H6038" s="360"/>
      <c r="I6038" s="309"/>
      <c r="J6038" s="388"/>
      <c r="K6038" s="291"/>
      <c r="L6038" s="291"/>
      <c r="M6038" s="291"/>
      <c r="S6038" s="364"/>
      <c r="Z6038" s="609">
        <v>7261</v>
      </c>
      <c r="AA6038" s="609"/>
    </row>
    <row r="6039" spans="1:27" ht="18">
      <c r="A6039" s="2714"/>
      <c r="B6039" s="371">
        <v>105</v>
      </c>
      <c r="C6039" s="371" t="s">
        <v>2791</v>
      </c>
      <c r="D6039" s="2716">
        <f t="shared" si="639"/>
        <v>1</v>
      </c>
      <c r="E6039" s="2721">
        <v>0</v>
      </c>
      <c r="F6039" s="294"/>
      <c r="G6039" s="1563" t="s">
        <v>4780</v>
      </c>
      <c r="H6039" s="360"/>
      <c r="I6039" s="309"/>
      <c r="J6039" s="388"/>
      <c r="K6039" s="291"/>
      <c r="L6039" s="291"/>
      <c r="M6039" s="291"/>
      <c r="S6039" s="364"/>
      <c r="Z6039" s="609">
        <v>7261</v>
      </c>
      <c r="AA6039" s="609"/>
    </row>
    <row r="6040" spans="1:27" ht="18">
      <c r="A6040" s="2714"/>
      <c r="B6040" s="371">
        <v>106</v>
      </c>
      <c r="C6040" s="371" t="s">
        <v>2791</v>
      </c>
      <c r="D6040" s="2716">
        <f t="shared" si="639"/>
        <v>1</v>
      </c>
      <c r="E6040" s="2721">
        <v>1</v>
      </c>
      <c r="F6040" s="294"/>
      <c r="G6040" s="1521" t="s">
        <v>4781</v>
      </c>
      <c r="H6040" s="360" t="s">
        <v>4726</v>
      </c>
      <c r="I6040" s="1476">
        <f>I6038-I6039</f>
        <v>0</v>
      </c>
      <c r="J6040" s="388"/>
      <c r="K6040" s="291"/>
      <c r="L6040" s="291"/>
      <c r="M6040" s="291"/>
      <c r="S6040" s="364"/>
      <c r="Z6040" s="609">
        <v>7261</v>
      </c>
      <c r="AA6040" s="609"/>
    </row>
    <row r="6041" spans="1:27" ht="18">
      <c r="A6041" s="2714"/>
      <c r="B6041" s="371">
        <v>107</v>
      </c>
      <c r="C6041" s="371" t="s">
        <v>2791</v>
      </c>
      <c r="D6041" s="2716">
        <f t="shared" si="639"/>
        <v>1</v>
      </c>
      <c r="E6041" s="2721">
        <v>1</v>
      </c>
      <c r="F6041" s="294"/>
      <c r="G6041" s="1563" t="s">
        <v>4782</v>
      </c>
      <c r="H6041" s="360" t="s">
        <v>4726</v>
      </c>
      <c r="I6041" s="309"/>
      <c r="J6041" s="388"/>
      <c r="K6041" s="291"/>
      <c r="L6041" s="291"/>
      <c r="M6041" s="291"/>
      <c r="S6041" s="364"/>
      <c r="Z6041" s="609">
        <v>7261</v>
      </c>
      <c r="AA6041" s="609"/>
    </row>
    <row r="6042" spans="1:27" ht="24">
      <c r="A6042" s="2714"/>
      <c r="B6042" s="371">
        <v>108</v>
      </c>
      <c r="C6042" s="371" t="s">
        <v>2791</v>
      </c>
      <c r="D6042" s="2716">
        <f t="shared" si="639"/>
        <v>1</v>
      </c>
      <c r="E6042" s="2721">
        <v>0</v>
      </c>
      <c r="F6042" s="294"/>
      <c r="G6042" s="1563" t="s">
        <v>4783</v>
      </c>
      <c r="H6042" s="360"/>
      <c r="I6042" s="309"/>
      <c r="J6042" s="388"/>
      <c r="K6042" s="291"/>
      <c r="L6042" s="291"/>
      <c r="M6042" s="291"/>
      <c r="S6042" s="364"/>
      <c r="Z6042" s="609">
        <v>7261</v>
      </c>
      <c r="AA6042" s="609"/>
    </row>
    <row r="6043" spans="1:27" ht="24">
      <c r="A6043" s="2714"/>
      <c r="B6043" s="371">
        <v>109</v>
      </c>
      <c r="C6043" s="371" t="s">
        <v>2791</v>
      </c>
      <c r="D6043" s="2716">
        <f t="shared" si="639"/>
        <v>1</v>
      </c>
      <c r="E6043" s="2721">
        <v>0</v>
      </c>
      <c r="F6043" s="294"/>
      <c r="G6043" s="1563" t="s">
        <v>4784</v>
      </c>
      <c r="H6043" s="360"/>
      <c r="I6043" s="309"/>
      <c r="J6043" s="388"/>
      <c r="K6043" s="291"/>
      <c r="L6043" s="291"/>
      <c r="M6043" s="291"/>
      <c r="S6043" s="364"/>
      <c r="Z6043" s="609">
        <v>7261</v>
      </c>
      <c r="AA6043" s="609"/>
    </row>
    <row r="6044" spans="1:27" ht="24">
      <c r="A6044" s="2714"/>
      <c r="B6044" s="371">
        <v>110</v>
      </c>
      <c r="C6044" s="371" t="s">
        <v>2791</v>
      </c>
      <c r="D6044" s="2716">
        <f t="shared" si="639"/>
        <v>1</v>
      </c>
      <c r="E6044" s="2721">
        <v>1</v>
      </c>
      <c r="F6044" s="294"/>
      <c r="G6044" s="1521" t="s">
        <v>4785</v>
      </c>
      <c r="H6044" s="360" t="s">
        <v>4726</v>
      </c>
      <c r="I6044" s="1476">
        <f>I6042-I6043</f>
        <v>0</v>
      </c>
      <c r="J6044" s="388"/>
      <c r="K6044" s="291"/>
      <c r="L6044" s="291"/>
      <c r="M6044" s="291"/>
      <c r="S6044" s="364"/>
      <c r="Z6044" s="609">
        <v>7261</v>
      </c>
      <c r="AA6044" s="609"/>
    </row>
    <row r="6045" spans="1:27" ht="18">
      <c r="A6045" s="2714"/>
      <c r="B6045" s="371">
        <v>111</v>
      </c>
      <c r="C6045" s="371" t="s">
        <v>2791</v>
      </c>
      <c r="D6045" s="2716">
        <f t="shared" si="639"/>
        <v>1</v>
      </c>
      <c r="E6045" s="2721">
        <v>1</v>
      </c>
      <c r="F6045" s="294"/>
      <c r="G6045" s="1563" t="s">
        <v>4786</v>
      </c>
      <c r="H6045" s="360" t="s">
        <v>4726</v>
      </c>
      <c r="I6045" s="309"/>
      <c r="J6045" s="388"/>
      <c r="K6045" s="291"/>
      <c r="L6045" s="291"/>
      <c r="M6045" s="291"/>
      <c r="S6045" s="364"/>
      <c r="Z6045" s="609">
        <v>7261</v>
      </c>
      <c r="AA6045" s="609"/>
    </row>
    <row r="6046" spans="1:27" ht="18">
      <c r="A6046" s="2714"/>
      <c r="B6046" s="371">
        <v>112</v>
      </c>
      <c r="C6046" s="371" t="s">
        <v>2791</v>
      </c>
      <c r="D6046" s="2716">
        <f t="shared" si="639"/>
        <v>1</v>
      </c>
      <c r="E6046" s="2721">
        <v>1</v>
      </c>
      <c r="F6046" s="294"/>
      <c r="G6046" s="1563" t="s">
        <v>4787</v>
      </c>
      <c r="H6046" s="360" t="s">
        <v>4726</v>
      </c>
      <c r="I6046" s="309"/>
      <c r="J6046" s="388"/>
      <c r="K6046" s="291"/>
      <c r="L6046" s="291"/>
      <c r="M6046" s="291"/>
      <c r="S6046" s="364"/>
      <c r="Z6046" s="609">
        <v>7261</v>
      </c>
      <c r="AA6046" s="609"/>
    </row>
    <row r="6047" spans="1:27" ht="18">
      <c r="A6047" s="2714"/>
      <c r="B6047" s="371">
        <v>113</v>
      </c>
      <c r="C6047" s="371" t="s">
        <v>2791</v>
      </c>
      <c r="D6047" s="2716">
        <f t="shared" si="639"/>
        <v>1</v>
      </c>
      <c r="E6047" s="2721">
        <v>1</v>
      </c>
      <c r="F6047" s="294"/>
      <c r="G6047" s="1563" t="s">
        <v>4788</v>
      </c>
      <c r="H6047" s="360" t="s">
        <v>4726</v>
      </c>
      <c r="I6047" s="309"/>
      <c r="J6047" s="388"/>
      <c r="K6047" s="291"/>
      <c r="L6047" s="291"/>
      <c r="M6047" s="291"/>
      <c r="S6047" s="364"/>
      <c r="Z6047" s="609">
        <v>7261</v>
      </c>
      <c r="AA6047" s="609"/>
    </row>
    <row r="6048" spans="1:27" ht="18">
      <c r="A6048" s="2714"/>
      <c r="B6048" s="371">
        <v>114</v>
      </c>
      <c r="C6048" s="371" t="s">
        <v>2791</v>
      </c>
      <c r="D6048" s="2716">
        <f t="shared" si="639"/>
        <v>1</v>
      </c>
      <c r="E6048" s="2721">
        <v>1</v>
      </c>
      <c r="F6048" s="294"/>
      <c r="G6048" s="1563" t="s">
        <v>4789</v>
      </c>
      <c r="H6048" s="360" t="s">
        <v>4726</v>
      </c>
      <c r="I6048" s="309"/>
      <c r="J6048" s="388"/>
      <c r="K6048" s="291"/>
      <c r="L6048" s="291"/>
      <c r="M6048" s="291"/>
      <c r="S6048" s="364"/>
      <c r="Z6048" s="609">
        <v>7261</v>
      </c>
      <c r="AA6048" s="609"/>
    </row>
    <row r="6049" spans="1:27" ht="18">
      <c r="A6049" s="2714"/>
      <c r="B6049" s="371">
        <v>115</v>
      </c>
      <c r="C6049" s="371" t="s">
        <v>2791</v>
      </c>
      <c r="D6049" s="2716">
        <f t="shared" si="639"/>
        <v>1</v>
      </c>
      <c r="E6049" s="2721">
        <v>1</v>
      </c>
      <c r="F6049" s="294"/>
      <c r="G6049" s="1563" t="s">
        <v>932</v>
      </c>
      <c r="H6049" s="360" t="s">
        <v>4726</v>
      </c>
      <c r="I6049" s="309"/>
      <c r="J6049" s="388"/>
      <c r="K6049" s="291"/>
      <c r="L6049" s="291"/>
      <c r="M6049" s="291"/>
      <c r="S6049" s="364"/>
      <c r="Z6049" s="609">
        <v>7261</v>
      </c>
      <c r="AA6049" s="609"/>
    </row>
    <row r="6050" spans="1:27" ht="18">
      <c r="A6050" s="2714"/>
      <c r="B6050" s="371">
        <v>116</v>
      </c>
      <c r="C6050" s="371" t="s">
        <v>2791</v>
      </c>
      <c r="D6050" s="2716">
        <f t="shared" si="639"/>
        <v>0</v>
      </c>
      <c r="E6050" s="2721">
        <v>1</v>
      </c>
      <c r="F6050" s="294"/>
      <c r="G6050" s="1563" t="s">
        <v>2792</v>
      </c>
      <c r="H6050" s="360"/>
      <c r="I6050" s="309"/>
      <c r="J6050" s="388"/>
      <c r="K6050" s="291"/>
      <c r="L6050" s="291"/>
      <c r="M6050" s="291"/>
      <c r="S6050" s="364"/>
      <c r="Z6050" s="609">
        <v>7261</v>
      </c>
      <c r="AA6050" s="609"/>
    </row>
    <row r="6051" spans="1:27" ht="18.75" thickBot="1">
      <c r="A6051" s="2714"/>
      <c r="B6051" s="371"/>
      <c r="C6051" s="371"/>
      <c r="D6051" s="2716">
        <f t="shared" si="639"/>
        <v>1</v>
      </c>
      <c r="E6051" s="2721" t="s">
        <v>2751</v>
      </c>
      <c r="F6051" s="294"/>
      <c r="G6051" s="1529" t="s">
        <v>2752</v>
      </c>
      <c r="H6051" s="1570"/>
      <c r="I6051" s="1527">
        <f>SUMPRODUCT($E6034:$E6050,I6034:I6050)</f>
        <v>0</v>
      </c>
      <c r="J6051" s="1571"/>
      <c r="K6051" s="291"/>
      <c r="L6051" s="291"/>
      <c r="M6051" s="291"/>
      <c r="S6051" s="364"/>
      <c r="Z6051" s="609">
        <v>7261</v>
      </c>
      <c r="AA6051" s="609"/>
    </row>
    <row r="6052" spans="1:27" ht="18.75" thickBot="1">
      <c r="A6052" s="2714"/>
      <c r="B6052" s="371"/>
      <c r="C6052" s="371" t="s">
        <v>2755</v>
      </c>
      <c r="D6052" s="371"/>
      <c r="F6052" s="294"/>
      <c r="G6052" s="301"/>
      <c r="H6052" s="393"/>
      <c r="I6052" s="315"/>
      <c r="J6052" s="393"/>
      <c r="K6052" s="291"/>
      <c r="L6052" s="291"/>
      <c r="M6052" s="291"/>
      <c r="S6052" s="364"/>
      <c r="Z6052" s="609">
        <v>7261</v>
      </c>
      <c r="AA6052" s="609"/>
    </row>
    <row r="6053" spans="1:27" ht="18.75" thickBot="1">
      <c r="A6053" s="2714"/>
      <c r="B6053" s="371"/>
      <c r="C6053" s="371"/>
      <c r="D6053" s="371"/>
      <c r="F6053" s="294"/>
      <c r="G6053" s="627" t="s">
        <v>4708</v>
      </c>
      <c r="H6053" s="628" t="s">
        <v>4790</v>
      </c>
      <c r="I6053" s="629"/>
      <c r="J6053" s="630"/>
      <c r="K6053" s="630"/>
      <c r="L6053" s="630"/>
      <c r="M6053" s="630"/>
      <c r="N6053" s="631"/>
      <c r="S6053" s="364"/>
      <c r="Z6053" s="609" t="s">
        <v>2014</v>
      </c>
      <c r="AA6053" s="609"/>
    </row>
    <row r="6054" spans="1:27" ht="18">
      <c r="A6054" s="2714">
        <v>7503</v>
      </c>
      <c r="B6054" s="371">
        <v>79.010000000000005</v>
      </c>
      <c r="C6054" s="2716" t="str">
        <f>VLOOKUP($A6054,Sheet_Items,2,0)</f>
        <v>资产减值准备金额</v>
      </c>
      <c r="D6054" s="371"/>
      <c r="E6054" s="2716" t="s">
        <v>2739</v>
      </c>
      <c r="F6054" s="294"/>
      <c r="G6054" s="536" t="str">
        <f>B6054&amp;" "&amp;C6054</f>
        <v>79.01 资产减值准备金额</v>
      </c>
      <c r="H6054" s="322"/>
      <c r="I6054" s="322"/>
      <c r="J6054" s="306" t="s">
        <v>4206</v>
      </c>
      <c r="K6054" s="341">
        <f>VLOOKUP($A6054,Sheet_Trialbal,6,0)</f>
        <v>0</v>
      </c>
      <c r="L6054" s="342"/>
      <c r="M6054" s="306"/>
      <c r="N6054" s="341"/>
      <c r="O6054" s="306"/>
      <c r="P6054" s="301"/>
      <c r="S6054" s="364"/>
      <c r="Z6054" s="609" t="s">
        <v>2014</v>
      </c>
      <c r="AA6054" s="609"/>
    </row>
    <row r="6055" spans="1:27" ht="36">
      <c r="A6055" s="2714" t="s">
        <v>2012</v>
      </c>
      <c r="B6055" s="371">
        <v>1</v>
      </c>
      <c r="C6055" s="371"/>
      <c r="D6055" s="2716" t="str">
        <f>VLOOKUP($A6055,Sheet_NoteList,2,0)</f>
        <v>将净利润调节为经营活动现金流量：资产减值准备金额</v>
      </c>
      <c r="E6055" s="2716" t="s">
        <v>2742</v>
      </c>
      <c r="F6055" s="294"/>
      <c r="G6055" s="372" t="str">
        <f>"("&amp;B6055&amp;")"&amp;D6055</f>
        <v>(1)将净利润调节为经营活动现金流量：资产减值准备金额</v>
      </c>
      <c r="H6055" s="1517" t="str">
        <f>$A6055</f>
        <v>7503a</v>
      </c>
      <c r="I6055" s="343" t="s">
        <v>2743</v>
      </c>
      <c r="J6055" s="301" t="s">
        <v>4712</v>
      </c>
      <c r="K6055" s="2210">
        <f>H6061</f>
        <v>0</v>
      </c>
      <c r="L6055" s="345" t="str">
        <f>IF(ROUND(K6054-K6055,2)=0,"F/S",ROUND(K6054-K6055,2))</f>
        <v>F/S</v>
      </c>
      <c r="M6055" s="532" t="s">
        <v>4713</v>
      </c>
      <c r="N6055" s="3084"/>
      <c r="O6055" s="315"/>
      <c r="P6055" s="301"/>
      <c r="S6055" s="364"/>
      <c r="Z6055" s="609" t="s">
        <v>2014</v>
      </c>
      <c r="AA6055" s="609"/>
    </row>
    <row r="6056" spans="1:27" ht="0.75" customHeight="1" thickBot="1">
      <c r="A6056" s="2714"/>
      <c r="B6056" s="371"/>
      <c r="C6056" s="371"/>
      <c r="D6056" s="371"/>
      <c r="F6056" s="294"/>
      <c r="G6056" s="294" t="s">
        <v>4791</v>
      </c>
      <c r="H6056" s="294" t="s">
        <v>3472</v>
      </c>
      <c r="I6056" s="294" t="s">
        <v>2821</v>
      </c>
      <c r="J6056" s="291"/>
      <c r="K6056" s="291"/>
      <c r="L6056" s="291"/>
      <c r="M6056" s="291"/>
      <c r="S6056" s="364"/>
      <c r="Z6056" s="609" t="s">
        <v>2014</v>
      </c>
      <c r="AA6056" s="609"/>
    </row>
    <row r="6057" spans="1:27" ht="18">
      <c r="A6057" s="2714"/>
      <c r="B6057" s="371"/>
      <c r="C6057" s="371"/>
      <c r="D6057" s="371"/>
      <c r="E6057" s="2716" t="s">
        <v>2749</v>
      </c>
      <c r="F6057" s="294"/>
      <c r="G6057" s="1564" t="s">
        <v>47</v>
      </c>
      <c r="H6057" s="1565" t="s">
        <v>2587</v>
      </c>
      <c r="I6057" s="1566" t="s">
        <v>2508</v>
      </c>
      <c r="J6057" s="575"/>
      <c r="K6057" s="291"/>
      <c r="L6057" s="291"/>
      <c r="M6057" s="291"/>
      <c r="S6057" s="364"/>
      <c r="Z6057" s="609" t="s">
        <v>2014</v>
      </c>
      <c r="AA6057" s="609"/>
    </row>
    <row r="6058" spans="1:27" ht="18">
      <c r="A6058" s="2714"/>
      <c r="B6058" s="371">
        <v>101</v>
      </c>
      <c r="C6058" s="371"/>
      <c r="D6058" s="2716">
        <f>IF(OR(G6058="*",G6058="",G6058=0),0,COUNTIF($G$6058:$G$6061,G6058))</f>
        <v>1</v>
      </c>
      <c r="E6058" s="2721">
        <v>1</v>
      </c>
      <c r="F6058" s="294"/>
      <c r="G6058" s="308" t="s">
        <v>697</v>
      </c>
      <c r="H6058" s="309"/>
      <c r="I6058" s="388"/>
      <c r="J6058" s="291"/>
      <c r="K6058" s="291"/>
      <c r="L6058" s="291"/>
      <c r="M6058" s="291"/>
      <c r="S6058" s="364"/>
      <c r="Z6058" s="609" t="s">
        <v>2014</v>
      </c>
      <c r="AA6058" s="609"/>
    </row>
    <row r="6059" spans="1:27" ht="18">
      <c r="A6059" s="2714"/>
      <c r="B6059" s="371">
        <v>102</v>
      </c>
      <c r="C6059" s="371" t="s">
        <v>2791</v>
      </c>
      <c r="D6059" s="2716">
        <f>IF(OR(G6059="*",G6059="",G6059=0),0,COUNTIF($G$6058:$G$6061,G6059))</f>
        <v>0</v>
      </c>
      <c r="E6059" s="2721">
        <v>1</v>
      </c>
      <c r="F6059" s="294"/>
      <c r="G6059" s="1563" t="s">
        <v>2792</v>
      </c>
      <c r="H6059" s="309"/>
      <c r="I6059" s="388"/>
      <c r="J6059" s="291"/>
      <c r="K6059" s="291"/>
      <c r="L6059" s="291"/>
      <c r="M6059" s="291"/>
      <c r="S6059" s="364"/>
      <c r="Z6059" s="609" t="s">
        <v>2014</v>
      </c>
      <c r="AA6059" s="609"/>
    </row>
    <row r="6060" spans="1:27" ht="18">
      <c r="A6060" s="2714"/>
      <c r="B6060" s="371">
        <v>103</v>
      </c>
      <c r="C6060" s="371" t="s">
        <v>2791</v>
      </c>
      <c r="D6060" s="2716">
        <f>IF(OR(G6060="*",G6060="",G6060=0),0,COUNTIF($G$6058:$G$6061,G6060))</f>
        <v>0</v>
      </c>
      <c r="E6060" s="2721">
        <v>1</v>
      </c>
      <c r="F6060" s="294"/>
      <c r="G6060" s="1563" t="s">
        <v>2792</v>
      </c>
      <c r="H6060" s="309"/>
      <c r="I6060" s="388"/>
      <c r="J6060" s="291"/>
      <c r="K6060" s="291"/>
      <c r="L6060" s="291"/>
      <c r="M6060" s="291"/>
      <c r="S6060" s="364"/>
      <c r="Z6060" s="609" t="s">
        <v>2014</v>
      </c>
      <c r="AA6060" s="609"/>
    </row>
    <row r="6061" spans="1:27" ht="18.75" thickBot="1">
      <c r="A6061" s="2714"/>
      <c r="B6061" s="371"/>
      <c r="C6061" s="371"/>
      <c r="D6061" s="2716">
        <f>IF(OR(G6061="*",G6061="",G6061=0),0,COUNTIF($G$6058:$G$6061,G6061))</f>
        <v>1</v>
      </c>
      <c r="E6061" s="2721" t="s">
        <v>2751</v>
      </c>
      <c r="F6061" s="294"/>
      <c r="G6061" s="1529" t="s">
        <v>2752</v>
      </c>
      <c r="H6061" s="1527">
        <f>SUMPRODUCT($E6057:$E6060,H6057:H6060)</f>
        <v>0</v>
      </c>
      <c r="I6061" s="1572"/>
      <c r="J6061" s="291"/>
      <c r="K6061" s="291"/>
      <c r="L6061" s="291"/>
      <c r="M6061" s="291"/>
      <c r="S6061" s="364"/>
      <c r="Z6061" s="609" t="s">
        <v>2014</v>
      </c>
      <c r="AA6061" s="609"/>
    </row>
    <row r="6062" spans="1:27" ht="18">
      <c r="A6062" s="2714"/>
      <c r="B6062" s="371"/>
      <c r="C6062" s="371" t="s">
        <v>2755</v>
      </c>
      <c r="D6062" s="371"/>
      <c r="F6062" s="294"/>
      <c r="G6062" s="301"/>
      <c r="H6062" s="315"/>
      <c r="I6062" s="393"/>
      <c r="J6062" s="291"/>
      <c r="K6062" s="291"/>
      <c r="L6062" s="291"/>
      <c r="M6062" s="291"/>
      <c r="S6062" s="364"/>
      <c r="Z6062" s="609" t="s">
        <v>2014</v>
      </c>
      <c r="AA6062" s="609"/>
    </row>
    <row r="6063" spans="1:27" ht="18">
      <c r="A6063" s="2714">
        <v>7505</v>
      </c>
      <c r="B6063" s="371">
        <v>79.02</v>
      </c>
      <c r="C6063" s="2716" t="str">
        <f>VLOOKUP($A6063,Sheet_Items,2,0)</f>
        <v>固定资产折旧、油气资产折耗、生产性生物资产折旧</v>
      </c>
      <c r="D6063" s="371"/>
      <c r="E6063" s="2716" t="s">
        <v>2739</v>
      </c>
      <c r="F6063" s="294"/>
      <c r="G6063" s="536" t="str">
        <f>B6063&amp;" "&amp;C6063</f>
        <v>79.02 固定资产折旧、油气资产折耗、生产性生物资产折旧</v>
      </c>
      <c r="H6063" s="322"/>
      <c r="I6063" s="322"/>
      <c r="J6063" s="306" t="s">
        <v>4206</v>
      </c>
      <c r="K6063" s="341">
        <f>VLOOKUP($A6063,Sheet_Trialbal,6,0)</f>
        <v>5521.44</v>
      </c>
      <c r="L6063" s="342"/>
      <c r="M6063" s="306"/>
      <c r="N6063" s="341"/>
      <c r="O6063" s="306"/>
      <c r="P6063" s="301"/>
      <c r="S6063" s="364"/>
      <c r="Z6063" s="609" t="s">
        <v>2017</v>
      </c>
      <c r="AA6063" s="609"/>
    </row>
    <row r="6064" spans="1:27" ht="48">
      <c r="A6064" s="2714" t="s">
        <v>2015</v>
      </c>
      <c r="B6064" s="371">
        <v>1</v>
      </c>
      <c r="C6064" s="371"/>
      <c r="D6064" s="2716" t="str">
        <f>VLOOKUP($A6064,Sheet_NoteList,2,0)</f>
        <v>将净利润调节为经营活动现金流量：固定资产折旧、油气资产折耗、生产性生物资产折旧</v>
      </c>
      <c r="E6064" s="2716" t="s">
        <v>2742</v>
      </c>
      <c r="F6064" s="294"/>
      <c r="G6064" s="372" t="str">
        <f>"("&amp;B6064&amp;")"&amp;D6064</f>
        <v>(1)将净利润调节为经营活动现金流量：固定资产折旧、油气资产折耗、生产性生物资产折旧</v>
      </c>
      <c r="H6064" s="1517" t="str">
        <f>$A6064</f>
        <v>7505a</v>
      </c>
      <c r="I6064" s="343" t="s">
        <v>2743</v>
      </c>
      <c r="J6064" s="301" t="s">
        <v>4712</v>
      </c>
      <c r="K6064" s="2210">
        <f>H6072</f>
        <v>0</v>
      </c>
      <c r="L6064" s="345">
        <f>IF(ROUND(K6063-K6064,2)=0,"F/S",ROUND(K6063-K6064,2))</f>
        <v>5521.44</v>
      </c>
      <c r="M6064" s="532" t="s">
        <v>4713</v>
      </c>
      <c r="N6064" s="3084"/>
      <c r="O6064" s="315"/>
      <c r="P6064" s="301"/>
      <c r="S6064" s="364"/>
      <c r="Z6064" s="609" t="s">
        <v>2017</v>
      </c>
      <c r="AA6064" s="609"/>
    </row>
    <row r="6065" spans="1:27" ht="0.75" customHeight="1" thickBot="1">
      <c r="A6065" s="2714"/>
      <c r="B6065" s="371"/>
      <c r="C6065" s="371"/>
      <c r="D6065" s="371"/>
      <c r="F6065" s="294"/>
      <c r="G6065" s="294" t="s">
        <v>4792</v>
      </c>
      <c r="H6065" s="294" t="s">
        <v>3472</v>
      </c>
      <c r="I6065" s="294" t="s">
        <v>2821</v>
      </c>
      <c r="J6065" s="291"/>
      <c r="K6065" s="291"/>
      <c r="L6065" s="291"/>
      <c r="M6065" s="291"/>
      <c r="S6065" s="364"/>
      <c r="Z6065" s="609" t="s">
        <v>2017</v>
      </c>
      <c r="AA6065" s="609"/>
    </row>
    <row r="6066" spans="1:27" ht="18">
      <c r="A6066" s="2714"/>
      <c r="B6066" s="371"/>
      <c r="C6066" s="371"/>
      <c r="D6066" s="371"/>
      <c r="E6066" s="2716" t="s">
        <v>2749</v>
      </c>
      <c r="F6066" s="294"/>
      <c r="G6066" s="1564" t="s">
        <v>47</v>
      </c>
      <c r="H6066" s="1565" t="s">
        <v>2587</v>
      </c>
      <c r="I6066" s="1566" t="s">
        <v>2508</v>
      </c>
      <c r="J6066" s="291"/>
      <c r="K6066" s="291"/>
      <c r="L6066" s="291"/>
      <c r="M6066" s="291"/>
      <c r="S6066" s="364"/>
      <c r="Z6066" s="609" t="s">
        <v>2017</v>
      </c>
      <c r="AA6066" s="609"/>
    </row>
    <row r="6067" spans="1:27" ht="18">
      <c r="A6067" s="2714"/>
      <c r="B6067" s="371">
        <v>101</v>
      </c>
      <c r="C6067" s="371"/>
      <c r="D6067" s="2716">
        <f t="shared" ref="D6067:D6072" si="640">IF(OR(G6067="*",G6067="",G6067=0),0,COUNTIF($G$6067:$G$6072,G6067))</f>
        <v>1</v>
      </c>
      <c r="E6067" s="2721">
        <v>1</v>
      </c>
      <c r="F6067" s="294"/>
      <c r="G6067" s="308" t="s">
        <v>4793</v>
      </c>
      <c r="H6067" s="309"/>
      <c r="I6067" s="388"/>
      <c r="J6067" s="291"/>
      <c r="K6067" s="291"/>
      <c r="L6067" s="291"/>
      <c r="M6067" s="291"/>
      <c r="S6067" s="364"/>
      <c r="Z6067" s="609" t="s">
        <v>2017</v>
      </c>
      <c r="AA6067" s="609"/>
    </row>
    <row r="6068" spans="1:27" ht="18">
      <c r="A6068" s="2714"/>
      <c r="B6068" s="371">
        <v>102</v>
      </c>
      <c r="C6068" s="371"/>
      <c r="D6068" s="2716">
        <f t="shared" si="640"/>
        <v>1</v>
      </c>
      <c r="E6068" s="2721">
        <v>1</v>
      </c>
      <c r="F6068" s="294"/>
      <c r="G6068" s="308" t="s">
        <v>4794</v>
      </c>
      <c r="H6068" s="309"/>
      <c r="I6068" s="388"/>
      <c r="J6068" s="291"/>
      <c r="K6068" s="291"/>
      <c r="L6068" s="291"/>
      <c r="M6068" s="291"/>
      <c r="S6068" s="364"/>
      <c r="Z6068" s="609" t="s">
        <v>2017</v>
      </c>
      <c r="AA6068" s="609"/>
    </row>
    <row r="6069" spans="1:27" ht="24">
      <c r="A6069" s="2714"/>
      <c r="B6069" s="371">
        <v>103</v>
      </c>
      <c r="C6069" s="371"/>
      <c r="D6069" s="2716">
        <f t="shared" si="640"/>
        <v>1</v>
      </c>
      <c r="E6069" s="2721">
        <v>1</v>
      </c>
      <c r="F6069" s="294"/>
      <c r="G6069" s="308" t="s">
        <v>4795</v>
      </c>
      <c r="H6069" s="309"/>
      <c r="I6069" s="388"/>
      <c r="J6069" s="291"/>
      <c r="K6069" s="291"/>
      <c r="L6069" s="291"/>
      <c r="M6069" s="291"/>
      <c r="S6069" s="364"/>
      <c r="Z6069" s="609" t="s">
        <v>2017</v>
      </c>
      <c r="AA6069" s="609"/>
    </row>
    <row r="6070" spans="1:27" ht="18">
      <c r="A6070" s="2714"/>
      <c r="B6070" s="371">
        <v>104</v>
      </c>
      <c r="C6070" s="371" t="s">
        <v>2791</v>
      </c>
      <c r="D6070" s="2716">
        <f t="shared" si="640"/>
        <v>0</v>
      </c>
      <c r="E6070" s="2721">
        <v>1</v>
      </c>
      <c r="F6070" s="294"/>
      <c r="G6070" s="1563" t="s">
        <v>2792</v>
      </c>
      <c r="H6070" s="309"/>
      <c r="I6070" s="388"/>
      <c r="J6070" s="291"/>
      <c r="K6070" s="291"/>
      <c r="L6070" s="291"/>
      <c r="M6070" s="291"/>
      <c r="S6070" s="364"/>
      <c r="Z6070" s="609" t="s">
        <v>2017</v>
      </c>
      <c r="AA6070" s="609"/>
    </row>
    <row r="6071" spans="1:27" ht="18">
      <c r="A6071" s="2714"/>
      <c r="B6071" s="371">
        <v>105</v>
      </c>
      <c r="C6071" s="371" t="s">
        <v>2791</v>
      </c>
      <c r="D6071" s="2716">
        <f t="shared" si="640"/>
        <v>0</v>
      </c>
      <c r="E6071" s="2721">
        <v>1</v>
      </c>
      <c r="F6071" s="294"/>
      <c r="G6071" s="1563" t="s">
        <v>2792</v>
      </c>
      <c r="H6071" s="309"/>
      <c r="I6071" s="388"/>
      <c r="J6071" s="291"/>
      <c r="K6071" s="291"/>
      <c r="L6071" s="291"/>
      <c r="M6071" s="291"/>
      <c r="S6071" s="364"/>
      <c r="Z6071" s="609" t="s">
        <v>2017</v>
      </c>
      <c r="AA6071" s="609"/>
    </row>
    <row r="6072" spans="1:27" ht="18.75" thickBot="1">
      <c r="A6072" s="2714"/>
      <c r="B6072" s="371"/>
      <c r="C6072" s="371"/>
      <c r="D6072" s="2716">
        <f t="shared" si="640"/>
        <v>1</v>
      </c>
      <c r="E6072" s="2721" t="s">
        <v>2751</v>
      </c>
      <c r="F6072" s="294"/>
      <c r="G6072" s="1529" t="s">
        <v>2752</v>
      </c>
      <c r="H6072" s="1527">
        <f>SUMPRODUCT($E6066:$E6071,H6066:H6071)</f>
        <v>0</v>
      </c>
      <c r="I6072" s="1571"/>
      <c r="J6072" s="291"/>
      <c r="K6072" s="291"/>
      <c r="L6072" s="291"/>
      <c r="M6072" s="291"/>
      <c r="S6072" s="364"/>
      <c r="Z6072" s="609" t="s">
        <v>2017</v>
      </c>
      <c r="AA6072" s="609"/>
    </row>
    <row r="6073" spans="1:27" ht="18">
      <c r="A6073" s="2714"/>
      <c r="B6073" s="371"/>
      <c r="C6073" s="371" t="s">
        <v>2755</v>
      </c>
      <c r="D6073" s="371"/>
      <c r="F6073" s="294"/>
      <c r="G6073" s="301"/>
      <c r="H6073" s="315"/>
      <c r="I6073" s="393"/>
      <c r="J6073" s="291"/>
      <c r="K6073" s="291"/>
      <c r="L6073" s="291"/>
      <c r="M6073" s="291"/>
      <c r="S6073" s="364"/>
      <c r="Z6073" s="609" t="s">
        <v>2017</v>
      </c>
      <c r="AA6073" s="609"/>
    </row>
    <row r="6074" spans="1:27" ht="18">
      <c r="A6074" s="2714">
        <v>7506</v>
      </c>
      <c r="B6074" s="371">
        <v>79.03</v>
      </c>
      <c r="C6074" s="2716" t="str">
        <f>VLOOKUP($A6074,Sheet_Items,2,0)</f>
        <v>无形资产摊销</v>
      </c>
      <c r="D6074" s="371"/>
      <c r="E6074" s="2716" t="s">
        <v>2739</v>
      </c>
      <c r="F6074" s="294"/>
      <c r="G6074" s="536" t="str">
        <f>B6074&amp;" "&amp;C6074</f>
        <v>79.03 无形资产摊销</v>
      </c>
      <c r="H6074" s="322"/>
      <c r="I6074" s="322"/>
      <c r="J6074" s="306" t="s">
        <v>4206</v>
      </c>
      <c r="K6074" s="341">
        <f>VLOOKUP($A6074,Sheet_Trialbal,6,0)</f>
        <v>0</v>
      </c>
      <c r="L6074" s="342"/>
      <c r="M6074" s="306"/>
      <c r="N6074" s="341"/>
      <c r="O6074" s="306"/>
      <c r="P6074" s="301"/>
      <c r="S6074" s="364"/>
      <c r="Z6074" s="609" t="s">
        <v>2020</v>
      </c>
      <c r="AA6074" s="609"/>
    </row>
    <row r="6075" spans="1:27" ht="24">
      <c r="A6075" s="2714" t="s">
        <v>2018</v>
      </c>
      <c r="B6075" s="371">
        <v>1</v>
      </c>
      <c r="C6075" s="371"/>
      <c r="D6075" s="2716" t="str">
        <f>VLOOKUP($A6075,Sheet_NoteList,2,0)</f>
        <v>将净利润调节为经营活动现金流量：无形资产摊销</v>
      </c>
      <c r="E6075" s="2716" t="s">
        <v>2742</v>
      </c>
      <c r="F6075" s="294"/>
      <c r="G6075" s="372" t="str">
        <f>"("&amp;B6075&amp;")"&amp;D6075</f>
        <v>(1)将净利润调节为经营活动现金流量：无形资产摊销</v>
      </c>
      <c r="H6075" s="1517" t="str">
        <f>$A6075</f>
        <v>7506a</v>
      </c>
      <c r="I6075" s="343" t="s">
        <v>2743</v>
      </c>
      <c r="J6075" s="301" t="s">
        <v>4712</v>
      </c>
      <c r="K6075" s="2210">
        <f>H6081</f>
        <v>0</v>
      </c>
      <c r="L6075" s="345" t="str">
        <f>IF(ROUND(K6074-K6075,2)=0,"F/S",ROUND(K6074-K6075,2))</f>
        <v>F/S</v>
      </c>
      <c r="M6075" s="532" t="s">
        <v>4713</v>
      </c>
      <c r="N6075" s="3084"/>
      <c r="O6075" s="315"/>
      <c r="P6075" s="301"/>
      <c r="S6075" s="364"/>
      <c r="Z6075" s="609" t="s">
        <v>2020</v>
      </c>
      <c r="AA6075" s="609"/>
    </row>
    <row r="6076" spans="1:27" ht="0.75" customHeight="1" thickBot="1">
      <c r="A6076" s="2714"/>
      <c r="B6076" s="371"/>
      <c r="C6076" s="371"/>
      <c r="D6076" s="371"/>
      <c r="F6076" s="294"/>
      <c r="G6076" s="294" t="s">
        <v>4796</v>
      </c>
      <c r="H6076" s="294" t="s">
        <v>3472</v>
      </c>
      <c r="I6076" s="294" t="s">
        <v>2821</v>
      </c>
      <c r="J6076" s="291"/>
      <c r="K6076" s="291"/>
      <c r="L6076" s="291"/>
      <c r="M6076" s="291"/>
      <c r="S6076" s="364"/>
      <c r="Z6076" s="609" t="s">
        <v>2020</v>
      </c>
      <c r="AA6076" s="609"/>
    </row>
    <row r="6077" spans="1:27" ht="18">
      <c r="A6077" s="2714"/>
      <c r="B6077" s="371"/>
      <c r="C6077" s="371"/>
      <c r="D6077" s="371"/>
      <c r="E6077" s="2716" t="s">
        <v>2749</v>
      </c>
      <c r="F6077" s="294"/>
      <c r="G6077" s="1564" t="s">
        <v>47</v>
      </c>
      <c r="H6077" s="1565" t="s">
        <v>2587</v>
      </c>
      <c r="I6077" s="1566" t="s">
        <v>2508</v>
      </c>
      <c r="J6077" s="291"/>
      <c r="K6077" s="291"/>
      <c r="L6077" s="291"/>
      <c r="M6077" s="291"/>
      <c r="S6077" s="364"/>
      <c r="Z6077" s="609" t="s">
        <v>2020</v>
      </c>
      <c r="AA6077" s="609"/>
    </row>
    <row r="6078" spans="1:27" ht="18">
      <c r="A6078" s="2714"/>
      <c r="B6078" s="371">
        <v>101</v>
      </c>
      <c r="C6078" s="371"/>
      <c r="D6078" s="2716">
        <f>IF(OR(G6078="*",G6078="",G6078=0),0,COUNTIF($G$6078:$G$6081,G6078))</f>
        <v>1</v>
      </c>
      <c r="E6078" s="2721">
        <v>1</v>
      </c>
      <c r="F6078" s="294"/>
      <c r="G6078" s="308" t="s">
        <v>4797</v>
      </c>
      <c r="H6078" s="309"/>
      <c r="I6078" s="388"/>
      <c r="J6078" s="291"/>
      <c r="K6078" s="291"/>
      <c r="L6078" s="291"/>
      <c r="M6078" s="291"/>
      <c r="S6078" s="364"/>
      <c r="Z6078" s="609" t="s">
        <v>2020</v>
      </c>
      <c r="AA6078" s="609"/>
    </row>
    <row r="6079" spans="1:27" ht="18">
      <c r="A6079" s="2714"/>
      <c r="B6079" s="371">
        <v>102</v>
      </c>
      <c r="C6079" s="371" t="s">
        <v>2791</v>
      </c>
      <c r="D6079" s="2716">
        <f>IF(OR(G6079="*",G6079="",G6079=0),0,COUNTIF($G$6078:$G$6081,G6079))</f>
        <v>0</v>
      </c>
      <c r="E6079" s="2721">
        <v>1</v>
      </c>
      <c r="F6079" s="294"/>
      <c r="G6079" s="1563" t="s">
        <v>2792</v>
      </c>
      <c r="H6079" s="309"/>
      <c r="I6079" s="388"/>
      <c r="J6079" s="291"/>
      <c r="K6079" s="291"/>
      <c r="L6079" s="291"/>
      <c r="M6079" s="291"/>
      <c r="S6079" s="364"/>
      <c r="Z6079" s="609" t="s">
        <v>2020</v>
      </c>
      <c r="AA6079" s="609"/>
    </row>
    <row r="6080" spans="1:27" ht="18">
      <c r="A6080" s="2714"/>
      <c r="B6080" s="371">
        <v>103</v>
      </c>
      <c r="C6080" s="371" t="s">
        <v>2791</v>
      </c>
      <c r="D6080" s="2716">
        <f>IF(OR(G6080="*",G6080="",G6080=0),0,COUNTIF($G$6078:$G$6081,G6080))</f>
        <v>0</v>
      </c>
      <c r="E6080" s="2721">
        <v>1</v>
      </c>
      <c r="F6080" s="294"/>
      <c r="G6080" s="1563" t="s">
        <v>2792</v>
      </c>
      <c r="H6080" s="309"/>
      <c r="I6080" s="388"/>
      <c r="J6080" s="291"/>
      <c r="K6080" s="291"/>
      <c r="L6080" s="291"/>
      <c r="M6080" s="291"/>
      <c r="S6080" s="364"/>
      <c r="Z6080" s="609" t="s">
        <v>2020</v>
      </c>
      <c r="AA6080" s="609"/>
    </row>
    <row r="6081" spans="1:27" ht="18.75" thickBot="1">
      <c r="A6081" s="2714"/>
      <c r="B6081" s="371"/>
      <c r="C6081" s="371"/>
      <c r="D6081" s="2716">
        <f>IF(OR(G6081="*",G6081="",G6081=0),0,COUNTIF($G$6078:$G$6081,G6081))</f>
        <v>1</v>
      </c>
      <c r="E6081" s="2721" t="s">
        <v>2751</v>
      </c>
      <c r="F6081" s="294"/>
      <c r="G6081" s="1529" t="s">
        <v>2752</v>
      </c>
      <c r="H6081" s="1527">
        <f>SUMPRODUCT($E6077:$E6080,H6077:H6080)</f>
        <v>0</v>
      </c>
      <c r="I6081" s="1571"/>
      <c r="J6081" s="291"/>
      <c r="K6081" s="291"/>
      <c r="L6081" s="291"/>
      <c r="M6081" s="291"/>
      <c r="S6081" s="364"/>
      <c r="Z6081" s="609" t="s">
        <v>2020</v>
      </c>
      <c r="AA6081" s="609"/>
    </row>
    <row r="6082" spans="1:27" ht="18">
      <c r="A6082" s="2714"/>
      <c r="B6082" s="371"/>
      <c r="C6082" s="371" t="s">
        <v>2755</v>
      </c>
      <c r="D6082" s="371"/>
      <c r="F6082" s="294"/>
      <c r="G6082" s="301"/>
      <c r="H6082" s="315"/>
      <c r="I6082" s="393"/>
      <c r="J6082" s="291"/>
      <c r="K6082" s="291"/>
      <c r="L6082" s="291"/>
      <c r="M6082" s="291"/>
      <c r="S6082" s="364"/>
      <c r="Z6082" s="609" t="s">
        <v>2020</v>
      </c>
      <c r="AA6082" s="609"/>
    </row>
    <row r="6083" spans="1:27" ht="18">
      <c r="A6083" s="2714">
        <v>7507</v>
      </c>
      <c r="B6083" s="371">
        <v>79.040000000000006</v>
      </c>
      <c r="C6083" s="2716" t="str">
        <f>VLOOKUP($A6083,Sheet_Items,2,0)</f>
        <v>长期待摊费用摊销</v>
      </c>
      <c r="D6083" s="371"/>
      <c r="E6083" s="2716" t="s">
        <v>2739</v>
      </c>
      <c r="F6083" s="294"/>
      <c r="G6083" s="536" t="str">
        <f>B6083&amp;" "&amp;C6083</f>
        <v>79.04 长期待摊费用摊销</v>
      </c>
      <c r="H6083" s="322"/>
      <c r="I6083" s="322"/>
      <c r="J6083" s="306" t="s">
        <v>4206</v>
      </c>
      <c r="K6083" s="341">
        <f>VLOOKUP($A6083,Sheet_Trialbal,6,0)</f>
        <v>0</v>
      </c>
      <c r="L6083" s="342"/>
      <c r="M6083" s="306"/>
      <c r="N6083" s="341"/>
      <c r="O6083" s="306"/>
      <c r="P6083" s="301"/>
      <c r="S6083" s="364"/>
      <c r="Z6083" s="609" t="s">
        <v>2024</v>
      </c>
      <c r="AA6083" s="609"/>
    </row>
    <row r="6084" spans="1:27" ht="36">
      <c r="A6084" s="2714" t="s">
        <v>2022</v>
      </c>
      <c r="B6084" s="371">
        <v>1</v>
      </c>
      <c r="C6084" s="371"/>
      <c r="D6084" s="2716" t="str">
        <f>VLOOKUP($A6084,Sheet_NoteList,2,0)</f>
        <v>将净利润调节为经营活动现金流量：长期待摊费用摊销</v>
      </c>
      <c r="E6084" s="2716" t="s">
        <v>2742</v>
      </c>
      <c r="F6084" s="294"/>
      <c r="G6084" s="372" t="str">
        <f>"("&amp;B6084&amp;")"&amp;D6084</f>
        <v>(1)将净利润调节为经营活动现金流量：长期待摊费用摊销</v>
      </c>
      <c r="H6084" s="1517" t="str">
        <f>$A6084</f>
        <v>7507a</v>
      </c>
      <c r="I6084" s="343" t="s">
        <v>2743</v>
      </c>
      <c r="J6084" s="301" t="s">
        <v>4712</v>
      </c>
      <c r="K6084" s="2210">
        <f>H6090</f>
        <v>0</v>
      </c>
      <c r="L6084" s="345" t="str">
        <f>IF(ROUND(K6083-K6084,2)=0,"F/S",ROUND(K6083-K6084,2))</f>
        <v>F/S</v>
      </c>
      <c r="M6084" s="532" t="s">
        <v>4713</v>
      </c>
      <c r="N6084" s="3084"/>
      <c r="O6084" s="315"/>
      <c r="P6084" s="301"/>
      <c r="S6084" s="364"/>
      <c r="Z6084" s="609" t="s">
        <v>2024</v>
      </c>
      <c r="AA6084" s="609"/>
    </row>
    <row r="6085" spans="1:27" ht="0.75" customHeight="1" thickBot="1">
      <c r="A6085" s="2714"/>
      <c r="B6085" s="371"/>
      <c r="C6085" s="371"/>
      <c r="D6085" s="371"/>
      <c r="F6085" s="294"/>
      <c r="G6085" s="294" t="s">
        <v>4798</v>
      </c>
      <c r="H6085" s="294" t="s">
        <v>3472</v>
      </c>
      <c r="I6085" s="294" t="s">
        <v>2821</v>
      </c>
      <c r="J6085" s="291"/>
      <c r="K6085" s="291"/>
      <c r="L6085" s="291"/>
      <c r="M6085" s="291"/>
      <c r="S6085" s="364"/>
      <c r="Z6085" s="609" t="s">
        <v>2024</v>
      </c>
      <c r="AA6085" s="609"/>
    </row>
    <row r="6086" spans="1:27" ht="18">
      <c r="A6086" s="2714"/>
      <c r="B6086" s="371"/>
      <c r="C6086" s="371"/>
      <c r="D6086" s="371"/>
      <c r="E6086" s="2716" t="s">
        <v>2749</v>
      </c>
      <c r="F6086" s="294"/>
      <c r="G6086" s="1564" t="s">
        <v>47</v>
      </c>
      <c r="H6086" s="1565" t="s">
        <v>2587</v>
      </c>
      <c r="I6086" s="1566" t="s">
        <v>2508</v>
      </c>
      <c r="J6086" s="291"/>
      <c r="K6086" s="291"/>
      <c r="L6086" s="291"/>
      <c r="M6086" s="291"/>
      <c r="S6086" s="364"/>
      <c r="Z6086" s="609" t="s">
        <v>2024</v>
      </c>
      <c r="AA6086" s="609"/>
    </row>
    <row r="6087" spans="1:27" ht="18">
      <c r="A6087" s="2714"/>
      <c r="B6087" s="371">
        <v>101</v>
      </c>
      <c r="C6087" s="371"/>
      <c r="D6087" s="2716">
        <f>IF(OR(G6087="*",G6087="",G6087=0),0,COUNTIF($G$6087:$G$6090,G6087))</f>
        <v>1</v>
      </c>
      <c r="E6087" s="2721">
        <v>1</v>
      </c>
      <c r="F6087" s="294"/>
      <c r="G6087" s="308" t="s">
        <v>4799</v>
      </c>
      <c r="H6087" s="309"/>
      <c r="I6087" s="388"/>
      <c r="J6087" s="291"/>
      <c r="K6087" s="291"/>
      <c r="L6087" s="291"/>
      <c r="M6087" s="291"/>
      <c r="S6087" s="364"/>
      <c r="Z6087" s="609" t="s">
        <v>2024</v>
      </c>
      <c r="AA6087" s="609"/>
    </row>
    <row r="6088" spans="1:27" ht="18">
      <c r="A6088" s="2714"/>
      <c r="B6088" s="371">
        <v>102</v>
      </c>
      <c r="C6088" s="371" t="s">
        <v>2791</v>
      </c>
      <c r="D6088" s="2716">
        <f>IF(OR(G6088="*",G6088="",G6088=0),0,COUNTIF($G$6087:$G$6090,G6088))</f>
        <v>0</v>
      </c>
      <c r="E6088" s="2721">
        <v>1</v>
      </c>
      <c r="F6088" s="294"/>
      <c r="G6088" s="1563" t="s">
        <v>2792</v>
      </c>
      <c r="H6088" s="309"/>
      <c r="I6088" s="388"/>
      <c r="J6088" s="291"/>
      <c r="K6088" s="291"/>
      <c r="L6088" s="291"/>
      <c r="M6088" s="291"/>
      <c r="S6088" s="364"/>
      <c r="Z6088" s="609" t="s">
        <v>2024</v>
      </c>
      <c r="AA6088" s="609"/>
    </row>
    <row r="6089" spans="1:27" ht="18">
      <c r="A6089" s="2714"/>
      <c r="B6089" s="371">
        <v>103</v>
      </c>
      <c r="C6089" s="371" t="s">
        <v>2791</v>
      </c>
      <c r="D6089" s="2716">
        <f>IF(OR(G6089="*",G6089="",G6089=0),0,COUNTIF($G$6087:$G$6090,G6089))</f>
        <v>0</v>
      </c>
      <c r="E6089" s="2721">
        <v>1</v>
      </c>
      <c r="F6089" s="294"/>
      <c r="G6089" s="1563" t="s">
        <v>2792</v>
      </c>
      <c r="H6089" s="309"/>
      <c r="I6089" s="388"/>
      <c r="J6089" s="291"/>
      <c r="K6089" s="291"/>
      <c r="L6089" s="291"/>
      <c r="M6089" s="291"/>
      <c r="S6089" s="364"/>
      <c r="Z6089" s="609" t="s">
        <v>2024</v>
      </c>
      <c r="AA6089" s="609"/>
    </row>
    <row r="6090" spans="1:27" ht="18.75" thickBot="1">
      <c r="A6090" s="2714"/>
      <c r="B6090" s="371"/>
      <c r="C6090" s="371"/>
      <c r="D6090" s="2716">
        <f>IF(OR(G6090="*",G6090="",G6090=0),0,COUNTIF($G$6087:$G$6090,G6090))</f>
        <v>1</v>
      </c>
      <c r="E6090" s="2721" t="s">
        <v>2751</v>
      </c>
      <c r="F6090" s="294"/>
      <c r="G6090" s="1529" t="s">
        <v>2752</v>
      </c>
      <c r="H6090" s="1527">
        <f>SUMPRODUCT($E6086:$E6089,H6086:H6089)</f>
        <v>0</v>
      </c>
      <c r="I6090" s="1571"/>
      <c r="J6090" s="291"/>
      <c r="K6090" s="291"/>
      <c r="L6090" s="291"/>
      <c r="M6090" s="291"/>
      <c r="S6090" s="364"/>
      <c r="Z6090" s="609" t="s">
        <v>2024</v>
      </c>
      <c r="AA6090" s="609"/>
    </row>
    <row r="6091" spans="1:27" ht="18">
      <c r="A6091" s="2714"/>
      <c r="B6091" s="371"/>
      <c r="C6091" s="371" t="s">
        <v>2755</v>
      </c>
      <c r="D6091" s="371"/>
      <c r="F6091" s="294"/>
      <c r="G6091" s="301"/>
      <c r="H6091" s="315"/>
      <c r="I6091" s="393"/>
      <c r="J6091" s="291"/>
      <c r="K6091" s="291"/>
      <c r="L6091" s="291"/>
      <c r="M6091" s="291"/>
      <c r="S6091" s="364"/>
      <c r="Z6091" s="609" t="s">
        <v>2024</v>
      </c>
      <c r="AA6091" s="609"/>
    </row>
    <row r="6092" spans="1:27" ht="18">
      <c r="A6092" s="2714">
        <v>7508</v>
      </c>
      <c r="B6092" s="371">
        <v>79.05</v>
      </c>
      <c r="C6092" s="2716" t="str">
        <f>VLOOKUP($A6092,Sheet_Items,2,0)</f>
        <v>处置固定资产、无形资产和其他长期资产的损失</v>
      </c>
      <c r="D6092" s="371"/>
      <c r="E6092" s="2716" t="s">
        <v>2739</v>
      </c>
      <c r="F6092" s="294"/>
      <c r="G6092" s="536" t="str">
        <f>B6092&amp;" "&amp;C6092</f>
        <v>79.05 处置固定资产、无形资产和其他长期资产的损失</v>
      </c>
      <c r="H6092" s="322"/>
      <c r="I6092" s="322"/>
      <c r="J6092" s="306" t="s">
        <v>4206</v>
      </c>
      <c r="K6092" s="341">
        <f>VLOOKUP($A6092,Sheet_Trialbal,6,0)</f>
        <v>0</v>
      </c>
      <c r="L6092" s="342"/>
      <c r="M6092" s="306"/>
      <c r="N6092" s="341"/>
      <c r="O6092" s="306"/>
      <c r="P6092" s="301"/>
      <c r="S6092" s="364"/>
      <c r="Z6092" s="609" t="s">
        <v>2028</v>
      </c>
      <c r="AA6092" s="609"/>
    </row>
    <row r="6093" spans="1:27" ht="48">
      <c r="A6093" s="2714" t="s">
        <v>2026</v>
      </c>
      <c r="B6093" s="371">
        <v>1</v>
      </c>
      <c r="C6093" s="371"/>
      <c r="D6093" s="2716" t="str">
        <f>VLOOKUP($A6093,Sheet_NoteList,2,0)</f>
        <v>将净利润调节为经营活动现金流量：处置固定资产、无形资产和其他长期资产的损失</v>
      </c>
      <c r="E6093" s="2716" t="s">
        <v>2742</v>
      </c>
      <c r="F6093" s="294"/>
      <c r="G6093" s="372" t="str">
        <f>"("&amp;B6093&amp;")"&amp;D6093</f>
        <v>(1)将净利润调节为经营活动现金流量：处置固定资产、无形资产和其他长期资产的损失</v>
      </c>
      <c r="H6093" s="1517" t="str">
        <f>$A6093</f>
        <v>7508a</v>
      </c>
      <c r="I6093" s="343" t="s">
        <v>2743</v>
      </c>
      <c r="J6093" s="301" t="s">
        <v>4712</v>
      </c>
      <c r="K6093" s="2210">
        <f>H6104</f>
        <v>0</v>
      </c>
      <c r="L6093" s="345" t="str">
        <f>IF(ROUND(K6092-K6093,2)=0,"F/S",ROUND(K6092-K6093,2))</f>
        <v>F/S</v>
      </c>
      <c r="M6093" s="532" t="s">
        <v>4713</v>
      </c>
      <c r="N6093" s="3084"/>
      <c r="O6093" s="315"/>
      <c r="P6093" s="301"/>
      <c r="S6093" s="364"/>
      <c r="Z6093" s="609" t="s">
        <v>2028</v>
      </c>
      <c r="AA6093" s="609"/>
    </row>
    <row r="6094" spans="1:27" ht="0.75" customHeight="1" thickBot="1">
      <c r="A6094" s="2714"/>
      <c r="B6094" s="371"/>
      <c r="C6094" s="371"/>
      <c r="D6094" s="371"/>
      <c r="F6094" s="294"/>
      <c r="G6094" s="294" t="s">
        <v>4800</v>
      </c>
      <c r="H6094" s="294" t="s">
        <v>3472</v>
      </c>
      <c r="I6094" s="294" t="s">
        <v>2821</v>
      </c>
      <c r="J6094" s="291"/>
      <c r="K6094" s="291"/>
      <c r="L6094" s="291"/>
      <c r="M6094" s="291"/>
      <c r="S6094" s="364"/>
      <c r="Z6094" s="609" t="s">
        <v>2028</v>
      </c>
      <c r="AA6094" s="609"/>
    </row>
    <row r="6095" spans="1:27" ht="18">
      <c r="A6095" s="2714"/>
      <c r="B6095" s="371"/>
      <c r="C6095" s="371"/>
      <c r="D6095" s="371"/>
      <c r="E6095" s="2716" t="s">
        <v>2749</v>
      </c>
      <c r="F6095" s="294"/>
      <c r="G6095" s="1594" t="s">
        <v>47</v>
      </c>
      <c r="H6095" s="1592" t="s">
        <v>2587</v>
      </c>
      <c r="I6095" s="1593" t="s">
        <v>2508</v>
      </c>
      <c r="J6095" s="291"/>
      <c r="K6095" s="291"/>
      <c r="L6095" s="291"/>
      <c r="M6095" s="291"/>
      <c r="S6095" s="364"/>
      <c r="Z6095" s="609" t="s">
        <v>2028</v>
      </c>
      <c r="AA6095" s="609"/>
    </row>
    <row r="6096" spans="1:27" ht="18">
      <c r="A6096" s="2714"/>
      <c r="B6096" s="371">
        <v>101</v>
      </c>
      <c r="C6096" s="371" t="s">
        <v>2791</v>
      </c>
      <c r="D6096" s="2716">
        <f t="shared" ref="D6096:D6104" si="641">IF(OR(G6096="*",G6096="",G6096=0),0,COUNTIF($G$6096:$G$6104,G6096))</f>
        <v>0</v>
      </c>
      <c r="E6096" s="2721">
        <v>1</v>
      </c>
      <c r="F6096" s="294"/>
      <c r="G6096" s="1591" t="s">
        <v>2792</v>
      </c>
      <c r="H6096" s="309"/>
      <c r="I6096" s="388"/>
      <c r="J6096" s="291"/>
      <c r="K6096" s="291"/>
      <c r="L6096" s="291"/>
      <c r="M6096" s="291"/>
      <c r="S6096" s="364"/>
      <c r="Z6096" s="609" t="s">
        <v>2028</v>
      </c>
      <c r="AA6096" s="609"/>
    </row>
    <row r="6097" spans="1:27" ht="18">
      <c r="A6097" s="2714"/>
      <c r="B6097" s="371">
        <v>102</v>
      </c>
      <c r="C6097" s="371" t="s">
        <v>2791</v>
      </c>
      <c r="D6097" s="2716">
        <f t="shared" si="641"/>
        <v>0</v>
      </c>
      <c r="E6097" s="2721">
        <v>1</v>
      </c>
      <c r="F6097" s="294"/>
      <c r="G6097" s="1591" t="s">
        <v>2792</v>
      </c>
      <c r="H6097" s="309"/>
      <c r="I6097" s="388"/>
      <c r="J6097" s="291"/>
      <c r="K6097" s="291"/>
      <c r="L6097" s="291"/>
      <c r="M6097" s="291"/>
      <c r="S6097" s="364"/>
      <c r="Z6097" s="609" t="s">
        <v>2028</v>
      </c>
      <c r="AA6097" s="609"/>
    </row>
    <row r="6098" spans="1:27" ht="24">
      <c r="A6098" s="2714"/>
      <c r="B6098" s="371">
        <v>103</v>
      </c>
      <c r="C6098" s="371"/>
      <c r="D6098" s="2716">
        <f t="shared" si="641"/>
        <v>1</v>
      </c>
      <c r="E6098" s="2721">
        <v>-1</v>
      </c>
      <c r="F6098" s="294"/>
      <c r="G6098" s="308" t="s">
        <v>5522</v>
      </c>
      <c r="H6098" s="309"/>
      <c r="I6098" s="388"/>
      <c r="J6098" s="291"/>
      <c r="K6098" s="291"/>
      <c r="L6098" s="291"/>
      <c r="M6098" s="291"/>
      <c r="S6098" s="364"/>
      <c r="Z6098" s="609" t="s">
        <v>2028</v>
      </c>
      <c r="AA6098" s="609"/>
    </row>
    <row r="6099" spans="1:27" ht="24">
      <c r="A6099" s="2714"/>
      <c r="B6099" s="371">
        <v>104</v>
      </c>
      <c r="C6099" s="371"/>
      <c r="D6099" s="2716">
        <f t="shared" si="641"/>
        <v>1</v>
      </c>
      <c r="E6099" s="2721">
        <v>-1</v>
      </c>
      <c r="F6099" s="294"/>
      <c r="G6099" s="308" t="s">
        <v>5520</v>
      </c>
      <c r="H6099" s="309"/>
      <c r="I6099" s="388"/>
      <c r="J6099" s="291"/>
      <c r="K6099" s="291"/>
      <c r="L6099" s="291"/>
      <c r="M6099" s="291"/>
      <c r="S6099" s="364"/>
      <c r="Z6099" s="609" t="s">
        <v>2028</v>
      </c>
      <c r="AA6099" s="609"/>
    </row>
    <row r="6100" spans="1:27" ht="24">
      <c r="A6100" s="2714"/>
      <c r="B6100" s="371">
        <v>105</v>
      </c>
      <c r="C6100" s="371"/>
      <c r="D6100" s="2716">
        <f t="shared" si="641"/>
        <v>1</v>
      </c>
      <c r="E6100" s="2721">
        <v>-1</v>
      </c>
      <c r="F6100" s="294"/>
      <c r="G6100" s="308" t="s">
        <v>5521</v>
      </c>
      <c r="H6100" s="309"/>
      <c r="I6100" s="388"/>
      <c r="J6100" s="291"/>
      <c r="K6100" s="291"/>
      <c r="L6100" s="291"/>
      <c r="M6100" s="291"/>
      <c r="S6100" s="364"/>
      <c r="Z6100" s="609" t="s">
        <v>2028</v>
      </c>
      <c r="AA6100" s="609"/>
    </row>
    <row r="6101" spans="1:27" ht="18">
      <c r="A6101" s="2714"/>
      <c r="B6101" s="371">
        <v>106</v>
      </c>
      <c r="C6101" s="371" t="s">
        <v>2791</v>
      </c>
      <c r="D6101" s="2716">
        <f t="shared" si="641"/>
        <v>0</v>
      </c>
      <c r="E6101" s="2721">
        <v>-1</v>
      </c>
      <c r="F6101" s="294"/>
      <c r="G6101" s="1591" t="s">
        <v>2792</v>
      </c>
      <c r="H6101" s="309"/>
      <c r="I6101" s="388"/>
      <c r="J6101" s="291"/>
      <c r="K6101" s="291"/>
      <c r="L6101" s="291"/>
      <c r="M6101" s="291"/>
      <c r="S6101" s="364"/>
      <c r="Z6101" s="609" t="s">
        <v>2028</v>
      </c>
      <c r="AA6101" s="609"/>
    </row>
    <row r="6102" spans="1:27" ht="18">
      <c r="A6102" s="2714"/>
      <c r="B6102" s="371">
        <v>107</v>
      </c>
      <c r="C6102" s="371" t="s">
        <v>6532</v>
      </c>
      <c r="D6102" s="2716">
        <f t="shared" si="641"/>
        <v>0</v>
      </c>
      <c r="E6102" s="2721">
        <v>-1</v>
      </c>
      <c r="F6102" s="294"/>
      <c r="G6102" s="1591" t="s">
        <v>2792</v>
      </c>
      <c r="H6102" s="309"/>
      <c r="I6102" s="388"/>
      <c r="J6102" s="291"/>
      <c r="K6102" s="291"/>
      <c r="L6102" s="291"/>
      <c r="M6102" s="291"/>
      <c r="S6102" s="364"/>
      <c r="Z6102" s="609" t="s">
        <v>2028</v>
      </c>
      <c r="AA6102" s="609"/>
    </row>
    <row r="6103" spans="1:27" ht="18">
      <c r="A6103" s="2714"/>
      <c r="B6103" s="371">
        <v>108</v>
      </c>
      <c r="C6103" s="371" t="s">
        <v>6532</v>
      </c>
      <c r="D6103" s="2716">
        <f t="shared" si="641"/>
        <v>0</v>
      </c>
      <c r="E6103" s="2721">
        <v>-1</v>
      </c>
      <c r="F6103" s="294"/>
      <c r="G6103" s="1591" t="s">
        <v>2792</v>
      </c>
      <c r="H6103" s="309"/>
      <c r="I6103" s="388"/>
      <c r="J6103" s="291"/>
      <c r="K6103" s="291"/>
      <c r="L6103" s="291"/>
      <c r="M6103" s="291"/>
      <c r="S6103" s="364"/>
      <c r="Z6103" s="609" t="s">
        <v>2028</v>
      </c>
      <c r="AA6103" s="609"/>
    </row>
    <row r="6104" spans="1:27" ht="18.75" thickBot="1">
      <c r="A6104" s="2714"/>
      <c r="B6104" s="371"/>
      <c r="C6104" s="371"/>
      <c r="D6104" s="2716">
        <f t="shared" si="641"/>
        <v>1</v>
      </c>
      <c r="E6104" s="2721" t="s">
        <v>2751</v>
      </c>
      <c r="F6104" s="294"/>
      <c r="G6104" s="1529" t="s">
        <v>2752</v>
      </c>
      <c r="H6104" s="1527">
        <f>SUMPRODUCT($E6095:$E6103,H6095:H6103)</f>
        <v>0</v>
      </c>
      <c r="I6104" s="1571"/>
      <c r="J6104" s="291"/>
      <c r="K6104" s="291"/>
      <c r="L6104" s="291"/>
      <c r="M6104" s="291"/>
      <c r="S6104" s="364"/>
      <c r="Z6104" s="609" t="s">
        <v>2028</v>
      </c>
      <c r="AA6104" s="609"/>
    </row>
    <row r="6105" spans="1:27" ht="18">
      <c r="A6105" s="2714"/>
      <c r="B6105" s="371"/>
      <c r="C6105" s="371" t="s">
        <v>2755</v>
      </c>
      <c r="D6105" s="371"/>
      <c r="F6105" s="294"/>
      <c r="G6105" s="301"/>
      <c r="H6105" s="315"/>
      <c r="I6105" s="393"/>
      <c r="J6105" s="291"/>
      <c r="K6105" s="291"/>
      <c r="L6105" s="291"/>
      <c r="M6105" s="291"/>
      <c r="S6105" s="364"/>
      <c r="Z6105" s="609" t="s">
        <v>2028</v>
      </c>
      <c r="AA6105" s="609"/>
    </row>
    <row r="6106" spans="1:27" ht="18">
      <c r="A6106" s="2714">
        <v>7509</v>
      </c>
      <c r="B6106" s="371">
        <v>79.06</v>
      </c>
      <c r="C6106" s="2716" t="str">
        <f>VLOOKUP($A6106,Sheet_Items,2,0)</f>
        <v>固定资产报废损失</v>
      </c>
      <c r="D6106" s="371"/>
      <c r="E6106" s="2716" t="s">
        <v>2739</v>
      </c>
      <c r="F6106" s="294"/>
      <c r="G6106" s="536" t="str">
        <f>B6106&amp;" "&amp;C6106</f>
        <v>79.06 固定资产报废损失</v>
      </c>
      <c r="H6106" s="322"/>
      <c r="I6106" s="322"/>
      <c r="J6106" s="306" t="s">
        <v>4206</v>
      </c>
      <c r="K6106" s="341">
        <f>VLOOKUP($A6106,Sheet_Trialbal,6,0)</f>
        <v>0</v>
      </c>
      <c r="L6106" s="342"/>
      <c r="M6106" s="306"/>
      <c r="N6106" s="341"/>
      <c r="O6106" s="306"/>
      <c r="P6106" s="301"/>
      <c r="S6106" s="364"/>
      <c r="Z6106" s="609" t="s">
        <v>2032</v>
      </c>
      <c r="AA6106" s="609"/>
    </row>
    <row r="6107" spans="1:27" ht="36">
      <c r="A6107" s="2714" t="s">
        <v>2030</v>
      </c>
      <c r="B6107" s="371">
        <v>1</v>
      </c>
      <c r="C6107" s="371"/>
      <c r="D6107" s="2716" t="str">
        <f>VLOOKUP($A6107,Sheet_NoteList,2,0)</f>
        <v>将净利润调节为经营活动现金流量：固定资产报废损失</v>
      </c>
      <c r="E6107" s="2716" t="s">
        <v>2742</v>
      </c>
      <c r="F6107" s="294"/>
      <c r="G6107" s="372" t="str">
        <f>"("&amp;B6107&amp;")"&amp;D6107</f>
        <v>(1)将净利润调节为经营活动现金流量：固定资产报废损失</v>
      </c>
      <c r="H6107" s="1517" t="str">
        <f>$A6107</f>
        <v>7509a</v>
      </c>
      <c r="I6107" s="343" t="s">
        <v>2743</v>
      </c>
      <c r="J6107" s="301" t="s">
        <v>4712</v>
      </c>
      <c r="K6107" s="2210">
        <f>H6114</f>
        <v>0</v>
      </c>
      <c r="L6107" s="345" t="str">
        <f>IF(ROUND(K6106-K6107,2)=0,"F/S",ROUND(K6106-K6107,2))</f>
        <v>F/S</v>
      </c>
      <c r="M6107" s="532" t="s">
        <v>4713</v>
      </c>
      <c r="N6107" s="3084"/>
      <c r="O6107" s="315"/>
      <c r="P6107" s="301"/>
      <c r="S6107" s="364"/>
      <c r="Z6107" s="609" t="s">
        <v>2032</v>
      </c>
      <c r="AA6107" s="609"/>
    </row>
    <row r="6108" spans="1:27" ht="0.75" customHeight="1" thickBot="1">
      <c r="A6108" s="2714"/>
      <c r="B6108" s="371"/>
      <c r="C6108" s="371"/>
      <c r="D6108" s="371"/>
      <c r="F6108" s="294"/>
      <c r="G6108" s="294" t="s">
        <v>4807</v>
      </c>
      <c r="H6108" s="294" t="s">
        <v>3472</v>
      </c>
      <c r="I6108" s="294" t="s">
        <v>2821</v>
      </c>
      <c r="J6108" s="291"/>
      <c r="K6108" s="291"/>
      <c r="L6108" s="291"/>
      <c r="M6108" s="291"/>
      <c r="S6108" s="364"/>
      <c r="Z6108" s="609" t="s">
        <v>2032</v>
      </c>
      <c r="AA6108" s="609"/>
    </row>
    <row r="6109" spans="1:27" ht="18">
      <c r="A6109" s="2714"/>
      <c r="B6109" s="371"/>
      <c r="C6109" s="371"/>
      <c r="D6109" s="371"/>
      <c r="E6109" s="2716" t="s">
        <v>2749</v>
      </c>
      <c r="F6109" s="294"/>
      <c r="G6109" s="1564" t="s">
        <v>47</v>
      </c>
      <c r="H6109" s="1565" t="s">
        <v>2587</v>
      </c>
      <c r="I6109" s="1566" t="s">
        <v>2508</v>
      </c>
      <c r="J6109" s="291"/>
      <c r="K6109" s="291"/>
      <c r="L6109" s="291"/>
      <c r="M6109" s="291"/>
      <c r="S6109" s="364"/>
      <c r="Z6109" s="609" t="s">
        <v>2032</v>
      </c>
      <c r="AA6109" s="609"/>
    </row>
    <row r="6110" spans="1:27" ht="24">
      <c r="A6110" s="2714"/>
      <c r="B6110" s="371">
        <v>101</v>
      </c>
      <c r="C6110" s="371"/>
      <c r="D6110" s="2716">
        <f>IF(OR(G6110="*",G6110="",G6110=0),0,COUNTIF($G$6110:$G$6114,G6110))</f>
        <v>1</v>
      </c>
      <c r="E6110" s="2721">
        <v>1</v>
      </c>
      <c r="F6110" s="294"/>
      <c r="G6110" s="308" t="s">
        <v>4808</v>
      </c>
      <c r="H6110" s="309"/>
      <c r="I6110" s="388"/>
      <c r="J6110" s="291"/>
      <c r="K6110" s="291"/>
      <c r="L6110" s="291"/>
      <c r="M6110" s="291"/>
      <c r="S6110" s="364"/>
      <c r="Z6110" s="609" t="s">
        <v>2032</v>
      </c>
      <c r="AA6110" s="609"/>
    </row>
    <row r="6111" spans="1:27" ht="18">
      <c r="A6111" s="2714"/>
      <c r="B6111" s="371">
        <v>102</v>
      </c>
      <c r="C6111" s="371" t="s">
        <v>2791</v>
      </c>
      <c r="D6111" s="2716">
        <f>IF(OR(G6111="*",G6111="",G6111=0),0,COUNTIF($G$6110:$G$6114,G6111))</f>
        <v>0</v>
      </c>
      <c r="E6111" s="2721">
        <v>1</v>
      </c>
      <c r="F6111" s="294"/>
      <c r="G6111" s="1563" t="s">
        <v>2792</v>
      </c>
      <c r="H6111" s="309"/>
      <c r="I6111" s="388"/>
      <c r="J6111" s="291"/>
      <c r="K6111" s="291"/>
      <c r="L6111" s="291"/>
      <c r="M6111" s="291"/>
      <c r="S6111" s="364"/>
      <c r="Z6111" s="609" t="s">
        <v>2032</v>
      </c>
      <c r="AA6111" s="609"/>
    </row>
    <row r="6112" spans="1:27" ht="24">
      <c r="A6112" s="2714"/>
      <c r="B6112" s="371">
        <v>103</v>
      </c>
      <c r="C6112" s="371"/>
      <c r="D6112" s="2716">
        <f>IF(OR(G6112="*",G6112="",G6112=0),0,COUNTIF($G$6110:$G$6114,G6112))</f>
        <v>1</v>
      </c>
      <c r="E6112" s="2721">
        <v>-1</v>
      </c>
      <c r="F6112" s="294"/>
      <c r="G6112" s="308" t="s">
        <v>4809</v>
      </c>
      <c r="H6112" s="309"/>
      <c r="I6112" s="388"/>
      <c r="J6112" s="291"/>
      <c r="K6112" s="291"/>
      <c r="L6112" s="291"/>
      <c r="M6112" s="291"/>
      <c r="S6112" s="364"/>
      <c r="Z6112" s="609" t="s">
        <v>2032</v>
      </c>
      <c r="AA6112" s="609"/>
    </row>
    <row r="6113" spans="1:27" ht="18">
      <c r="A6113" s="2714"/>
      <c r="B6113" s="371">
        <v>104</v>
      </c>
      <c r="C6113" s="371" t="s">
        <v>2791</v>
      </c>
      <c r="D6113" s="2716">
        <f>IF(OR(G6113="*",G6113="",G6113=0),0,COUNTIF($G$6110:$G$6114,G6113))</f>
        <v>0</v>
      </c>
      <c r="E6113" s="2721">
        <v>-1</v>
      </c>
      <c r="F6113" s="294"/>
      <c r="G6113" s="1563" t="s">
        <v>2792</v>
      </c>
      <c r="H6113" s="309"/>
      <c r="I6113" s="388"/>
      <c r="J6113" s="291"/>
      <c r="K6113" s="291"/>
      <c r="L6113" s="291"/>
      <c r="M6113" s="291"/>
      <c r="S6113" s="364"/>
      <c r="Z6113" s="609" t="s">
        <v>2032</v>
      </c>
      <c r="AA6113" s="609"/>
    </row>
    <row r="6114" spans="1:27" ht="18.75" thickBot="1">
      <c r="A6114" s="2714"/>
      <c r="B6114" s="371"/>
      <c r="C6114" s="371"/>
      <c r="D6114" s="2716">
        <f>IF(OR(G6114="*",G6114="",G6114=0),0,COUNTIF($G$6110:$G$6114,G6114))</f>
        <v>1</v>
      </c>
      <c r="E6114" s="2721" t="s">
        <v>2751</v>
      </c>
      <c r="F6114" s="294"/>
      <c r="G6114" s="1529" t="s">
        <v>2752</v>
      </c>
      <c r="H6114" s="1527">
        <f>SUMPRODUCT($E6109:$E6113,H6109:H6113)</f>
        <v>0</v>
      </c>
      <c r="I6114" s="1571"/>
      <c r="J6114" s="291"/>
      <c r="K6114" s="291"/>
      <c r="L6114" s="291"/>
      <c r="M6114" s="291"/>
      <c r="S6114" s="364"/>
      <c r="Z6114" s="609" t="s">
        <v>2032</v>
      </c>
      <c r="AA6114" s="609"/>
    </row>
    <row r="6115" spans="1:27" ht="18">
      <c r="A6115" s="2714"/>
      <c r="B6115" s="371"/>
      <c r="C6115" s="371" t="s">
        <v>2755</v>
      </c>
      <c r="D6115" s="371"/>
      <c r="F6115" s="294"/>
      <c r="G6115" s="301"/>
      <c r="H6115" s="315"/>
      <c r="I6115" s="393"/>
      <c r="J6115" s="291"/>
      <c r="K6115" s="291"/>
      <c r="L6115" s="291"/>
      <c r="M6115" s="291"/>
      <c r="S6115" s="364"/>
      <c r="Z6115" s="609" t="s">
        <v>2032</v>
      </c>
      <c r="AA6115" s="609"/>
    </row>
    <row r="6116" spans="1:27" ht="18">
      <c r="A6116" s="2714">
        <v>7510</v>
      </c>
      <c r="B6116" s="371">
        <v>79.069999999999993</v>
      </c>
      <c r="C6116" s="2716" t="str">
        <f>VLOOKUP($A6116,Sheet_Items,2,0)</f>
        <v>公允价值变动损失</v>
      </c>
      <c r="D6116" s="371"/>
      <c r="E6116" s="2716" t="s">
        <v>2739</v>
      </c>
      <c r="F6116" s="294"/>
      <c r="G6116" s="536" t="str">
        <f>B6116&amp;" "&amp;C6116</f>
        <v>79.07 公允价值变动损失</v>
      </c>
      <c r="H6116" s="322"/>
      <c r="I6116" s="322"/>
      <c r="J6116" s="306" t="s">
        <v>4206</v>
      </c>
      <c r="K6116" s="341">
        <f>VLOOKUP($A6116,Sheet_Trialbal,6,0)</f>
        <v>0</v>
      </c>
      <c r="L6116" s="342"/>
      <c r="M6116" s="306"/>
      <c r="N6116" s="341"/>
      <c r="O6116" s="306"/>
      <c r="P6116" s="301"/>
      <c r="S6116" s="364"/>
      <c r="Z6116" s="609" t="s">
        <v>2037</v>
      </c>
      <c r="AA6116" s="609"/>
    </row>
    <row r="6117" spans="1:27" ht="36">
      <c r="A6117" s="2714" t="s">
        <v>2035</v>
      </c>
      <c r="B6117" s="371">
        <v>1</v>
      </c>
      <c r="C6117" s="371"/>
      <c r="D6117" s="2716" t="str">
        <f>VLOOKUP($A6117,Sheet_NoteList,2,0)</f>
        <v>将净利润调节为经营活动现金流量：公允价值变动损失</v>
      </c>
      <c r="E6117" s="2716" t="s">
        <v>2742</v>
      </c>
      <c r="F6117" s="294"/>
      <c r="G6117" s="372" t="str">
        <f>"("&amp;B6117&amp;")"&amp;D6117</f>
        <v>(1)将净利润调节为经营活动现金流量：公允价值变动损失</v>
      </c>
      <c r="H6117" s="1517" t="str">
        <f>$A6117</f>
        <v>7510a</v>
      </c>
      <c r="I6117" s="343" t="s">
        <v>2743</v>
      </c>
      <c r="J6117" s="301" t="s">
        <v>4712</v>
      </c>
      <c r="K6117" s="2210">
        <f>H6123</f>
        <v>0</v>
      </c>
      <c r="L6117" s="345" t="str">
        <f>IF(ROUND(K6116-K6117,2)=0,"F/S",ROUND(K6116-K6117,2))</f>
        <v>F/S</v>
      </c>
      <c r="M6117" s="532" t="s">
        <v>4713</v>
      </c>
      <c r="N6117" s="3084"/>
      <c r="O6117" s="315"/>
      <c r="P6117" s="301"/>
      <c r="S6117" s="364"/>
      <c r="Z6117" s="609" t="s">
        <v>2037</v>
      </c>
      <c r="AA6117" s="609"/>
    </row>
    <row r="6118" spans="1:27" ht="0.75" customHeight="1" thickBot="1">
      <c r="A6118" s="2714"/>
      <c r="B6118" s="371"/>
      <c r="C6118" s="371"/>
      <c r="D6118" s="371"/>
      <c r="F6118" s="294"/>
      <c r="G6118" s="294" t="s">
        <v>4810</v>
      </c>
      <c r="H6118" s="294" t="s">
        <v>3472</v>
      </c>
      <c r="I6118" s="294" t="s">
        <v>2821</v>
      </c>
      <c r="J6118" s="291"/>
      <c r="K6118" s="291"/>
      <c r="L6118" s="291"/>
      <c r="M6118" s="291"/>
      <c r="S6118" s="364"/>
      <c r="Z6118" s="609" t="s">
        <v>2037</v>
      </c>
      <c r="AA6118" s="609"/>
    </row>
    <row r="6119" spans="1:27" ht="18">
      <c r="A6119" s="2714"/>
      <c r="B6119" s="371"/>
      <c r="C6119" s="371"/>
      <c r="D6119" s="371"/>
      <c r="E6119" s="2716" t="s">
        <v>2749</v>
      </c>
      <c r="F6119" s="294"/>
      <c r="G6119" s="1564" t="s">
        <v>47</v>
      </c>
      <c r="H6119" s="1565" t="s">
        <v>2587</v>
      </c>
      <c r="I6119" s="1566" t="s">
        <v>2508</v>
      </c>
      <c r="J6119" s="291"/>
      <c r="K6119" s="291"/>
      <c r="L6119" s="291"/>
      <c r="M6119" s="291"/>
      <c r="S6119" s="364"/>
      <c r="Z6119" s="609" t="s">
        <v>2037</v>
      </c>
      <c r="AA6119" s="609"/>
    </row>
    <row r="6120" spans="1:27" ht="18">
      <c r="A6120" s="2714"/>
      <c r="B6120" s="371">
        <v>101</v>
      </c>
      <c r="C6120" s="371"/>
      <c r="D6120" s="2716">
        <f>IF(OR(G6120="*",G6120="",G6120=0),0,COUNTIF($G$6120:$G$6123,G6120))</f>
        <v>1</v>
      </c>
      <c r="E6120" s="2721">
        <v>1</v>
      </c>
      <c r="F6120" s="294"/>
      <c r="G6120" s="308" t="s">
        <v>4811</v>
      </c>
      <c r="H6120" s="309"/>
      <c r="I6120" s="388"/>
      <c r="J6120" s="291"/>
      <c r="K6120" s="291"/>
      <c r="L6120" s="291"/>
      <c r="M6120" s="291"/>
      <c r="S6120" s="364"/>
      <c r="Z6120" s="609" t="s">
        <v>2037</v>
      </c>
      <c r="AA6120" s="609"/>
    </row>
    <row r="6121" spans="1:27" ht="18">
      <c r="A6121" s="2714"/>
      <c r="B6121" s="371">
        <v>102</v>
      </c>
      <c r="C6121" s="371" t="s">
        <v>2791</v>
      </c>
      <c r="D6121" s="2716">
        <f>IF(OR(G6121="*",G6121="",G6121=0),0,COUNTIF($G$6120:$G$6123,G6121))</f>
        <v>0</v>
      </c>
      <c r="E6121" s="2721">
        <v>1</v>
      </c>
      <c r="F6121" s="294"/>
      <c r="G6121" s="1563" t="s">
        <v>2792</v>
      </c>
      <c r="H6121" s="309"/>
      <c r="I6121" s="388"/>
      <c r="J6121" s="291"/>
      <c r="K6121" s="291"/>
      <c r="L6121" s="291"/>
      <c r="M6121" s="291"/>
      <c r="S6121" s="364"/>
      <c r="Z6121" s="609" t="s">
        <v>2037</v>
      </c>
      <c r="AA6121" s="609"/>
    </row>
    <row r="6122" spans="1:27" ht="18">
      <c r="A6122" s="2714"/>
      <c r="B6122" s="371">
        <v>103</v>
      </c>
      <c r="C6122" s="371" t="s">
        <v>2791</v>
      </c>
      <c r="D6122" s="2716">
        <f>IF(OR(G6122="*",G6122="",G6122=0),0,COUNTIF($G$6120:$G$6123,G6122))</f>
        <v>0</v>
      </c>
      <c r="E6122" s="2721">
        <v>1</v>
      </c>
      <c r="F6122" s="294"/>
      <c r="G6122" s="1563" t="s">
        <v>2792</v>
      </c>
      <c r="H6122" s="309"/>
      <c r="I6122" s="388"/>
      <c r="J6122" s="291"/>
      <c r="K6122" s="291"/>
      <c r="L6122" s="291"/>
      <c r="M6122" s="291"/>
      <c r="S6122" s="364"/>
      <c r="Z6122" s="609" t="s">
        <v>2037</v>
      </c>
      <c r="AA6122" s="609"/>
    </row>
    <row r="6123" spans="1:27" ht="18.75" thickBot="1">
      <c r="A6123" s="2714"/>
      <c r="B6123" s="371"/>
      <c r="C6123" s="371"/>
      <c r="D6123" s="2716">
        <f>IF(OR(G6123="*",G6123="",G6123=0),0,COUNTIF($G$6120:$G$6123,G6123))</f>
        <v>1</v>
      </c>
      <c r="E6123" s="2721" t="s">
        <v>2751</v>
      </c>
      <c r="F6123" s="294"/>
      <c r="G6123" s="1529" t="s">
        <v>2752</v>
      </c>
      <c r="H6123" s="1527">
        <f>SUMPRODUCT($E6119:$E6122,H6119:H6122)</f>
        <v>0</v>
      </c>
      <c r="I6123" s="1571"/>
      <c r="J6123" s="291"/>
      <c r="K6123" s="291"/>
      <c r="L6123" s="291"/>
      <c r="M6123" s="291"/>
      <c r="S6123" s="364"/>
      <c r="Z6123" s="609" t="s">
        <v>2037</v>
      </c>
      <c r="AA6123" s="609"/>
    </row>
    <row r="6124" spans="1:27" ht="18">
      <c r="A6124" s="2714"/>
      <c r="B6124" s="371"/>
      <c r="C6124" s="371" t="s">
        <v>2755</v>
      </c>
      <c r="D6124" s="371"/>
      <c r="F6124" s="294"/>
      <c r="G6124" s="301"/>
      <c r="H6124" s="315"/>
      <c r="I6124" s="393"/>
      <c r="J6124" s="291"/>
      <c r="K6124" s="291"/>
      <c r="L6124" s="291"/>
      <c r="M6124" s="291"/>
      <c r="S6124" s="364"/>
      <c r="Z6124" s="609" t="s">
        <v>2037</v>
      </c>
      <c r="AA6124" s="609"/>
    </row>
    <row r="6125" spans="1:27" ht="18">
      <c r="A6125" s="2714">
        <v>7511</v>
      </c>
      <c r="B6125" s="371">
        <v>79.08</v>
      </c>
      <c r="C6125" s="2716" t="str">
        <f>VLOOKUP($A6125,Sheet_Items,2,0)</f>
        <v>财务费用金额</v>
      </c>
      <c r="D6125" s="371"/>
      <c r="E6125" s="2716" t="s">
        <v>2739</v>
      </c>
      <c r="F6125" s="294"/>
      <c r="G6125" s="536" t="str">
        <f>B6125&amp;" "&amp;C6125</f>
        <v>79.08 财务费用金额</v>
      </c>
      <c r="H6125" s="322"/>
      <c r="I6125" s="322"/>
      <c r="J6125" s="306" t="s">
        <v>4206</v>
      </c>
      <c r="K6125" s="341">
        <f>VLOOKUP($A6125,Sheet_Trialbal,6,0)</f>
        <v>0</v>
      </c>
      <c r="L6125" s="342"/>
      <c r="M6125" s="306"/>
      <c r="N6125" s="341"/>
      <c r="O6125" s="306"/>
      <c r="P6125" s="301"/>
      <c r="S6125" s="364"/>
      <c r="Z6125" s="609" t="s">
        <v>2040</v>
      </c>
      <c r="AA6125" s="609"/>
    </row>
    <row r="6126" spans="1:27" ht="24">
      <c r="A6126" s="2714" t="s">
        <v>2038</v>
      </c>
      <c r="B6126" s="371">
        <v>1</v>
      </c>
      <c r="C6126" s="371"/>
      <c r="D6126" s="2716" t="str">
        <f>VLOOKUP($A6126,Sheet_NoteList,2,0)</f>
        <v>将净利润调节为经营活动现金流量：财务费用金额</v>
      </c>
      <c r="E6126" s="2716" t="s">
        <v>2742</v>
      </c>
      <c r="F6126" s="294"/>
      <c r="G6126" s="372" t="str">
        <f>"("&amp;B6126&amp;")"&amp;D6126</f>
        <v>(1)将净利润调节为经营活动现金流量：财务费用金额</v>
      </c>
      <c r="H6126" s="1517" t="str">
        <f>$A6126</f>
        <v>7511a</v>
      </c>
      <c r="I6126" s="343" t="s">
        <v>2743</v>
      </c>
      <c r="J6126" s="301" t="s">
        <v>4712</v>
      </c>
      <c r="K6126" s="2210">
        <f>H6134</f>
        <v>0</v>
      </c>
      <c r="L6126" s="345" t="str">
        <f>IF(ROUND(K6125-K6126,2)=0,"F/S",ROUND(K6125-K6126,2))</f>
        <v>F/S</v>
      </c>
      <c r="M6126" s="532" t="s">
        <v>4713</v>
      </c>
      <c r="N6126" s="3084"/>
      <c r="O6126" s="315"/>
      <c r="P6126" s="301"/>
      <c r="S6126" s="364"/>
      <c r="Z6126" s="609" t="s">
        <v>2040</v>
      </c>
      <c r="AA6126" s="609"/>
    </row>
    <row r="6127" spans="1:27" ht="0.75" customHeight="1" thickBot="1">
      <c r="A6127" s="2714"/>
      <c r="B6127" s="371"/>
      <c r="C6127" s="371"/>
      <c r="D6127" s="371"/>
      <c r="F6127" s="294"/>
      <c r="G6127" s="294" t="s">
        <v>4812</v>
      </c>
      <c r="H6127" s="294" t="s">
        <v>3472</v>
      </c>
      <c r="I6127" s="294" t="s">
        <v>2821</v>
      </c>
      <c r="J6127" s="291"/>
      <c r="K6127" s="291"/>
      <c r="L6127" s="291"/>
      <c r="M6127" s="291"/>
      <c r="S6127" s="364"/>
      <c r="Z6127" s="609" t="s">
        <v>2040</v>
      </c>
      <c r="AA6127" s="609"/>
    </row>
    <row r="6128" spans="1:27" ht="18">
      <c r="A6128" s="2714"/>
      <c r="B6128" s="371"/>
      <c r="C6128" s="371"/>
      <c r="D6128" s="371"/>
      <c r="E6128" s="2716" t="s">
        <v>2749</v>
      </c>
      <c r="F6128" s="294"/>
      <c r="G6128" s="1564" t="s">
        <v>47</v>
      </c>
      <c r="H6128" s="1565" t="s">
        <v>2587</v>
      </c>
      <c r="I6128" s="1566" t="s">
        <v>2508</v>
      </c>
      <c r="J6128" s="291"/>
      <c r="K6128" s="291"/>
      <c r="L6128" s="291"/>
      <c r="M6128" s="291"/>
      <c r="S6128" s="364"/>
      <c r="Z6128" s="609" t="s">
        <v>2040</v>
      </c>
      <c r="AA6128" s="609"/>
    </row>
    <row r="6129" spans="1:27" ht="18">
      <c r="A6129" s="2714"/>
      <c r="B6129" s="371">
        <v>101</v>
      </c>
      <c r="C6129" s="371"/>
      <c r="D6129" s="2716">
        <f t="shared" ref="D6129:D6134" si="642">IF(OR(G6129="*",G6129="",G6129=0),0,COUNTIF($G$6129:$G$6134,G6129))</f>
        <v>1</v>
      </c>
      <c r="E6129" s="2721">
        <v>1</v>
      </c>
      <c r="F6129" s="294"/>
      <c r="G6129" s="308" t="s">
        <v>771</v>
      </c>
      <c r="H6129" s="309"/>
      <c r="I6129" s="388"/>
      <c r="J6129" s="291"/>
      <c r="K6129" s="291"/>
      <c r="L6129" s="291"/>
      <c r="M6129" s="291"/>
      <c r="S6129" s="364"/>
      <c r="Z6129" s="609" t="s">
        <v>2040</v>
      </c>
      <c r="AA6129" s="609"/>
    </row>
    <row r="6130" spans="1:27" ht="18">
      <c r="A6130" s="2714"/>
      <c r="B6130" s="371">
        <v>102</v>
      </c>
      <c r="C6130" s="371"/>
      <c r="D6130" s="2716">
        <f t="shared" si="642"/>
        <v>1</v>
      </c>
      <c r="E6130" s="2721">
        <v>-1</v>
      </c>
      <c r="F6130" s="294"/>
      <c r="G6130" s="308" t="s">
        <v>4271</v>
      </c>
      <c r="H6130" s="309"/>
      <c r="I6130" s="388"/>
      <c r="J6130" s="291"/>
      <c r="K6130" s="291"/>
      <c r="L6130" s="291"/>
      <c r="M6130" s="291"/>
      <c r="S6130" s="364"/>
      <c r="Z6130" s="609" t="s">
        <v>2040</v>
      </c>
      <c r="AA6130" s="609"/>
    </row>
    <row r="6131" spans="1:27" ht="24">
      <c r="A6131" s="2714"/>
      <c r="B6131" s="371">
        <v>103</v>
      </c>
      <c r="C6131" s="371"/>
      <c r="D6131" s="2716">
        <f t="shared" si="642"/>
        <v>1</v>
      </c>
      <c r="E6131" s="2721">
        <v>1</v>
      </c>
      <c r="F6131" s="294"/>
      <c r="G6131" s="308" t="s">
        <v>4813</v>
      </c>
      <c r="H6131" s="309"/>
      <c r="I6131" s="388"/>
      <c r="J6131" s="291"/>
      <c r="K6131" s="291"/>
      <c r="L6131" s="291"/>
      <c r="M6131" s="291"/>
      <c r="S6131" s="364"/>
      <c r="Z6131" s="609" t="s">
        <v>2040</v>
      </c>
      <c r="AA6131" s="609"/>
    </row>
    <row r="6132" spans="1:27" ht="24">
      <c r="A6132" s="2714"/>
      <c r="B6132" s="371">
        <v>104</v>
      </c>
      <c r="C6132" s="371"/>
      <c r="D6132" s="2716">
        <f t="shared" si="642"/>
        <v>1</v>
      </c>
      <c r="E6132" s="2721">
        <v>1</v>
      </c>
      <c r="F6132" s="294"/>
      <c r="G6132" s="308" t="s">
        <v>4814</v>
      </c>
      <c r="H6132" s="309"/>
      <c r="I6132" s="388"/>
      <c r="J6132" s="291"/>
      <c r="K6132" s="291"/>
      <c r="L6132" s="291"/>
      <c r="M6132" s="291"/>
      <c r="S6132" s="364"/>
      <c r="Z6132" s="609" t="s">
        <v>2040</v>
      </c>
      <c r="AA6132" s="609"/>
    </row>
    <row r="6133" spans="1:27" ht="18">
      <c r="A6133" s="2714"/>
      <c r="B6133" s="371">
        <v>108</v>
      </c>
      <c r="C6133" s="371" t="s">
        <v>2791</v>
      </c>
      <c r="D6133" s="2716">
        <f t="shared" si="642"/>
        <v>0</v>
      </c>
      <c r="E6133" s="2721">
        <v>1</v>
      </c>
      <c r="F6133" s="294"/>
      <c r="G6133" s="1563" t="s">
        <v>2792</v>
      </c>
      <c r="H6133" s="309"/>
      <c r="I6133" s="388"/>
      <c r="J6133" s="291"/>
      <c r="K6133" s="291"/>
      <c r="L6133" s="291"/>
      <c r="M6133" s="291"/>
      <c r="S6133" s="364"/>
      <c r="Z6133" s="609" t="s">
        <v>2040</v>
      </c>
      <c r="AA6133" s="609"/>
    </row>
    <row r="6134" spans="1:27" ht="18.75" thickBot="1">
      <c r="A6134" s="2714"/>
      <c r="B6134" s="371"/>
      <c r="C6134" s="371"/>
      <c r="D6134" s="2716">
        <f t="shared" si="642"/>
        <v>1</v>
      </c>
      <c r="E6134" s="2721" t="s">
        <v>2751</v>
      </c>
      <c r="F6134" s="294"/>
      <c r="G6134" s="1529" t="s">
        <v>2752</v>
      </c>
      <c r="H6134" s="1527">
        <f>SUMPRODUCT($E6128:$E6133,H6128:H6133)</f>
        <v>0</v>
      </c>
      <c r="I6134" s="1571"/>
      <c r="J6134" s="532"/>
      <c r="K6134" s="291"/>
      <c r="L6134" s="291"/>
      <c r="M6134" s="291"/>
      <c r="S6134" s="364"/>
      <c r="Z6134" s="609" t="s">
        <v>2040</v>
      </c>
      <c r="AA6134" s="609"/>
    </row>
    <row r="6135" spans="1:27" ht="18">
      <c r="A6135" s="2714"/>
      <c r="B6135" s="371"/>
      <c r="C6135" s="371" t="s">
        <v>2755</v>
      </c>
      <c r="D6135" s="371"/>
      <c r="F6135" s="294"/>
      <c r="G6135" s="301"/>
      <c r="H6135" s="315"/>
      <c r="I6135" s="393"/>
      <c r="J6135" s="291"/>
      <c r="K6135" s="291"/>
      <c r="L6135" s="291"/>
      <c r="M6135" s="291"/>
      <c r="S6135" s="364"/>
      <c r="Z6135" s="609" t="s">
        <v>2040</v>
      </c>
      <c r="AA6135" s="609"/>
    </row>
    <row r="6136" spans="1:27" ht="18">
      <c r="A6136" s="2714">
        <v>7512</v>
      </c>
      <c r="B6136" s="371">
        <v>79.09</v>
      </c>
      <c r="C6136" s="2716" t="str">
        <f>VLOOKUP($A6136,Sheet_Items,2,0)</f>
        <v>投资损失</v>
      </c>
      <c r="D6136" s="371"/>
      <c r="E6136" s="2716" t="s">
        <v>2739</v>
      </c>
      <c r="F6136" s="294"/>
      <c r="G6136" s="536" t="str">
        <f>B6136&amp;" "&amp;C6136</f>
        <v>79.09 投资损失</v>
      </c>
      <c r="H6136" s="322"/>
      <c r="I6136" s="322"/>
      <c r="J6136" s="306" t="s">
        <v>4206</v>
      </c>
      <c r="K6136" s="341">
        <f>VLOOKUP($A6136,Sheet_Trialbal,6,0)</f>
        <v>0</v>
      </c>
      <c r="L6136" s="342"/>
      <c r="M6136" s="306"/>
      <c r="N6136" s="341"/>
      <c r="O6136" s="306"/>
      <c r="P6136" s="301"/>
      <c r="S6136" s="364"/>
      <c r="Z6136" s="609" t="s">
        <v>2044</v>
      </c>
      <c r="AA6136" s="609"/>
    </row>
    <row r="6137" spans="1:27" ht="24">
      <c r="A6137" s="2714" t="s">
        <v>2042</v>
      </c>
      <c r="B6137" s="371">
        <v>1</v>
      </c>
      <c r="C6137" s="371"/>
      <c r="D6137" s="2716" t="str">
        <f>VLOOKUP($A6137,Sheet_NoteList,2,0)</f>
        <v>将净利润调节为经营活动现金流量：投资损失</v>
      </c>
      <c r="E6137" s="2716" t="s">
        <v>2742</v>
      </c>
      <c r="F6137" s="294"/>
      <c r="G6137" s="372" t="str">
        <f>"("&amp;B6137&amp;")"&amp;D6137</f>
        <v>(1)将净利润调节为经营活动现金流量：投资损失</v>
      </c>
      <c r="H6137" s="1517" t="str">
        <f>$A6137</f>
        <v>7512a</v>
      </c>
      <c r="I6137" s="343" t="s">
        <v>2743</v>
      </c>
      <c r="J6137" s="301" t="s">
        <v>4712</v>
      </c>
      <c r="K6137" s="2210">
        <f>H6143</f>
        <v>0</v>
      </c>
      <c r="L6137" s="345" t="str">
        <f>IF(ROUND(K6136-K6137,2)=0,"F/S",ROUND(K6136-K6137,2))</f>
        <v>F/S</v>
      </c>
      <c r="M6137" s="532" t="s">
        <v>4713</v>
      </c>
      <c r="N6137" s="3084"/>
      <c r="O6137" s="315"/>
      <c r="P6137" s="301"/>
      <c r="S6137" s="364"/>
      <c r="Z6137" s="609" t="s">
        <v>2044</v>
      </c>
      <c r="AA6137" s="609"/>
    </row>
    <row r="6138" spans="1:27" ht="0.75" customHeight="1" thickBot="1">
      <c r="A6138" s="2714"/>
      <c r="B6138" s="371"/>
      <c r="C6138" s="371"/>
      <c r="D6138" s="371"/>
      <c r="F6138" s="294"/>
      <c r="G6138" s="294" t="s">
        <v>4815</v>
      </c>
      <c r="H6138" s="294" t="s">
        <v>3472</v>
      </c>
      <c r="I6138" s="294" t="s">
        <v>2821</v>
      </c>
      <c r="J6138" s="291"/>
      <c r="K6138" s="291"/>
      <c r="L6138" s="291"/>
      <c r="M6138" s="291"/>
      <c r="S6138" s="364"/>
      <c r="Z6138" s="609" t="s">
        <v>2044</v>
      </c>
      <c r="AA6138" s="609"/>
    </row>
    <row r="6139" spans="1:27" ht="18">
      <c r="A6139" s="2714"/>
      <c r="B6139" s="371"/>
      <c r="C6139" s="371"/>
      <c r="D6139" s="371"/>
      <c r="E6139" s="2716" t="s">
        <v>2749</v>
      </c>
      <c r="F6139" s="294"/>
      <c r="G6139" s="1564" t="s">
        <v>47</v>
      </c>
      <c r="H6139" s="1565" t="s">
        <v>2587</v>
      </c>
      <c r="I6139" s="1566" t="s">
        <v>2508</v>
      </c>
      <c r="J6139" s="291"/>
      <c r="K6139" s="291"/>
      <c r="L6139" s="291"/>
      <c r="M6139" s="291"/>
      <c r="S6139" s="364"/>
      <c r="Z6139" s="609" t="s">
        <v>2044</v>
      </c>
      <c r="AA6139" s="609"/>
    </row>
    <row r="6140" spans="1:27" ht="18">
      <c r="A6140" s="2714"/>
      <c r="B6140" s="371">
        <v>101</v>
      </c>
      <c r="C6140" s="371"/>
      <c r="D6140" s="2716">
        <f>IF(OR(G6140="*",G6140="",G6140=0),0,COUNTIF($G$6140:$G$6143,G6140))</f>
        <v>1</v>
      </c>
      <c r="E6140" s="2721">
        <v>1</v>
      </c>
      <c r="F6140" s="294"/>
      <c r="G6140" s="308" t="s">
        <v>843</v>
      </c>
      <c r="H6140" s="309"/>
      <c r="I6140" s="388"/>
      <c r="J6140" s="291"/>
      <c r="K6140" s="291"/>
      <c r="L6140" s="291"/>
      <c r="M6140" s="291"/>
      <c r="S6140" s="364"/>
      <c r="Z6140" s="609" t="s">
        <v>2044</v>
      </c>
      <c r="AA6140" s="609"/>
    </row>
    <row r="6141" spans="1:27" ht="18">
      <c r="A6141" s="2714"/>
      <c r="B6141" s="371">
        <v>102</v>
      </c>
      <c r="C6141" s="371" t="s">
        <v>2791</v>
      </c>
      <c r="D6141" s="2716">
        <f>IF(OR(G6141="*",G6141="",G6141=0),0,COUNTIF($G$6140:$G$6143,G6141))</f>
        <v>0</v>
      </c>
      <c r="E6141" s="2721">
        <v>1</v>
      </c>
      <c r="F6141" s="294"/>
      <c r="G6141" s="1563" t="s">
        <v>2792</v>
      </c>
      <c r="H6141" s="309"/>
      <c r="I6141" s="388"/>
      <c r="J6141" s="291"/>
      <c r="K6141" s="291"/>
      <c r="L6141" s="291"/>
      <c r="M6141" s="291"/>
      <c r="S6141" s="364"/>
      <c r="Z6141" s="609" t="s">
        <v>2044</v>
      </c>
      <c r="AA6141" s="609"/>
    </row>
    <row r="6142" spans="1:27" ht="18">
      <c r="A6142" s="2714"/>
      <c r="B6142" s="371">
        <v>103</v>
      </c>
      <c r="C6142" s="371" t="s">
        <v>2791</v>
      </c>
      <c r="D6142" s="2716">
        <f>IF(OR(G6142="*",G6142="",G6142=0),0,COUNTIF($G$6140:$G$6143,G6142))</f>
        <v>0</v>
      </c>
      <c r="E6142" s="2721">
        <v>1</v>
      </c>
      <c r="F6142" s="294"/>
      <c r="G6142" s="1563" t="s">
        <v>2792</v>
      </c>
      <c r="H6142" s="309"/>
      <c r="I6142" s="388"/>
      <c r="J6142" s="291"/>
      <c r="K6142" s="291"/>
      <c r="L6142" s="291"/>
      <c r="M6142" s="291"/>
      <c r="S6142" s="364"/>
      <c r="Z6142" s="609" t="s">
        <v>2044</v>
      </c>
      <c r="AA6142" s="609"/>
    </row>
    <row r="6143" spans="1:27" ht="18.75" thickBot="1">
      <c r="A6143" s="2714"/>
      <c r="B6143" s="371"/>
      <c r="C6143" s="371"/>
      <c r="D6143" s="2716">
        <f>IF(OR(G6143="*",G6143="",G6143=0),0,COUNTIF($G$6140:$G$6143,G6143))</f>
        <v>1</v>
      </c>
      <c r="E6143" s="2721" t="s">
        <v>2751</v>
      </c>
      <c r="F6143" s="294"/>
      <c r="G6143" s="1529" t="s">
        <v>2752</v>
      </c>
      <c r="H6143" s="1527">
        <f>SUMPRODUCT($E6139:$E6142,H6139:H6142)</f>
        <v>0</v>
      </c>
      <c r="I6143" s="1571"/>
      <c r="J6143" s="291"/>
      <c r="K6143" s="291"/>
      <c r="L6143" s="291"/>
      <c r="M6143" s="291"/>
      <c r="S6143" s="364"/>
      <c r="Z6143" s="609" t="s">
        <v>2044</v>
      </c>
      <c r="AA6143" s="609"/>
    </row>
    <row r="6144" spans="1:27" ht="18">
      <c r="A6144" s="2714"/>
      <c r="B6144" s="371"/>
      <c r="C6144" s="371" t="s">
        <v>2755</v>
      </c>
      <c r="D6144" s="371"/>
      <c r="F6144" s="294"/>
      <c r="G6144" s="301"/>
      <c r="H6144" s="315"/>
      <c r="I6144" s="393"/>
      <c r="J6144" s="291"/>
      <c r="K6144" s="291"/>
      <c r="L6144" s="291"/>
      <c r="M6144" s="291"/>
      <c r="S6144" s="364"/>
      <c r="Z6144" s="609" t="s">
        <v>2044</v>
      </c>
      <c r="AA6144" s="609"/>
    </row>
    <row r="6145" spans="1:27" ht="18">
      <c r="A6145" s="2714">
        <v>7515</v>
      </c>
      <c r="B6145" s="371">
        <v>79.099999999999994</v>
      </c>
      <c r="C6145" s="2716" t="str">
        <f>VLOOKUP($A6145,Sheet_Items,2,0)</f>
        <v>递延所得税资产减少</v>
      </c>
      <c r="D6145" s="371"/>
      <c r="E6145" s="2716" t="s">
        <v>2739</v>
      </c>
      <c r="F6145" s="294"/>
      <c r="G6145" s="536" t="str">
        <f>B6145&amp;" "&amp;C6145</f>
        <v>79.1 递延所得税资产减少</v>
      </c>
      <c r="H6145" s="322"/>
      <c r="I6145" s="322"/>
      <c r="J6145" s="306" t="s">
        <v>4206</v>
      </c>
      <c r="K6145" s="341">
        <f>VLOOKUP($A6145,Sheet_Trialbal,6,0)</f>
        <v>0</v>
      </c>
      <c r="L6145" s="342"/>
      <c r="M6145" s="306"/>
      <c r="N6145" s="341"/>
      <c r="O6145" s="306"/>
      <c r="P6145" s="301"/>
      <c r="S6145" s="364"/>
      <c r="Z6145" s="609" t="s">
        <v>2047</v>
      </c>
      <c r="AA6145" s="609"/>
    </row>
    <row r="6146" spans="1:27" ht="36">
      <c r="A6146" s="2714" t="s">
        <v>2045</v>
      </c>
      <c r="B6146" s="371">
        <v>1</v>
      </c>
      <c r="C6146" s="371"/>
      <c r="D6146" s="2716" t="str">
        <f>VLOOKUP($A6146,Sheet_NoteList,2,0)</f>
        <v>将净利润调节为经营活动现金流量：递延所得税资产减少</v>
      </c>
      <c r="E6146" s="2716" t="s">
        <v>2742</v>
      </c>
      <c r="F6146" s="294"/>
      <c r="G6146" s="372" t="str">
        <f>"("&amp;B6146&amp;")"&amp;D6146</f>
        <v>(1)将净利润调节为经营活动现金流量：递延所得税资产减少</v>
      </c>
      <c r="H6146" s="1517" t="str">
        <f>$A6146</f>
        <v>7515a</v>
      </c>
      <c r="I6146" s="343" t="s">
        <v>2743</v>
      </c>
      <c r="J6146" s="301" t="s">
        <v>4712</v>
      </c>
      <c r="K6146" s="2210">
        <f>J6152</f>
        <v>0</v>
      </c>
      <c r="L6146" s="345" t="str">
        <f>IF(ROUND(K6145-K6146,2)=0,"F/S",ROUND(K6145-K6146,2))</f>
        <v>F/S</v>
      </c>
      <c r="M6146" s="532" t="s">
        <v>4713</v>
      </c>
      <c r="N6146" s="3084"/>
      <c r="O6146" s="315"/>
      <c r="P6146" s="301"/>
      <c r="S6146" s="364"/>
      <c r="Z6146" s="609" t="s">
        <v>2047</v>
      </c>
      <c r="AA6146" s="609"/>
    </row>
    <row r="6147" spans="1:27" ht="0.75" customHeight="1" thickBot="1">
      <c r="A6147" s="2714"/>
      <c r="B6147" s="371"/>
      <c r="C6147" s="371"/>
      <c r="D6147" s="371"/>
      <c r="F6147" s="294"/>
      <c r="G6147" s="294" t="s">
        <v>4816</v>
      </c>
      <c r="H6147" s="294" t="s">
        <v>2747</v>
      </c>
      <c r="I6147" s="294" t="s">
        <v>2748</v>
      </c>
      <c r="J6147" s="294" t="s">
        <v>3256</v>
      </c>
      <c r="K6147" s="294" t="s">
        <v>2898</v>
      </c>
      <c r="L6147" s="291"/>
      <c r="M6147" s="291"/>
      <c r="N6147" s="291"/>
      <c r="O6147" s="291"/>
      <c r="S6147" s="364"/>
      <c r="Z6147" s="609" t="s">
        <v>2047</v>
      </c>
      <c r="AA6147" s="609"/>
    </row>
    <row r="6148" spans="1:27" ht="18">
      <c r="A6148" s="2714"/>
      <c r="B6148" s="371"/>
      <c r="C6148" s="371"/>
      <c r="D6148" s="371"/>
      <c r="E6148" s="2716" t="s">
        <v>2749</v>
      </c>
      <c r="F6148" s="294"/>
      <c r="G6148" s="1564" t="s">
        <v>47</v>
      </c>
      <c r="H6148" s="1565" t="s">
        <v>3276</v>
      </c>
      <c r="I6148" s="1565" t="s">
        <v>3273</v>
      </c>
      <c r="J6148" s="1565" t="s">
        <v>3275</v>
      </c>
      <c r="K6148" s="1566" t="s">
        <v>2508</v>
      </c>
      <c r="L6148" s="291"/>
      <c r="M6148" s="291"/>
      <c r="N6148" s="291"/>
      <c r="O6148" s="291"/>
      <c r="S6148" s="364"/>
      <c r="Z6148" s="609" t="s">
        <v>2047</v>
      </c>
      <c r="AA6148" s="609"/>
    </row>
    <row r="6149" spans="1:27" ht="18">
      <c r="A6149" s="2714"/>
      <c r="B6149" s="371">
        <v>101</v>
      </c>
      <c r="C6149" s="371"/>
      <c r="D6149" s="2716">
        <f>IF(OR(G6149="*",G6149="",G6149=0),0,COUNTIF($G$6149:$G$6152,G6149))</f>
        <v>1</v>
      </c>
      <c r="E6149" s="2721">
        <v>1</v>
      </c>
      <c r="F6149" s="294"/>
      <c r="G6149" s="308" t="s">
        <v>422</v>
      </c>
      <c r="H6149" s="309"/>
      <c r="I6149" s="309"/>
      <c r="J6149" s="1476">
        <f>I6149-H6149</f>
        <v>0</v>
      </c>
      <c r="K6149" s="388"/>
      <c r="L6149" s="291"/>
      <c r="M6149" s="291"/>
      <c r="N6149" s="291"/>
      <c r="O6149" s="291"/>
      <c r="S6149" s="364"/>
      <c r="Z6149" s="609" t="s">
        <v>2047</v>
      </c>
      <c r="AA6149" s="609"/>
    </row>
    <row r="6150" spans="1:27" ht="18">
      <c r="A6150" s="2714"/>
      <c r="B6150" s="371">
        <v>102</v>
      </c>
      <c r="C6150" s="371" t="s">
        <v>2791</v>
      </c>
      <c r="D6150" s="2716">
        <f>IF(OR(G6150="*",G6150="",G6150=0),0,COUNTIF($G$6149:$G$6152,G6150))</f>
        <v>0</v>
      </c>
      <c r="E6150" s="2721">
        <v>1</v>
      </c>
      <c r="F6150" s="294"/>
      <c r="G6150" s="1563" t="s">
        <v>2792</v>
      </c>
      <c r="H6150" s="309"/>
      <c r="I6150" s="309"/>
      <c r="J6150" s="309"/>
      <c r="K6150" s="388"/>
      <c r="L6150" s="291"/>
      <c r="M6150" s="291"/>
      <c r="N6150" s="291"/>
      <c r="O6150" s="291"/>
      <c r="S6150" s="364"/>
      <c r="Z6150" s="609" t="s">
        <v>2047</v>
      </c>
      <c r="AA6150" s="609"/>
    </row>
    <row r="6151" spans="1:27" ht="18">
      <c r="A6151" s="2714"/>
      <c r="B6151" s="371">
        <v>103</v>
      </c>
      <c r="C6151" s="371" t="s">
        <v>2791</v>
      </c>
      <c r="D6151" s="2716">
        <f>IF(OR(G6151="*",G6151="",G6151=0),0,COUNTIF($G$6149:$G$6152,G6151))</f>
        <v>0</v>
      </c>
      <c r="E6151" s="2721">
        <v>1</v>
      </c>
      <c r="F6151" s="294"/>
      <c r="G6151" s="1563" t="s">
        <v>2792</v>
      </c>
      <c r="H6151" s="309"/>
      <c r="I6151" s="309"/>
      <c r="J6151" s="309"/>
      <c r="K6151" s="388"/>
      <c r="L6151" s="291"/>
      <c r="M6151" s="291"/>
      <c r="N6151" s="291"/>
      <c r="O6151" s="291"/>
      <c r="S6151" s="364"/>
      <c r="Z6151" s="609" t="s">
        <v>2047</v>
      </c>
      <c r="AA6151" s="609"/>
    </row>
    <row r="6152" spans="1:27" ht="18.75" thickBot="1">
      <c r="A6152" s="2714"/>
      <c r="B6152" s="371"/>
      <c r="C6152" s="371"/>
      <c r="D6152" s="2716">
        <f>IF(OR(G6152="*",G6152="",G6152=0),0,COUNTIF($G$6149:$G$6152,G6152))</f>
        <v>1</v>
      </c>
      <c r="E6152" s="2721" t="s">
        <v>2751</v>
      </c>
      <c r="F6152" s="294"/>
      <c r="G6152" s="1529" t="s">
        <v>2752</v>
      </c>
      <c r="H6152" s="1527">
        <f>SUMPRODUCT($E6148:$E6151,H6148:H6151)</f>
        <v>0</v>
      </c>
      <c r="I6152" s="1527">
        <f>SUMPRODUCT($E6148:$E6151,I6148:I6151)</f>
        <v>0</v>
      </c>
      <c r="J6152" s="1527">
        <f>SUMPRODUCT($E6148:$E6151,J6148:J6151)</f>
        <v>0</v>
      </c>
      <c r="K6152" s="1571"/>
      <c r="L6152" s="291"/>
      <c r="M6152" s="291"/>
      <c r="N6152" s="291"/>
      <c r="O6152" s="291"/>
      <c r="S6152" s="364"/>
      <c r="Z6152" s="609" t="s">
        <v>2047</v>
      </c>
      <c r="AA6152" s="609"/>
    </row>
    <row r="6153" spans="1:27" ht="18">
      <c r="A6153" s="2714"/>
      <c r="B6153" s="371"/>
      <c r="C6153" s="371" t="s">
        <v>2755</v>
      </c>
      <c r="D6153" s="371"/>
      <c r="F6153" s="294"/>
      <c r="G6153" s="301"/>
      <c r="H6153" s="315"/>
      <c r="I6153" s="315"/>
      <c r="J6153" s="315"/>
      <c r="K6153" s="393"/>
      <c r="L6153" s="291"/>
      <c r="M6153" s="291"/>
      <c r="N6153" s="291"/>
      <c r="O6153" s="291"/>
      <c r="S6153" s="364"/>
      <c r="Z6153" s="609" t="s">
        <v>2047</v>
      </c>
      <c r="AA6153" s="609"/>
    </row>
    <row r="6154" spans="1:27" ht="18">
      <c r="A6154" s="2714">
        <v>7516</v>
      </c>
      <c r="B6154" s="371">
        <v>79.11</v>
      </c>
      <c r="C6154" s="2716" t="str">
        <f>VLOOKUP($A6154,Sheet_Items,2,0)</f>
        <v>递延所得税负债增加</v>
      </c>
      <c r="D6154" s="371"/>
      <c r="E6154" s="2716" t="s">
        <v>2739</v>
      </c>
      <c r="F6154" s="294"/>
      <c r="G6154" s="536" t="str">
        <f>B6154&amp;" "&amp;C6154</f>
        <v>79.11 递延所得税负债增加</v>
      </c>
      <c r="H6154" s="322"/>
      <c r="I6154" s="322"/>
      <c r="J6154" s="306" t="s">
        <v>4206</v>
      </c>
      <c r="K6154" s="341">
        <f>VLOOKUP($A6154,Sheet_Trialbal,6,0)</f>
        <v>0</v>
      </c>
      <c r="L6154" s="342"/>
      <c r="M6154" s="306"/>
      <c r="N6154" s="341"/>
      <c r="O6154" s="306"/>
      <c r="P6154" s="301"/>
      <c r="S6154" s="364"/>
      <c r="Z6154" s="609" t="s">
        <v>2050</v>
      </c>
      <c r="AA6154" s="609"/>
    </row>
    <row r="6155" spans="1:27" ht="36">
      <c r="A6155" s="2714" t="s">
        <v>2048</v>
      </c>
      <c r="B6155" s="371">
        <v>1</v>
      </c>
      <c r="C6155" s="371"/>
      <c r="D6155" s="2716" t="str">
        <f>VLOOKUP($A6155,Sheet_NoteList,2,0)</f>
        <v>将净利润调节为经营活动现金流量：递延所得税负债增加</v>
      </c>
      <c r="E6155" s="2716" t="s">
        <v>2742</v>
      </c>
      <c r="F6155" s="294"/>
      <c r="G6155" s="372" t="str">
        <f>"("&amp;B6155&amp;")"&amp;D6155</f>
        <v>(1)将净利润调节为经营活动现金流量：递延所得税负债增加</v>
      </c>
      <c r="H6155" s="1517" t="str">
        <f>$A6155</f>
        <v>7516a</v>
      </c>
      <c r="I6155" s="343" t="s">
        <v>2743</v>
      </c>
      <c r="J6155" s="301" t="s">
        <v>4712</v>
      </c>
      <c r="K6155" s="2210">
        <f>J6161</f>
        <v>0</v>
      </c>
      <c r="L6155" s="345" t="str">
        <f>IF(ROUND(K6154-K6155,2)=0,"F/S",ROUND(K6154-K6155,2))</f>
        <v>F/S</v>
      </c>
      <c r="M6155" s="532" t="s">
        <v>4713</v>
      </c>
      <c r="N6155" s="3084"/>
      <c r="O6155" s="315"/>
      <c r="P6155" s="301"/>
      <c r="S6155" s="364"/>
      <c r="Z6155" s="609" t="s">
        <v>2050</v>
      </c>
      <c r="AA6155" s="609"/>
    </row>
    <row r="6156" spans="1:27" ht="0.75" customHeight="1" thickBot="1">
      <c r="A6156" s="2714"/>
      <c r="B6156" s="371"/>
      <c r="C6156" s="371"/>
      <c r="D6156" s="371"/>
      <c r="F6156" s="294"/>
      <c r="G6156" s="294" t="s">
        <v>4817</v>
      </c>
      <c r="H6156" s="294" t="s">
        <v>2747</v>
      </c>
      <c r="I6156" s="294" t="s">
        <v>2748</v>
      </c>
      <c r="J6156" s="294" t="s">
        <v>3250</v>
      </c>
      <c r="K6156" s="294" t="s">
        <v>2898</v>
      </c>
      <c r="L6156" s="291"/>
      <c r="M6156" s="291"/>
      <c r="N6156" s="291"/>
      <c r="O6156" s="291"/>
      <c r="S6156" s="364"/>
      <c r="Z6156" s="609" t="s">
        <v>2050</v>
      </c>
      <c r="AA6156" s="609"/>
    </row>
    <row r="6157" spans="1:27" ht="18">
      <c r="A6157" s="2714"/>
      <c r="B6157" s="371"/>
      <c r="C6157" s="371"/>
      <c r="D6157" s="371"/>
      <c r="E6157" s="2716" t="s">
        <v>2749</v>
      </c>
      <c r="F6157" s="294"/>
      <c r="G6157" s="1564" t="s">
        <v>47</v>
      </c>
      <c r="H6157" s="1565" t="s">
        <v>3276</v>
      </c>
      <c r="I6157" s="1565" t="s">
        <v>3273</v>
      </c>
      <c r="J6157" s="1565" t="s">
        <v>3274</v>
      </c>
      <c r="K6157" s="1566" t="s">
        <v>2508</v>
      </c>
      <c r="L6157" s="291"/>
      <c r="M6157" s="291"/>
      <c r="N6157" s="291"/>
      <c r="O6157" s="291"/>
      <c r="S6157" s="364"/>
      <c r="Z6157" s="609" t="s">
        <v>2050</v>
      </c>
      <c r="AA6157" s="609"/>
    </row>
    <row r="6158" spans="1:27" ht="18">
      <c r="A6158" s="2714"/>
      <c r="B6158" s="371">
        <v>101</v>
      </c>
      <c r="C6158" s="371"/>
      <c r="D6158" s="2716">
        <f>IF(OR(G6158="*",G6158="",G6158=0),0,COUNTIF($G$6158:$G$6161,G6158))</f>
        <v>1</v>
      </c>
      <c r="E6158" s="2721">
        <v>1</v>
      </c>
      <c r="F6158" s="294"/>
      <c r="G6158" s="308" t="s">
        <v>576</v>
      </c>
      <c r="H6158" s="309"/>
      <c r="I6158" s="309"/>
      <c r="J6158" s="1476">
        <f>H6158-I6158</f>
        <v>0</v>
      </c>
      <c r="K6158" s="388"/>
      <c r="L6158" s="291"/>
      <c r="M6158" s="291"/>
      <c r="N6158" s="291"/>
      <c r="O6158" s="291"/>
      <c r="S6158" s="364"/>
      <c r="Z6158" s="609" t="s">
        <v>2050</v>
      </c>
      <c r="AA6158" s="609"/>
    </row>
    <row r="6159" spans="1:27" ht="18">
      <c r="A6159" s="2714"/>
      <c r="B6159" s="371">
        <v>102</v>
      </c>
      <c r="C6159" s="371" t="s">
        <v>2791</v>
      </c>
      <c r="D6159" s="2716">
        <f>IF(OR(G6159="*",G6159="",G6159=0),0,COUNTIF($G$6158:$G$6161,G6159))</f>
        <v>0</v>
      </c>
      <c r="E6159" s="2721">
        <v>1</v>
      </c>
      <c r="F6159" s="294"/>
      <c r="G6159" s="1563" t="s">
        <v>2792</v>
      </c>
      <c r="H6159" s="309"/>
      <c r="I6159" s="309"/>
      <c r="J6159" s="309"/>
      <c r="K6159" s="388"/>
      <c r="L6159" s="291"/>
      <c r="M6159" s="291"/>
      <c r="N6159" s="291"/>
      <c r="O6159" s="291"/>
      <c r="S6159" s="364"/>
      <c r="Z6159" s="609" t="s">
        <v>2050</v>
      </c>
      <c r="AA6159" s="609"/>
    </row>
    <row r="6160" spans="1:27" ht="18">
      <c r="A6160" s="2714"/>
      <c r="B6160" s="371">
        <v>103</v>
      </c>
      <c r="C6160" s="371" t="s">
        <v>2791</v>
      </c>
      <c r="D6160" s="2716">
        <f>IF(OR(G6160="*",G6160="",G6160=0),0,COUNTIF($G$6158:$G$6161,G6160))</f>
        <v>0</v>
      </c>
      <c r="E6160" s="2721">
        <v>1</v>
      </c>
      <c r="F6160" s="294"/>
      <c r="G6160" s="1563" t="s">
        <v>2792</v>
      </c>
      <c r="H6160" s="309"/>
      <c r="I6160" s="309"/>
      <c r="J6160" s="309"/>
      <c r="K6160" s="388"/>
      <c r="L6160" s="291"/>
      <c r="M6160" s="291"/>
      <c r="N6160" s="291"/>
      <c r="O6160" s="291"/>
      <c r="S6160" s="364"/>
      <c r="Z6160" s="609" t="s">
        <v>2050</v>
      </c>
      <c r="AA6160" s="609"/>
    </row>
    <row r="6161" spans="1:27" ht="18.75" thickBot="1">
      <c r="A6161" s="2714"/>
      <c r="B6161" s="371"/>
      <c r="C6161" s="371"/>
      <c r="D6161" s="2716">
        <f>IF(OR(G6161="*",G6161="",G6161=0),0,COUNTIF($G$6158:$G$6161,G6161))</f>
        <v>1</v>
      </c>
      <c r="E6161" s="2721" t="s">
        <v>2751</v>
      </c>
      <c r="F6161" s="294"/>
      <c r="G6161" s="1529" t="s">
        <v>2752</v>
      </c>
      <c r="H6161" s="1527">
        <f>SUMPRODUCT($E6157:$E6160,H6157:H6160)</f>
        <v>0</v>
      </c>
      <c r="I6161" s="1527">
        <f>SUMPRODUCT($E6157:$E6160,I6157:I6160)</f>
        <v>0</v>
      </c>
      <c r="J6161" s="1527">
        <f>SUMPRODUCT($E6157:$E6160,J6157:J6160)</f>
        <v>0</v>
      </c>
      <c r="K6161" s="1571"/>
      <c r="L6161" s="291"/>
      <c r="M6161" s="291"/>
      <c r="N6161" s="291"/>
      <c r="O6161" s="291"/>
      <c r="S6161" s="364"/>
      <c r="Z6161" s="609" t="s">
        <v>2050</v>
      </c>
      <c r="AA6161" s="609"/>
    </row>
    <row r="6162" spans="1:27" ht="18">
      <c r="A6162" s="2714"/>
      <c r="B6162" s="371"/>
      <c r="C6162" s="371" t="s">
        <v>2755</v>
      </c>
      <c r="D6162" s="371"/>
      <c r="F6162" s="294"/>
      <c r="G6162" s="301"/>
      <c r="H6162" s="315"/>
      <c r="I6162" s="315"/>
      <c r="J6162" s="315"/>
      <c r="K6162" s="393"/>
      <c r="L6162" s="291"/>
      <c r="M6162" s="291"/>
      <c r="N6162" s="291"/>
      <c r="O6162" s="291"/>
      <c r="S6162" s="364"/>
      <c r="Z6162" s="609" t="s">
        <v>2050</v>
      </c>
      <c r="AA6162" s="609"/>
    </row>
    <row r="6163" spans="1:27" ht="18">
      <c r="A6163" s="2714">
        <v>7517</v>
      </c>
      <c r="B6163" s="371">
        <v>79.12</v>
      </c>
      <c r="C6163" s="2716" t="str">
        <f>VLOOKUP($A6163,Sheet_Items,2,0)</f>
        <v>存货的减少</v>
      </c>
      <c r="D6163" s="371"/>
      <c r="E6163" s="2716" t="s">
        <v>2739</v>
      </c>
      <c r="F6163" s="294"/>
      <c r="G6163" s="536" t="str">
        <f>B6163&amp;" "&amp;C6163</f>
        <v>79.12 存货的减少</v>
      </c>
      <c r="H6163" s="322"/>
      <c r="I6163" s="322"/>
      <c r="J6163" s="306" t="s">
        <v>4206</v>
      </c>
      <c r="K6163" s="341">
        <f>VLOOKUP($A6163,Sheet_Trialbal,6,0)</f>
        <v>17540765.449999999</v>
      </c>
      <c r="L6163" s="342"/>
      <c r="M6163" s="306"/>
      <c r="N6163" s="341"/>
      <c r="O6163" s="306"/>
      <c r="P6163" s="301"/>
      <c r="S6163" s="364"/>
      <c r="Z6163" s="609" t="s">
        <v>2053</v>
      </c>
      <c r="AA6163" s="609"/>
    </row>
    <row r="6164" spans="1:27" ht="24">
      <c r="A6164" s="2714" t="s">
        <v>2051</v>
      </c>
      <c r="B6164" s="371">
        <v>1</v>
      </c>
      <c r="C6164" s="371"/>
      <c r="D6164" s="2716" t="str">
        <f>VLOOKUP($A6164,Sheet_NoteList,2,0)</f>
        <v>将净利润调节为经营活动现金流量：存货的减少</v>
      </c>
      <c r="E6164" s="2716" t="s">
        <v>2742</v>
      </c>
      <c r="F6164" s="294"/>
      <c r="G6164" s="372" t="str">
        <f>"("&amp;B6164&amp;")"&amp;D6164</f>
        <v>(1)将净利润调节为经营活动现金流量：存货的减少</v>
      </c>
      <c r="H6164" s="1517" t="str">
        <f>$A6164</f>
        <v>7517a</v>
      </c>
      <c r="I6164" s="343" t="s">
        <v>2743</v>
      </c>
      <c r="J6164" s="301" t="s">
        <v>4712</v>
      </c>
      <c r="K6164" s="2210">
        <f>H6183</f>
        <v>0</v>
      </c>
      <c r="L6164" s="345">
        <f>IF(ROUND(K6163-K6164,2)=0,"F/S",ROUND(K6163-K6164,2))</f>
        <v>17540765.449999999</v>
      </c>
      <c r="M6164" s="532" t="s">
        <v>4713</v>
      </c>
      <c r="N6164" s="3084"/>
      <c r="O6164" s="315"/>
      <c r="P6164" s="301"/>
      <c r="S6164" s="364"/>
      <c r="Z6164" s="609" t="s">
        <v>2053</v>
      </c>
      <c r="AA6164" s="609"/>
    </row>
    <row r="6165" spans="1:27" ht="0.75" customHeight="1" thickBot="1">
      <c r="A6165" s="2714"/>
      <c r="B6165" s="371"/>
      <c r="C6165" s="371"/>
      <c r="D6165" s="371"/>
      <c r="E6165" s="586"/>
      <c r="F6165" s="586"/>
      <c r="G6165" s="586" t="s">
        <v>4818</v>
      </c>
      <c r="H6165" s="371" t="s">
        <v>6314</v>
      </c>
      <c r="I6165" s="371" t="s">
        <v>6315</v>
      </c>
      <c r="J6165" s="371" t="s">
        <v>6316</v>
      </c>
      <c r="K6165" s="371" t="s">
        <v>6317</v>
      </c>
      <c r="L6165" s="291"/>
      <c r="M6165" s="291"/>
      <c r="N6165" s="291"/>
      <c r="O6165" s="291"/>
      <c r="S6165" s="364"/>
      <c r="Z6165" s="609" t="s">
        <v>2053</v>
      </c>
      <c r="AA6165" s="609"/>
    </row>
    <row r="6166" spans="1:27" ht="18">
      <c r="A6166" s="2714"/>
      <c r="B6166" s="371"/>
      <c r="C6166" s="371"/>
      <c r="D6166" s="371"/>
      <c r="E6166" s="586" t="s">
        <v>2749</v>
      </c>
      <c r="F6166" s="363"/>
      <c r="G6166" s="2531" t="s">
        <v>47</v>
      </c>
      <c r="H6166" s="2528" t="s">
        <v>3275</v>
      </c>
      <c r="I6166" s="2528" t="s">
        <v>6113</v>
      </c>
      <c r="J6166" s="2528" t="s">
        <v>6042</v>
      </c>
      <c r="K6166" s="2527" t="s">
        <v>6114</v>
      </c>
      <c r="L6166" s="291"/>
      <c r="M6166" s="291"/>
      <c r="N6166" s="291"/>
      <c r="O6166" s="291"/>
      <c r="S6166" s="364"/>
      <c r="Z6166" s="609" t="s">
        <v>2053</v>
      </c>
      <c r="AA6166" s="609"/>
    </row>
    <row r="6167" spans="1:27" ht="18">
      <c r="A6167" s="2714"/>
      <c r="B6167" s="371">
        <v>101</v>
      </c>
      <c r="C6167" s="371"/>
      <c r="D6167" s="2716">
        <f t="shared" ref="D6167:D6183" si="643">IF(OR(G6167="*",G6167="",G6167=0),0,COUNTIF($G$6167:$G$6183,G6167))</f>
        <v>1</v>
      </c>
      <c r="E6167" s="2721">
        <v>0</v>
      </c>
      <c r="F6167" s="294"/>
      <c r="G6167" s="1474" t="s">
        <v>4819</v>
      </c>
      <c r="H6167" s="2275"/>
      <c r="I6167" s="2298"/>
      <c r="J6167" s="2298"/>
      <c r="K6167" s="2276"/>
      <c r="L6167" s="291"/>
      <c r="M6167" s="291"/>
      <c r="N6167" s="291"/>
      <c r="O6167" s="291"/>
      <c r="S6167" s="364"/>
      <c r="Z6167" s="609" t="s">
        <v>2053</v>
      </c>
      <c r="AA6167" s="609"/>
    </row>
    <row r="6168" spans="1:27" ht="18">
      <c r="A6168" s="2714"/>
      <c r="B6168" s="371">
        <v>102</v>
      </c>
      <c r="C6168" s="371"/>
      <c r="D6168" s="2716">
        <f t="shared" si="643"/>
        <v>1</v>
      </c>
      <c r="E6168" s="2721">
        <v>0</v>
      </c>
      <c r="F6168" s="294"/>
      <c r="G6168" s="1474" t="s">
        <v>4820</v>
      </c>
      <c r="H6168" s="2275"/>
      <c r="I6168" s="2298"/>
      <c r="J6168" s="2298"/>
      <c r="K6168" s="2276"/>
      <c r="L6168" s="291"/>
      <c r="M6168" s="291"/>
      <c r="N6168" s="291"/>
      <c r="O6168" s="291"/>
      <c r="S6168" s="364"/>
      <c r="Z6168" s="609" t="s">
        <v>2053</v>
      </c>
      <c r="AA6168" s="609"/>
    </row>
    <row r="6169" spans="1:27" ht="18">
      <c r="A6169" s="2714"/>
      <c r="B6169" s="371">
        <v>103</v>
      </c>
      <c r="C6169" s="371"/>
      <c r="D6169" s="2716">
        <f t="shared" si="643"/>
        <v>1</v>
      </c>
      <c r="E6169" s="2721">
        <v>1</v>
      </c>
      <c r="F6169" s="294"/>
      <c r="G6169" s="1474" t="s">
        <v>4821</v>
      </c>
      <c r="H6169" s="1476">
        <f>H6167-H6168</f>
        <v>0</v>
      </c>
      <c r="I6169" s="2298"/>
      <c r="J6169" s="2298"/>
      <c r="K6169" s="2276"/>
      <c r="L6169" s="291"/>
      <c r="M6169" s="291"/>
      <c r="N6169" s="291"/>
      <c r="O6169" s="291"/>
      <c r="S6169" s="364"/>
      <c r="Z6169" s="609" t="s">
        <v>2053</v>
      </c>
      <c r="AA6169" s="609"/>
    </row>
    <row r="6170" spans="1:27" ht="18">
      <c r="A6170" s="2714"/>
      <c r="B6170" s="371">
        <v>104</v>
      </c>
      <c r="C6170" s="371" t="s">
        <v>2791</v>
      </c>
      <c r="D6170" s="2716">
        <f t="shared" si="643"/>
        <v>0</v>
      </c>
      <c r="E6170" s="2721">
        <v>1</v>
      </c>
      <c r="F6170" s="294"/>
      <c r="G6170" s="2530" t="s">
        <v>2792</v>
      </c>
      <c r="H6170" s="2275"/>
      <c r="I6170" s="2298"/>
      <c r="J6170" s="2298"/>
      <c r="K6170" s="2276"/>
      <c r="L6170" s="291"/>
      <c r="M6170" s="291"/>
      <c r="N6170" s="291"/>
      <c r="O6170" s="291"/>
      <c r="S6170" s="364"/>
      <c r="Z6170" s="609" t="s">
        <v>2053</v>
      </c>
      <c r="AA6170" s="609"/>
    </row>
    <row r="6171" spans="1:27" ht="18">
      <c r="A6171" s="2714"/>
      <c r="B6171" s="371">
        <v>105</v>
      </c>
      <c r="C6171" s="371"/>
      <c r="D6171" s="2716">
        <f t="shared" si="643"/>
        <v>1</v>
      </c>
      <c r="E6171" s="2721" t="s">
        <v>41</v>
      </c>
      <c r="F6171" s="294"/>
      <c r="G6171" s="1474" t="s">
        <v>4822</v>
      </c>
      <c r="H6171" s="2275"/>
      <c r="I6171" s="2298"/>
      <c r="J6171" s="2298"/>
      <c r="K6171" s="2276"/>
      <c r="L6171" s="532"/>
      <c r="M6171" s="291"/>
      <c r="N6171" s="291"/>
      <c r="O6171" s="291"/>
      <c r="S6171" s="364"/>
      <c r="Z6171" s="609" t="s">
        <v>2053</v>
      </c>
      <c r="AA6171" s="609"/>
    </row>
    <row r="6172" spans="1:27" ht="18">
      <c r="A6172" s="2714"/>
      <c r="B6172" s="371">
        <v>105.001</v>
      </c>
      <c r="C6172" s="371"/>
      <c r="D6172" s="2716">
        <f t="shared" si="643"/>
        <v>1</v>
      </c>
      <c r="E6172" s="2721" t="s">
        <v>4823</v>
      </c>
      <c r="F6172" s="294"/>
      <c r="G6172" s="1474" t="s">
        <v>4824</v>
      </c>
      <c r="H6172" s="2275"/>
      <c r="I6172" s="2298"/>
      <c r="J6172" s="2298"/>
      <c r="K6172" s="2276"/>
      <c r="L6172" s="291"/>
      <c r="M6172" s="291"/>
      <c r="N6172" s="291"/>
      <c r="O6172" s="291"/>
      <c r="S6172" s="364"/>
      <c r="Z6172" s="609" t="s">
        <v>2053</v>
      </c>
      <c r="AA6172" s="609"/>
    </row>
    <row r="6173" spans="1:27" ht="18">
      <c r="A6173" s="2714"/>
      <c r="B6173" s="371">
        <v>105.002</v>
      </c>
      <c r="C6173" s="371"/>
      <c r="D6173" s="2716">
        <f t="shared" si="643"/>
        <v>1</v>
      </c>
      <c r="E6173" s="2721" t="s">
        <v>4825</v>
      </c>
      <c r="F6173" s="294"/>
      <c r="G6173" s="1474" t="s">
        <v>4826</v>
      </c>
      <c r="H6173" s="2275"/>
      <c r="I6173" s="2298"/>
      <c r="J6173" s="2298"/>
      <c r="K6173" s="2276"/>
      <c r="L6173" s="291"/>
      <c r="M6173" s="291"/>
      <c r="N6173" s="291"/>
      <c r="O6173" s="291"/>
      <c r="S6173" s="364"/>
      <c r="Z6173" s="609" t="s">
        <v>2053</v>
      </c>
      <c r="AA6173" s="609"/>
    </row>
    <row r="6174" spans="1:27" ht="18">
      <c r="A6174" s="2714"/>
      <c r="B6174" s="371">
        <v>105.003</v>
      </c>
      <c r="C6174" s="371"/>
      <c r="D6174" s="2716">
        <f t="shared" si="643"/>
        <v>1</v>
      </c>
      <c r="E6174" s="2721" t="s">
        <v>4825</v>
      </c>
      <c r="F6174" s="294"/>
      <c r="G6174" s="1474" t="s">
        <v>4827</v>
      </c>
      <c r="H6174" s="2275"/>
      <c r="I6174" s="2298"/>
      <c r="J6174" s="2298"/>
      <c r="K6174" s="2276"/>
      <c r="L6174" s="291"/>
      <c r="M6174" s="291"/>
      <c r="N6174" s="291"/>
      <c r="O6174" s="291"/>
      <c r="S6174" s="364"/>
      <c r="Z6174" s="609" t="s">
        <v>2053</v>
      </c>
      <c r="AA6174" s="609"/>
    </row>
    <row r="6175" spans="1:27" ht="18">
      <c r="A6175" s="2714"/>
      <c r="B6175" s="371">
        <v>105.004</v>
      </c>
      <c r="C6175" s="371"/>
      <c r="D6175" s="2716">
        <f t="shared" si="643"/>
        <v>1</v>
      </c>
      <c r="E6175" s="2721" t="s">
        <v>4825</v>
      </c>
      <c r="F6175" s="294"/>
      <c r="G6175" s="1474" t="s">
        <v>4828</v>
      </c>
      <c r="H6175" s="2275"/>
      <c r="I6175" s="2298"/>
      <c r="J6175" s="2298"/>
      <c r="K6175" s="2276"/>
      <c r="L6175" s="291"/>
      <c r="M6175" s="291"/>
      <c r="N6175" s="291"/>
      <c r="O6175" s="291"/>
      <c r="S6175" s="364"/>
      <c r="Z6175" s="609" t="s">
        <v>2053</v>
      </c>
      <c r="AA6175" s="609"/>
    </row>
    <row r="6176" spans="1:27" ht="18">
      <c r="A6176" s="2714"/>
      <c r="B6176" s="371">
        <v>105.005</v>
      </c>
      <c r="C6176" s="371" t="s">
        <v>2791</v>
      </c>
      <c r="D6176" s="2716">
        <f t="shared" si="643"/>
        <v>0</v>
      </c>
      <c r="E6176" s="2721" t="s">
        <v>4825</v>
      </c>
      <c r="F6176" s="294"/>
      <c r="G6176" s="2530" t="s">
        <v>2792</v>
      </c>
      <c r="H6176" s="2275"/>
      <c r="I6176" s="2298"/>
      <c r="J6176" s="2298"/>
      <c r="K6176" s="2276"/>
      <c r="L6176" s="291"/>
      <c r="M6176" s="291"/>
      <c r="N6176" s="291"/>
      <c r="O6176" s="291"/>
      <c r="S6176" s="364"/>
      <c r="Z6176" s="609" t="s">
        <v>2053</v>
      </c>
      <c r="AA6176" s="609"/>
    </row>
    <row r="6177" spans="1:27" ht="18">
      <c r="A6177" s="2714"/>
      <c r="B6177" s="371">
        <v>105.006</v>
      </c>
      <c r="C6177" s="371"/>
      <c r="D6177" s="2716">
        <f t="shared" si="643"/>
        <v>1</v>
      </c>
      <c r="E6177" s="2721" t="s">
        <v>4823</v>
      </c>
      <c r="F6177" s="294"/>
      <c r="G6177" s="1474" t="s">
        <v>4829</v>
      </c>
      <c r="H6177" s="2275"/>
      <c r="I6177" s="2298"/>
      <c r="J6177" s="2298"/>
      <c r="K6177" s="2276"/>
      <c r="L6177" s="291"/>
      <c r="M6177" s="291"/>
      <c r="N6177" s="291"/>
      <c r="O6177" s="291"/>
      <c r="S6177" s="364"/>
      <c r="Z6177" s="609" t="s">
        <v>2053</v>
      </c>
      <c r="AA6177" s="609"/>
    </row>
    <row r="6178" spans="1:27" ht="18">
      <c r="A6178" s="2714"/>
      <c r="B6178" s="371">
        <v>105.00700000000001</v>
      </c>
      <c r="C6178" s="371"/>
      <c r="D6178" s="2716">
        <f t="shared" si="643"/>
        <v>1</v>
      </c>
      <c r="E6178" s="2721" t="s">
        <v>4825</v>
      </c>
      <c r="F6178" s="294"/>
      <c r="G6178" s="1474" t="s">
        <v>4830</v>
      </c>
      <c r="H6178" s="2275"/>
      <c r="I6178" s="2298"/>
      <c r="J6178" s="2298" t="s">
        <v>4831</v>
      </c>
      <c r="K6178" s="2276"/>
      <c r="L6178" s="291"/>
      <c r="M6178" s="291"/>
      <c r="N6178" s="291"/>
      <c r="O6178" s="291"/>
      <c r="S6178" s="364"/>
      <c r="Z6178" s="609" t="s">
        <v>2053</v>
      </c>
      <c r="AA6178" s="609"/>
    </row>
    <row r="6179" spans="1:27" ht="18">
      <c r="A6179" s="2714"/>
      <c r="B6179" s="371">
        <v>105.008</v>
      </c>
      <c r="C6179" s="371"/>
      <c r="D6179" s="2716">
        <f t="shared" si="643"/>
        <v>1</v>
      </c>
      <c r="E6179" s="2721" t="s">
        <v>4825</v>
      </c>
      <c r="F6179" s="294"/>
      <c r="G6179" s="1474" t="s">
        <v>4832</v>
      </c>
      <c r="H6179" s="2275"/>
      <c r="I6179" s="2298"/>
      <c r="J6179" s="2298" t="s">
        <v>4831</v>
      </c>
      <c r="K6179" s="2276"/>
      <c r="L6179" s="291"/>
      <c r="M6179" s="291"/>
      <c r="N6179" s="291"/>
      <c r="O6179" s="291"/>
      <c r="S6179" s="364"/>
      <c r="Z6179" s="609" t="s">
        <v>2053</v>
      </c>
      <c r="AA6179" s="609"/>
    </row>
    <row r="6180" spans="1:27" ht="18">
      <c r="A6180" s="2714"/>
      <c r="B6180" s="371">
        <v>105.009</v>
      </c>
      <c r="C6180" s="371" t="s">
        <v>2791</v>
      </c>
      <c r="D6180" s="2716">
        <f t="shared" si="643"/>
        <v>0</v>
      </c>
      <c r="E6180" s="2721" t="s">
        <v>4825</v>
      </c>
      <c r="F6180" s="294"/>
      <c r="G6180" s="2530" t="s">
        <v>2792</v>
      </c>
      <c r="H6180" s="2275"/>
      <c r="I6180" s="2298"/>
      <c r="J6180" s="2298"/>
      <c r="K6180" s="2276"/>
      <c r="L6180" s="291"/>
      <c r="M6180" s="291"/>
      <c r="N6180" s="291"/>
      <c r="O6180" s="291"/>
      <c r="S6180" s="364"/>
      <c r="Z6180" s="609" t="s">
        <v>2053</v>
      </c>
      <c r="AA6180" s="609"/>
    </row>
    <row r="6181" spans="1:27" ht="18">
      <c r="A6181" s="2714"/>
      <c r="B6181" s="371">
        <v>105.999</v>
      </c>
      <c r="C6181" s="371"/>
      <c r="D6181" s="2716">
        <f t="shared" si="643"/>
        <v>1</v>
      </c>
      <c r="E6181" s="2721">
        <v>-1</v>
      </c>
      <c r="F6181" s="294"/>
      <c r="G6181" s="1474" t="s">
        <v>4825</v>
      </c>
      <c r="H6181" s="1476">
        <f>SUMIF($E$6166:$E$6182,$G6181,H$6166:H$6182)</f>
        <v>0</v>
      </c>
      <c r="I6181" s="2298"/>
      <c r="J6181" s="2298"/>
      <c r="K6181" s="2276"/>
      <c r="L6181" s="291"/>
      <c r="M6181" s="291"/>
      <c r="N6181" s="291"/>
      <c r="O6181" s="291"/>
      <c r="S6181" s="364"/>
      <c r="Z6181" s="609" t="s">
        <v>2053</v>
      </c>
      <c r="AA6181" s="609"/>
    </row>
    <row r="6182" spans="1:27" ht="18">
      <c r="A6182" s="2714"/>
      <c r="B6182" s="371">
        <v>106</v>
      </c>
      <c r="C6182" s="371" t="s">
        <v>2791</v>
      </c>
      <c r="D6182" s="2716">
        <f t="shared" si="643"/>
        <v>0</v>
      </c>
      <c r="E6182" s="2721">
        <v>-1</v>
      </c>
      <c r="F6182" s="294"/>
      <c r="G6182" s="2530" t="s">
        <v>2792</v>
      </c>
      <c r="H6182" s="2275"/>
      <c r="I6182" s="2298"/>
      <c r="J6182" s="2298"/>
      <c r="K6182" s="2276"/>
      <c r="L6182" s="291"/>
      <c r="M6182" s="291"/>
      <c r="N6182" s="291"/>
      <c r="O6182" s="291"/>
      <c r="S6182" s="364"/>
      <c r="Z6182" s="609" t="s">
        <v>2053</v>
      </c>
      <c r="AA6182" s="609"/>
    </row>
    <row r="6183" spans="1:27" ht="18.75" thickBot="1">
      <c r="A6183" s="2714"/>
      <c r="B6183" s="371"/>
      <c r="C6183" s="371"/>
      <c r="D6183" s="2716">
        <f t="shared" si="643"/>
        <v>1</v>
      </c>
      <c r="E6183" s="2721" t="s">
        <v>2751</v>
      </c>
      <c r="F6183" s="294"/>
      <c r="G6183" s="1529" t="s">
        <v>2752</v>
      </c>
      <c r="H6183" s="1527">
        <f>SUMPRODUCT($E6166:$E6182,H6166:H6182)</f>
        <v>0</v>
      </c>
      <c r="I6183" s="2316"/>
      <c r="J6183" s="2316"/>
      <c r="K6183" s="2266"/>
      <c r="L6183" s="291"/>
      <c r="M6183" s="291"/>
      <c r="N6183" s="291"/>
      <c r="O6183" s="291"/>
      <c r="S6183" s="364"/>
      <c r="Z6183" s="609" t="s">
        <v>2053</v>
      </c>
      <c r="AA6183" s="609"/>
    </row>
    <row r="6184" spans="1:27" ht="18">
      <c r="A6184" s="2714"/>
      <c r="B6184" s="371"/>
      <c r="C6184" s="371" t="s">
        <v>2755</v>
      </c>
      <c r="D6184" s="371"/>
      <c r="F6184" s="294"/>
      <c r="G6184" s="301"/>
      <c r="H6184" s="315"/>
      <c r="I6184" s="393"/>
      <c r="J6184" s="393"/>
      <c r="K6184" s="393"/>
      <c r="L6184" s="291"/>
      <c r="M6184" s="291"/>
      <c r="N6184" s="291"/>
      <c r="O6184" s="291"/>
      <c r="S6184" s="364"/>
      <c r="Z6184" s="609" t="s">
        <v>2053</v>
      </c>
      <c r="AA6184" s="609"/>
    </row>
    <row r="6185" spans="1:27" ht="18">
      <c r="A6185" s="2714">
        <v>7518</v>
      </c>
      <c r="B6185" s="371">
        <v>79.13</v>
      </c>
      <c r="C6185" s="2716" t="str">
        <f>VLOOKUP($A6185,Sheet_Items,2,0)</f>
        <v>经营性应收项目的减少</v>
      </c>
      <c r="D6185" s="371"/>
      <c r="E6185" s="2716" t="s">
        <v>2739</v>
      </c>
      <c r="F6185" s="294"/>
      <c r="G6185" s="536" t="str">
        <f>B6185&amp;" "&amp;C6185</f>
        <v>79.13 经营性应收项目的减少</v>
      </c>
      <c r="H6185" s="322"/>
      <c r="I6185" s="322"/>
      <c r="J6185" s="306" t="s">
        <v>4206</v>
      </c>
      <c r="K6185" s="341">
        <f>VLOOKUP($A6185,Sheet_Trialbal,6,0)</f>
        <v>-68922970.75</v>
      </c>
      <c r="L6185" s="342"/>
      <c r="M6185" s="306"/>
      <c r="N6185" s="341"/>
      <c r="O6185" s="306"/>
      <c r="P6185" s="301"/>
      <c r="S6185" s="364"/>
      <c r="Z6185" s="609" t="s">
        <v>2057</v>
      </c>
      <c r="AA6185" s="609"/>
    </row>
    <row r="6186" spans="1:27" ht="36">
      <c r="A6186" s="2714" t="s">
        <v>2055</v>
      </c>
      <c r="B6186" s="371">
        <v>1</v>
      </c>
      <c r="C6186" s="371"/>
      <c r="D6186" s="2716" t="str">
        <f>VLOOKUP($A6186,Sheet_NoteList,2,0)</f>
        <v>将净利润调节为经营活动现金流量：经营性应收项目的减少</v>
      </c>
      <c r="E6186" s="2716" t="s">
        <v>2742</v>
      </c>
      <c r="F6186" s="294"/>
      <c r="G6186" s="372" t="str">
        <f>"("&amp;B6186&amp;")"&amp;D6186</f>
        <v>(1)将净利润调节为经营活动现金流量：经营性应收项目的减少</v>
      </c>
      <c r="H6186" s="1517" t="str">
        <f>$A6186</f>
        <v>7518a</v>
      </c>
      <c r="I6186" s="343" t="s">
        <v>2743</v>
      </c>
      <c r="J6186" s="301" t="s">
        <v>4712</v>
      </c>
      <c r="K6186" s="2210">
        <f>J6210</f>
        <v>0</v>
      </c>
      <c r="L6186" s="345">
        <f>IF(ROUND(K6185-K6186,2)=0,"F/S",ROUND(K6185-K6186,2))</f>
        <v>-68922970.75</v>
      </c>
      <c r="M6186" s="532" t="s">
        <v>4713</v>
      </c>
      <c r="N6186" s="3084"/>
      <c r="O6186" s="315"/>
      <c r="P6186" s="301"/>
      <c r="S6186" s="364"/>
      <c r="Z6186" s="609" t="s">
        <v>2057</v>
      </c>
      <c r="AA6186" s="609"/>
    </row>
    <row r="6187" spans="1:27" ht="0.75" customHeight="1" thickBot="1">
      <c r="A6187" s="2714"/>
      <c r="B6187" s="371"/>
      <c r="C6187" s="371"/>
      <c r="D6187" s="371"/>
      <c r="F6187" s="294"/>
      <c r="G6187" s="294" t="s">
        <v>4833</v>
      </c>
      <c r="H6187" s="294" t="s">
        <v>2747</v>
      </c>
      <c r="I6187" s="294" t="s">
        <v>2748</v>
      </c>
      <c r="J6187" s="294" t="s">
        <v>3256</v>
      </c>
      <c r="K6187" s="294" t="s">
        <v>2898</v>
      </c>
      <c r="L6187" s="291"/>
      <c r="M6187" s="291"/>
      <c r="N6187" s="291"/>
      <c r="O6187" s="291"/>
      <c r="S6187" s="364"/>
      <c r="Z6187" s="609" t="s">
        <v>2057</v>
      </c>
      <c r="AA6187" s="609"/>
    </row>
    <row r="6188" spans="1:27" ht="18">
      <c r="A6188" s="2714"/>
      <c r="B6188" s="371"/>
      <c r="C6188" s="371"/>
      <c r="D6188" s="371"/>
      <c r="E6188" s="2716" t="s">
        <v>2749</v>
      </c>
      <c r="F6188" s="294"/>
      <c r="G6188" s="1564" t="s">
        <v>47</v>
      </c>
      <c r="H6188" s="1565" t="s">
        <v>3276</v>
      </c>
      <c r="I6188" s="1565" t="s">
        <v>3273</v>
      </c>
      <c r="J6188" s="1565" t="s">
        <v>3275</v>
      </c>
      <c r="K6188" s="1566" t="s">
        <v>2508</v>
      </c>
      <c r="L6188" s="291"/>
      <c r="M6188" s="291"/>
      <c r="N6188" s="291"/>
      <c r="O6188" s="291"/>
      <c r="S6188" s="364"/>
      <c r="Z6188" s="609" t="s">
        <v>2057</v>
      </c>
      <c r="AA6188" s="609"/>
    </row>
    <row r="6189" spans="1:27" ht="18">
      <c r="A6189" s="2714"/>
      <c r="B6189" s="371">
        <v>101</v>
      </c>
      <c r="C6189" s="371"/>
      <c r="D6189" s="2716">
        <f t="shared" ref="D6189:D6210" si="644">IF(OR(G6189="*",G6189="",G6189=0),0,COUNTIF($G$6189:$G$6210,G6189))</f>
        <v>1</v>
      </c>
      <c r="E6189" s="2721" t="s">
        <v>41</v>
      </c>
      <c r="F6189" s="294"/>
      <c r="G6189" s="308" t="s">
        <v>4834</v>
      </c>
      <c r="H6189" s="309"/>
      <c r="I6189" s="309"/>
      <c r="J6189" s="309"/>
      <c r="K6189" s="388"/>
      <c r="L6189" s="291"/>
      <c r="M6189" s="291"/>
      <c r="N6189" s="291"/>
      <c r="O6189" s="291"/>
      <c r="S6189" s="364"/>
      <c r="Z6189" s="609" t="s">
        <v>2057</v>
      </c>
      <c r="AA6189" s="609"/>
    </row>
    <row r="6190" spans="1:27" ht="18">
      <c r="A6190" s="2714"/>
      <c r="B6190" s="371">
        <v>101.001</v>
      </c>
      <c r="C6190" s="371"/>
      <c r="D6190" s="2716">
        <f t="shared" si="644"/>
        <v>1</v>
      </c>
      <c r="E6190" s="2721" t="s">
        <v>4835</v>
      </c>
      <c r="F6190" s="294"/>
      <c r="G6190" s="308" t="s">
        <v>109</v>
      </c>
      <c r="H6190" s="309"/>
      <c r="I6190" s="309"/>
      <c r="J6190" s="1476">
        <f t="shared" ref="J6190:J6195" si="645">I6190-H6190</f>
        <v>0</v>
      </c>
      <c r="K6190" s="388"/>
      <c r="L6190" s="291"/>
      <c r="M6190" s="291"/>
      <c r="N6190" s="291"/>
      <c r="O6190" s="291"/>
      <c r="S6190" s="364"/>
      <c r="Z6190" s="609" t="s">
        <v>2057</v>
      </c>
      <c r="AA6190" s="609"/>
    </row>
    <row r="6191" spans="1:27" ht="18">
      <c r="A6191" s="2714"/>
      <c r="B6191" s="371">
        <v>101.002</v>
      </c>
      <c r="C6191" s="371"/>
      <c r="D6191" s="2716">
        <f t="shared" si="644"/>
        <v>1</v>
      </c>
      <c r="E6191" s="2721" t="s">
        <v>4835</v>
      </c>
      <c r="F6191" s="294"/>
      <c r="G6191" s="308" t="s">
        <v>124</v>
      </c>
      <c r="H6191" s="309"/>
      <c r="I6191" s="309"/>
      <c r="J6191" s="1476">
        <f t="shared" si="645"/>
        <v>0</v>
      </c>
      <c r="K6191" s="388"/>
      <c r="L6191" s="291"/>
      <c r="M6191" s="291"/>
      <c r="N6191" s="291"/>
      <c r="O6191" s="291"/>
      <c r="S6191" s="364"/>
      <c r="Z6191" s="609" t="s">
        <v>2057</v>
      </c>
      <c r="AA6191" s="609"/>
    </row>
    <row r="6192" spans="1:27" ht="18">
      <c r="A6192" s="2714"/>
      <c r="B6192" s="371">
        <v>101.003</v>
      </c>
      <c r="C6192" s="371"/>
      <c r="D6192" s="2716">
        <f t="shared" si="644"/>
        <v>1</v>
      </c>
      <c r="E6192" s="2721" t="s">
        <v>4835</v>
      </c>
      <c r="F6192" s="294"/>
      <c r="G6192" s="308" t="s">
        <v>162</v>
      </c>
      <c r="H6192" s="309"/>
      <c r="I6192" s="309"/>
      <c r="J6192" s="1476">
        <f t="shared" si="645"/>
        <v>0</v>
      </c>
      <c r="K6192" s="388"/>
      <c r="L6192" s="291"/>
      <c r="M6192" s="291"/>
      <c r="N6192" s="291"/>
      <c r="O6192" s="291"/>
      <c r="S6192" s="364"/>
      <c r="Z6192" s="609" t="s">
        <v>2057</v>
      </c>
      <c r="AA6192" s="609"/>
    </row>
    <row r="6193" spans="1:27" ht="18">
      <c r="A6193" s="2714"/>
      <c r="B6193" s="371">
        <v>101.004</v>
      </c>
      <c r="C6193" s="371"/>
      <c r="D6193" s="2716">
        <f t="shared" si="644"/>
        <v>1</v>
      </c>
      <c r="E6193" s="2721" t="s">
        <v>4835</v>
      </c>
      <c r="F6193" s="294"/>
      <c r="G6193" s="308" t="s">
        <v>201</v>
      </c>
      <c r="H6193" s="309"/>
      <c r="I6193" s="309"/>
      <c r="J6193" s="1476">
        <f t="shared" si="645"/>
        <v>0</v>
      </c>
      <c r="K6193" s="388"/>
      <c r="L6193" s="291"/>
      <c r="M6193" s="291"/>
      <c r="N6193" s="291"/>
      <c r="O6193" s="291"/>
      <c r="S6193" s="364"/>
      <c r="Z6193" s="609" t="s">
        <v>2057</v>
      </c>
      <c r="AA6193" s="609"/>
    </row>
    <row r="6194" spans="1:27" ht="18">
      <c r="A6194" s="2714"/>
      <c r="B6194" s="371">
        <v>101.005</v>
      </c>
      <c r="C6194" s="371"/>
      <c r="D6194" s="2716">
        <f t="shared" si="644"/>
        <v>1</v>
      </c>
      <c r="E6194" s="2721" t="s">
        <v>4835</v>
      </c>
      <c r="F6194" s="294"/>
      <c r="G6194" s="308" t="s">
        <v>247</v>
      </c>
      <c r="H6194" s="309"/>
      <c r="I6194" s="309"/>
      <c r="J6194" s="1476">
        <f t="shared" si="645"/>
        <v>0</v>
      </c>
      <c r="K6194" s="388"/>
      <c r="L6194" s="291"/>
      <c r="M6194" s="291"/>
      <c r="N6194" s="291"/>
      <c r="O6194" s="291"/>
      <c r="S6194" s="364"/>
      <c r="Z6194" s="609" t="s">
        <v>2057</v>
      </c>
      <c r="AA6194" s="609"/>
    </row>
    <row r="6195" spans="1:27" ht="18">
      <c r="A6195" s="2714"/>
      <c r="B6195" s="371">
        <v>101.006</v>
      </c>
      <c r="C6195" s="371" t="s">
        <v>2791</v>
      </c>
      <c r="D6195" s="2716">
        <f t="shared" si="644"/>
        <v>0</v>
      </c>
      <c r="E6195" s="2721" t="s">
        <v>4835</v>
      </c>
      <c r="F6195" s="294"/>
      <c r="G6195" s="1563" t="s">
        <v>2792</v>
      </c>
      <c r="H6195" s="309"/>
      <c r="I6195" s="309"/>
      <c r="J6195" s="1476">
        <f t="shared" si="645"/>
        <v>0</v>
      </c>
      <c r="K6195" s="388"/>
      <c r="L6195" s="291"/>
      <c r="M6195" s="291"/>
      <c r="N6195" s="291"/>
      <c r="O6195" s="291"/>
      <c r="S6195" s="364"/>
      <c r="Z6195" s="609" t="s">
        <v>2057</v>
      </c>
      <c r="AA6195" s="609"/>
    </row>
    <row r="6196" spans="1:27" ht="18">
      <c r="A6196" s="2714"/>
      <c r="B6196" s="371">
        <v>101.999</v>
      </c>
      <c r="C6196" s="371"/>
      <c r="D6196" s="2716">
        <f t="shared" si="644"/>
        <v>1</v>
      </c>
      <c r="E6196" s="2721">
        <v>1</v>
      </c>
      <c r="F6196" s="294"/>
      <c r="G6196" s="308" t="s">
        <v>4835</v>
      </c>
      <c r="H6196" s="1476">
        <f>SUMIF($E$6188:$E$6209,$G6196,H$6188:H$6209)</f>
        <v>0</v>
      </c>
      <c r="I6196" s="1476">
        <f>SUMIF($E$6188:$E$6209,$G6196,I$6188:I$6209)</f>
        <v>0</v>
      </c>
      <c r="J6196" s="1476">
        <f>SUMIF($E$6188:$E$6209,$G6196,J$6188:J$6209)</f>
        <v>0</v>
      </c>
      <c r="K6196" s="388"/>
      <c r="L6196" s="291"/>
      <c r="M6196" s="291"/>
      <c r="N6196" s="291"/>
      <c r="O6196" s="291"/>
      <c r="S6196" s="364"/>
      <c r="Z6196" s="609" t="s">
        <v>2057</v>
      </c>
      <c r="AA6196" s="609"/>
    </row>
    <row r="6197" spans="1:27" ht="18">
      <c r="A6197" s="2714"/>
      <c r="B6197" s="371">
        <v>102</v>
      </c>
      <c r="C6197" s="371"/>
      <c r="D6197" s="2716">
        <f t="shared" si="644"/>
        <v>1</v>
      </c>
      <c r="E6197" s="2721" t="s">
        <v>41</v>
      </c>
      <c r="F6197" s="294"/>
      <c r="G6197" s="308" t="s">
        <v>4836</v>
      </c>
      <c r="H6197" s="309"/>
      <c r="I6197" s="309"/>
      <c r="J6197" s="309"/>
      <c r="K6197" s="388"/>
      <c r="L6197" s="532"/>
      <c r="M6197" s="291"/>
      <c r="N6197" s="291"/>
      <c r="O6197" s="291"/>
      <c r="S6197" s="364"/>
      <c r="Z6197" s="609" t="s">
        <v>2057</v>
      </c>
      <c r="AA6197" s="609"/>
    </row>
    <row r="6198" spans="1:27" ht="18">
      <c r="A6198" s="2714"/>
      <c r="B6198" s="371">
        <v>102.001</v>
      </c>
      <c r="C6198" s="371"/>
      <c r="D6198" s="2716">
        <f t="shared" si="644"/>
        <v>1</v>
      </c>
      <c r="E6198" s="2721" t="s">
        <v>4823</v>
      </c>
      <c r="F6198" s="294"/>
      <c r="G6198" s="308" t="s">
        <v>4837</v>
      </c>
      <c r="H6198" s="309"/>
      <c r="I6198" s="309"/>
      <c r="J6198" s="309"/>
      <c r="K6198" s="388"/>
      <c r="L6198" s="291"/>
      <c r="M6198" s="291"/>
      <c r="N6198" s="291"/>
      <c r="O6198" s="291"/>
      <c r="S6198" s="364"/>
      <c r="Z6198" s="609" t="s">
        <v>2057</v>
      </c>
      <c r="AA6198" s="609"/>
    </row>
    <row r="6199" spans="1:27" ht="18">
      <c r="A6199" s="2714"/>
      <c r="B6199" s="371">
        <v>102.002</v>
      </c>
      <c r="C6199" s="371"/>
      <c r="D6199" s="2716">
        <f t="shared" si="644"/>
        <v>1</v>
      </c>
      <c r="E6199" s="2721" t="s">
        <v>4838</v>
      </c>
      <c r="F6199" s="294"/>
      <c r="G6199" s="308" t="s">
        <v>4839</v>
      </c>
      <c r="H6199" s="309"/>
      <c r="I6199" s="309"/>
      <c r="J6199" s="1476">
        <f t="shared" ref="J6199:J6209" si="646">I6199-H6199</f>
        <v>0</v>
      </c>
      <c r="K6199" s="388"/>
      <c r="L6199" s="291"/>
      <c r="M6199" s="291"/>
      <c r="N6199" s="291"/>
      <c r="O6199" s="291"/>
      <c r="S6199" s="364"/>
      <c r="Z6199" s="609" t="s">
        <v>2057</v>
      </c>
      <c r="AA6199" s="609"/>
    </row>
    <row r="6200" spans="1:27" ht="24">
      <c r="A6200" s="2714"/>
      <c r="B6200" s="371">
        <v>102.003</v>
      </c>
      <c r="C6200" s="371"/>
      <c r="D6200" s="2716">
        <f t="shared" si="644"/>
        <v>1</v>
      </c>
      <c r="E6200" s="2721" t="s">
        <v>4838</v>
      </c>
      <c r="F6200" s="294"/>
      <c r="G6200" s="308" t="s">
        <v>4840</v>
      </c>
      <c r="H6200" s="309"/>
      <c r="I6200" s="309"/>
      <c r="J6200" s="1476">
        <f t="shared" si="646"/>
        <v>0</v>
      </c>
      <c r="K6200" s="388"/>
      <c r="L6200" s="291"/>
      <c r="M6200" s="291"/>
      <c r="N6200" s="291"/>
      <c r="O6200" s="291"/>
      <c r="S6200" s="364"/>
      <c r="Z6200" s="609" t="s">
        <v>2057</v>
      </c>
      <c r="AA6200" s="609"/>
    </row>
    <row r="6201" spans="1:27" ht="24">
      <c r="A6201" s="2714"/>
      <c r="B6201" s="371">
        <v>102.004</v>
      </c>
      <c r="C6201" s="371"/>
      <c r="D6201" s="2716">
        <f t="shared" si="644"/>
        <v>1</v>
      </c>
      <c r="E6201" s="2721" t="s">
        <v>4838</v>
      </c>
      <c r="F6201" s="294"/>
      <c r="G6201" s="308" t="s">
        <v>4841</v>
      </c>
      <c r="H6201" s="309"/>
      <c r="I6201" s="309"/>
      <c r="J6201" s="1476">
        <f t="shared" si="646"/>
        <v>0</v>
      </c>
      <c r="K6201" s="388"/>
      <c r="L6201" s="291"/>
      <c r="M6201" s="291"/>
      <c r="N6201" s="291"/>
      <c r="O6201" s="291"/>
      <c r="S6201" s="364"/>
      <c r="Z6201" s="609" t="s">
        <v>2057</v>
      </c>
      <c r="AA6201" s="609"/>
    </row>
    <row r="6202" spans="1:27" ht="18">
      <c r="A6202" s="2714"/>
      <c r="B6202" s="371">
        <v>102.005</v>
      </c>
      <c r="C6202" s="371"/>
      <c r="D6202" s="2716">
        <f t="shared" si="644"/>
        <v>1</v>
      </c>
      <c r="E6202" s="2721" t="s">
        <v>4838</v>
      </c>
      <c r="F6202" s="294"/>
      <c r="G6202" s="308" t="s">
        <v>4842</v>
      </c>
      <c r="H6202" s="309"/>
      <c r="I6202" s="309"/>
      <c r="J6202" s="1476">
        <f t="shared" si="646"/>
        <v>0</v>
      </c>
      <c r="K6202" s="388"/>
      <c r="L6202" s="291"/>
      <c r="M6202" s="291"/>
      <c r="N6202" s="291"/>
      <c r="O6202" s="291"/>
      <c r="S6202" s="364"/>
      <c r="Z6202" s="609" t="s">
        <v>2057</v>
      </c>
      <c r="AA6202" s="609"/>
    </row>
    <row r="6203" spans="1:27" ht="18">
      <c r="A6203" s="2714"/>
      <c r="B6203" s="371">
        <v>102.006</v>
      </c>
      <c r="C6203" s="371"/>
      <c r="D6203" s="2716">
        <f t="shared" si="644"/>
        <v>1</v>
      </c>
      <c r="E6203" s="2721" t="s">
        <v>4838</v>
      </c>
      <c r="F6203" s="294"/>
      <c r="G6203" s="308" t="s">
        <v>4843</v>
      </c>
      <c r="H6203" s="309"/>
      <c r="I6203" s="309"/>
      <c r="J6203" s="1476">
        <f t="shared" si="646"/>
        <v>0</v>
      </c>
      <c r="K6203" s="388"/>
      <c r="L6203" s="291"/>
      <c r="M6203" s="291"/>
      <c r="N6203" s="291"/>
      <c r="O6203" s="291"/>
      <c r="S6203" s="364"/>
      <c r="Z6203" s="609" t="s">
        <v>2057</v>
      </c>
      <c r="AA6203" s="609"/>
    </row>
    <row r="6204" spans="1:27" ht="18">
      <c r="A6204" s="2714"/>
      <c r="B6204" s="371">
        <v>102.00700000000001</v>
      </c>
      <c r="C6204" s="371" t="s">
        <v>2791</v>
      </c>
      <c r="D6204" s="2716">
        <f t="shared" si="644"/>
        <v>0</v>
      </c>
      <c r="E6204" s="2721" t="s">
        <v>4838</v>
      </c>
      <c r="F6204" s="294"/>
      <c r="G6204" s="1563" t="s">
        <v>2792</v>
      </c>
      <c r="H6204" s="309"/>
      <c r="I6204" s="309"/>
      <c r="J6204" s="1476">
        <f t="shared" si="646"/>
        <v>0</v>
      </c>
      <c r="K6204" s="388"/>
      <c r="L6204" s="291"/>
      <c r="M6204" s="291"/>
      <c r="N6204" s="291"/>
      <c r="O6204" s="291"/>
      <c r="S6204" s="364"/>
      <c r="Z6204" s="609" t="s">
        <v>2057</v>
      </c>
      <c r="AA6204" s="609"/>
    </row>
    <row r="6205" spans="1:27" ht="18">
      <c r="A6205" s="2714"/>
      <c r="B6205" s="371">
        <v>102.008</v>
      </c>
      <c r="C6205" s="371"/>
      <c r="D6205" s="2716">
        <f t="shared" si="644"/>
        <v>1</v>
      </c>
      <c r="E6205" s="2721" t="s">
        <v>4823</v>
      </c>
      <c r="F6205" s="294"/>
      <c r="G6205" s="308" t="s">
        <v>4844</v>
      </c>
      <c r="H6205" s="309"/>
      <c r="I6205" s="309"/>
      <c r="J6205" s="1476">
        <f t="shared" si="646"/>
        <v>0</v>
      </c>
      <c r="K6205" s="388"/>
      <c r="L6205" s="291"/>
      <c r="M6205" s="291"/>
      <c r="N6205" s="291"/>
      <c r="O6205" s="291"/>
      <c r="S6205" s="364"/>
      <c r="Z6205" s="609" t="s">
        <v>2057</v>
      </c>
      <c r="AA6205" s="609"/>
    </row>
    <row r="6206" spans="1:27" ht="18">
      <c r="A6206" s="2714"/>
      <c r="B6206" s="371">
        <v>102.009</v>
      </c>
      <c r="C6206" s="371"/>
      <c r="D6206" s="2716">
        <f t="shared" si="644"/>
        <v>1</v>
      </c>
      <c r="E6206" s="2721" t="s">
        <v>4838</v>
      </c>
      <c r="F6206" s="294"/>
      <c r="G6206" s="308" t="s">
        <v>4845</v>
      </c>
      <c r="H6206" s="309"/>
      <c r="I6206" s="309"/>
      <c r="J6206" s="1476">
        <f t="shared" si="646"/>
        <v>0</v>
      </c>
      <c r="K6206" s="388"/>
      <c r="L6206" s="291"/>
      <c r="M6206" s="291"/>
      <c r="N6206" s="291"/>
      <c r="O6206" s="291"/>
      <c r="S6206" s="364"/>
      <c r="Z6206" s="609" t="s">
        <v>2057</v>
      </c>
      <c r="AA6206" s="609"/>
    </row>
    <row r="6207" spans="1:27" ht="18">
      <c r="A6207" s="2714"/>
      <c r="B6207" s="371">
        <v>102.01</v>
      </c>
      <c r="C6207" s="371" t="s">
        <v>2791</v>
      </c>
      <c r="D6207" s="2716">
        <f t="shared" si="644"/>
        <v>0</v>
      </c>
      <c r="E6207" s="2721" t="s">
        <v>4838</v>
      </c>
      <c r="F6207" s="294"/>
      <c r="G6207" s="1563" t="s">
        <v>2792</v>
      </c>
      <c r="H6207" s="309"/>
      <c r="I6207" s="309"/>
      <c r="J6207" s="1476">
        <f t="shared" si="646"/>
        <v>0</v>
      </c>
      <c r="K6207" s="388"/>
      <c r="L6207" s="291"/>
      <c r="M6207" s="291"/>
      <c r="N6207" s="291"/>
      <c r="O6207" s="291"/>
      <c r="S6207" s="364"/>
      <c r="Z6207" s="609" t="s">
        <v>2057</v>
      </c>
      <c r="AA6207" s="609"/>
    </row>
    <row r="6208" spans="1:27" ht="18">
      <c r="A6208" s="2714"/>
      <c r="B6208" s="371">
        <v>102.999</v>
      </c>
      <c r="C6208" s="371"/>
      <c r="D6208" s="2716">
        <f t="shared" si="644"/>
        <v>1</v>
      </c>
      <c r="E6208" s="2721">
        <v>-1</v>
      </c>
      <c r="F6208" s="294"/>
      <c r="G6208" s="308" t="s">
        <v>4838</v>
      </c>
      <c r="H6208" s="1476">
        <f>SUMIF($E$6188:$E$6209,$G6208,H$6188:H$6209)</f>
        <v>0</v>
      </c>
      <c r="I6208" s="1476">
        <f>SUMIF($E$6188:$E$6209,$G6208,I$6188:I$6209)</f>
        <v>0</v>
      </c>
      <c r="J6208" s="1476">
        <f>SUMIF($E$6188:$E$6209,$G6208,J$6188:J$6209)</f>
        <v>0</v>
      </c>
      <c r="K6208" s="388"/>
      <c r="L6208" s="291"/>
      <c r="M6208" s="291"/>
      <c r="N6208" s="291"/>
      <c r="O6208" s="291"/>
      <c r="S6208" s="364"/>
      <c r="Z6208" s="609" t="s">
        <v>2057</v>
      </c>
      <c r="AA6208" s="609"/>
    </row>
    <row r="6209" spans="1:27" ht="18">
      <c r="A6209" s="2714"/>
      <c r="B6209" s="371">
        <v>103</v>
      </c>
      <c r="C6209" s="371" t="s">
        <v>2791</v>
      </c>
      <c r="D6209" s="2716">
        <f t="shared" si="644"/>
        <v>0</v>
      </c>
      <c r="E6209" s="2721">
        <v>-1</v>
      </c>
      <c r="F6209" s="294"/>
      <c r="G6209" s="1563" t="s">
        <v>2792</v>
      </c>
      <c r="H6209" s="309"/>
      <c r="I6209" s="309"/>
      <c r="J6209" s="1476">
        <f t="shared" si="646"/>
        <v>0</v>
      </c>
      <c r="K6209" s="388"/>
      <c r="L6209" s="291"/>
      <c r="M6209" s="291"/>
      <c r="N6209" s="291"/>
      <c r="O6209" s="291"/>
      <c r="S6209" s="364"/>
      <c r="Z6209" s="609" t="s">
        <v>2057</v>
      </c>
      <c r="AA6209" s="609"/>
    </row>
    <row r="6210" spans="1:27" ht="18.75" thickBot="1">
      <c r="A6210" s="2714"/>
      <c r="B6210" s="371"/>
      <c r="C6210" s="371"/>
      <c r="D6210" s="2716">
        <f t="shared" si="644"/>
        <v>1</v>
      </c>
      <c r="E6210" s="2721" t="s">
        <v>2751</v>
      </c>
      <c r="F6210" s="294"/>
      <c r="G6210" s="1529" t="s">
        <v>2752</v>
      </c>
      <c r="H6210" s="1527">
        <f>SUMPRODUCT($E6188:$E6209,H6188:H6209)</f>
        <v>0</v>
      </c>
      <c r="I6210" s="1527">
        <f>SUMPRODUCT($E6188:$E6209,I6188:I6209)</f>
        <v>0</v>
      </c>
      <c r="J6210" s="1527">
        <f>SUMPRODUCT($E6188:$E6209,J6188:J6209)</f>
        <v>0</v>
      </c>
      <c r="K6210" s="1571"/>
      <c r="L6210" s="291"/>
      <c r="M6210" s="291"/>
      <c r="N6210" s="291"/>
      <c r="O6210" s="291"/>
      <c r="S6210" s="364"/>
      <c r="Z6210" s="609" t="s">
        <v>2057</v>
      </c>
      <c r="AA6210" s="609"/>
    </row>
    <row r="6211" spans="1:27" ht="18">
      <c r="A6211" s="2714"/>
      <c r="B6211" s="371"/>
      <c r="C6211" s="371" t="s">
        <v>2755</v>
      </c>
      <c r="D6211" s="371"/>
      <c r="F6211" s="294"/>
      <c r="G6211" s="301"/>
      <c r="H6211" s="315"/>
      <c r="I6211" s="315"/>
      <c r="J6211" s="315"/>
      <c r="K6211" s="393"/>
      <c r="L6211" s="291"/>
      <c r="M6211" s="291"/>
      <c r="N6211" s="291"/>
      <c r="O6211" s="291"/>
      <c r="S6211" s="364"/>
      <c r="Z6211" s="609" t="s">
        <v>2057</v>
      </c>
      <c r="AA6211" s="609"/>
    </row>
    <row r="6212" spans="1:27" ht="18">
      <c r="A6212" s="2714">
        <v>7519</v>
      </c>
      <c r="B6212" s="371">
        <v>79.14</v>
      </c>
      <c r="C6212" s="2716" t="str">
        <f>VLOOKUP($A6212,Sheet_Items,2,0)</f>
        <v>经营性应付项目的增加</v>
      </c>
      <c r="D6212" s="371"/>
      <c r="E6212" s="2716" t="s">
        <v>2739</v>
      </c>
      <c r="F6212" s="294"/>
      <c r="G6212" s="536" t="str">
        <f>B6212&amp;" "&amp;C6212</f>
        <v>79.14 经营性应付项目的增加</v>
      </c>
      <c r="H6212" s="322"/>
      <c r="I6212" s="322"/>
      <c r="J6212" s="306" t="s">
        <v>4206</v>
      </c>
      <c r="K6212" s="341">
        <f>VLOOKUP($A6212,Sheet_Trialbal,6,0)</f>
        <v>-33632216.270000003</v>
      </c>
      <c r="L6212" s="342"/>
      <c r="M6212" s="306"/>
      <c r="N6212" s="341"/>
      <c r="O6212" s="306"/>
      <c r="P6212" s="301"/>
      <c r="S6212" s="364"/>
      <c r="Z6212" s="609" t="s">
        <v>2060</v>
      </c>
      <c r="AA6212" s="609"/>
    </row>
    <row r="6213" spans="1:27" ht="36">
      <c r="A6213" s="2714" t="s">
        <v>2058</v>
      </c>
      <c r="B6213" s="371">
        <v>1</v>
      </c>
      <c r="C6213" s="371"/>
      <c r="D6213" s="2716" t="str">
        <f>VLOOKUP($A6213,Sheet_NoteList,2,0)</f>
        <v>将净利润调节为经营活动现金流量：经营性应付项目的增加</v>
      </c>
      <c r="E6213" s="2716" t="s">
        <v>2742</v>
      </c>
      <c r="F6213" s="294"/>
      <c r="G6213" s="372" t="str">
        <f>"("&amp;B6213&amp;")"&amp;D6213</f>
        <v>(1)将净利润调节为经营活动现金流量：经营性应付项目的增加</v>
      </c>
      <c r="H6213" s="1517" t="str">
        <f>$A6213</f>
        <v>7519a</v>
      </c>
      <c r="I6213" s="343" t="s">
        <v>2743</v>
      </c>
      <c r="J6213" s="301" t="s">
        <v>4712</v>
      </c>
      <c r="K6213" s="2210">
        <f>J6239</f>
        <v>0</v>
      </c>
      <c r="L6213" s="345">
        <f>IF(ROUND(K6212-K6213,2)=0,"F/S",ROUND(K6212-K6213,2))</f>
        <v>-33632216.270000003</v>
      </c>
      <c r="M6213" s="532" t="s">
        <v>4713</v>
      </c>
      <c r="N6213" s="3084"/>
      <c r="O6213" s="315"/>
      <c r="P6213" s="301"/>
      <c r="S6213" s="364"/>
      <c r="Z6213" s="609" t="s">
        <v>2060</v>
      </c>
      <c r="AA6213" s="609"/>
    </row>
    <row r="6214" spans="1:27" ht="0.75" customHeight="1" thickBot="1">
      <c r="A6214" s="2714"/>
      <c r="B6214" s="371"/>
      <c r="C6214" s="371"/>
      <c r="D6214" s="371"/>
      <c r="F6214" s="294"/>
      <c r="G6214" s="294" t="s">
        <v>4846</v>
      </c>
      <c r="H6214" s="294" t="s">
        <v>2747</v>
      </c>
      <c r="I6214" s="294" t="s">
        <v>2748</v>
      </c>
      <c r="J6214" s="294" t="s">
        <v>3250</v>
      </c>
      <c r="K6214" s="294" t="s">
        <v>2898</v>
      </c>
      <c r="L6214" s="291"/>
      <c r="M6214" s="291"/>
      <c r="N6214" s="291"/>
      <c r="O6214" s="291"/>
      <c r="S6214" s="364"/>
      <c r="Z6214" s="609" t="s">
        <v>2060</v>
      </c>
      <c r="AA6214" s="609"/>
    </row>
    <row r="6215" spans="1:27" ht="18">
      <c r="A6215" s="2714"/>
      <c r="B6215" s="371"/>
      <c r="C6215" s="371"/>
      <c r="D6215" s="371"/>
      <c r="E6215" s="2716" t="s">
        <v>2749</v>
      </c>
      <c r="F6215" s="294"/>
      <c r="G6215" s="1564" t="s">
        <v>47</v>
      </c>
      <c r="H6215" s="1565" t="s">
        <v>3276</v>
      </c>
      <c r="I6215" s="1565" t="s">
        <v>3273</v>
      </c>
      <c r="J6215" s="1565" t="s">
        <v>3274</v>
      </c>
      <c r="K6215" s="1566" t="s">
        <v>2508</v>
      </c>
      <c r="L6215" s="291"/>
      <c r="M6215" s="291"/>
      <c r="N6215" s="291"/>
      <c r="O6215" s="291"/>
      <c r="S6215" s="364"/>
      <c r="Z6215" s="609" t="s">
        <v>2060</v>
      </c>
      <c r="AA6215" s="609"/>
    </row>
    <row r="6216" spans="1:27" ht="18">
      <c r="A6216" s="2714"/>
      <c r="B6216" s="371">
        <v>101</v>
      </c>
      <c r="C6216" s="371"/>
      <c r="D6216" s="2716">
        <f t="shared" ref="D6216:D6239" si="647">IF(OR(G6216="*",G6216="",G6216=0),0,COUNTIF($G$6216:$G$6239,G6216))</f>
        <v>1</v>
      </c>
      <c r="E6216" s="2721" t="s">
        <v>41</v>
      </c>
      <c r="F6216" s="294"/>
      <c r="G6216" s="308" t="s">
        <v>4847</v>
      </c>
      <c r="H6216" s="309"/>
      <c r="I6216" s="309"/>
      <c r="J6216" s="309"/>
      <c r="K6216" s="388"/>
      <c r="L6216" s="291"/>
      <c r="M6216" s="291"/>
      <c r="N6216" s="291"/>
      <c r="O6216" s="291"/>
      <c r="S6216" s="364"/>
      <c r="Z6216" s="609" t="s">
        <v>2060</v>
      </c>
      <c r="AA6216" s="609"/>
    </row>
    <row r="6217" spans="1:27" ht="18">
      <c r="A6217" s="2714"/>
      <c r="B6217" s="371">
        <v>101.001</v>
      </c>
      <c r="C6217" s="371"/>
      <c r="D6217" s="2716">
        <f t="shared" si="647"/>
        <v>1</v>
      </c>
      <c r="E6217" s="2721" t="s">
        <v>4848</v>
      </c>
      <c r="F6217" s="294"/>
      <c r="G6217" s="308" t="s">
        <v>471</v>
      </c>
      <c r="H6217" s="309"/>
      <c r="I6217" s="309"/>
      <c r="J6217" s="1476">
        <f t="shared" ref="J6217:J6224" si="648">H6217-I6217</f>
        <v>0</v>
      </c>
      <c r="K6217" s="388"/>
      <c r="L6217" s="291"/>
      <c r="M6217" s="291"/>
      <c r="N6217" s="291"/>
      <c r="O6217" s="291"/>
      <c r="S6217" s="364"/>
      <c r="Z6217" s="609" t="s">
        <v>2060</v>
      </c>
      <c r="AA6217" s="609"/>
    </row>
    <row r="6218" spans="1:27" ht="18">
      <c r="A6218" s="2714"/>
      <c r="B6218" s="371">
        <v>101.002</v>
      </c>
      <c r="C6218" s="371"/>
      <c r="D6218" s="2716">
        <f t="shared" si="647"/>
        <v>1</v>
      </c>
      <c r="E6218" s="2721" t="s">
        <v>4848</v>
      </c>
      <c r="F6218" s="294"/>
      <c r="G6218" s="308" t="s">
        <v>476</v>
      </c>
      <c r="H6218" s="309"/>
      <c r="I6218" s="309"/>
      <c r="J6218" s="1476">
        <f t="shared" si="648"/>
        <v>0</v>
      </c>
      <c r="K6218" s="388"/>
      <c r="L6218" s="291"/>
      <c r="M6218" s="291"/>
      <c r="N6218" s="291"/>
      <c r="O6218" s="291"/>
      <c r="S6218" s="364"/>
      <c r="Z6218" s="609" t="s">
        <v>2060</v>
      </c>
      <c r="AA6218" s="609"/>
    </row>
    <row r="6219" spans="1:27" ht="18">
      <c r="A6219" s="2714"/>
      <c r="B6219" s="371">
        <v>101.003</v>
      </c>
      <c r="C6219" s="371"/>
      <c r="D6219" s="2716">
        <f t="shared" si="647"/>
        <v>1</v>
      </c>
      <c r="E6219" s="2721" t="s">
        <v>4848</v>
      </c>
      <c r="F6219" s="294"/>
      <c r="G6219" s="308" t="s">
        <v>484</v>
      </c>
      <c r="H6219" s="309"/>
      <c r="I6219" s="309"/>
      <c r="J6219" s="1476">
        <f t="shared" si="648"/>
        <v>0</v>
      </c>
      <c r="K6219" s="388"/>
      <c r="L6219" s="291"/>
      <c r="M6219" s="291"/>
      <c r="N6219" s="291"/>
      <c r="O6219" s="291"/>
      <c r="S6219" s="364"/>
      <c r="Z6219" s="609" t="s">
        <v>2060</v>
      </c>
      <c r="AA6219" s="609"/>
    </row>
    <row r="6220" spans="1:27" ht="18">
      <c r="A6220" s="2714"/>
      <c r="B6220" s="371">
        <v>101.004</v>
      </c>
      <c r="C6220" s="371"/>
      <c r="D6220" s="2716">
        <f t="shared" si="647"/>
        <v>1</v>
      </c>
      <c r="E6220" s="2721" t="s">
        <v>4848</v>
      </c>
      <c r="F6220" s="294"/>
      <c r="G6220" s="308" t="s">
        <v>489</v>
      </c>
      <c r="H6220" s="309"/>
      <c r="I6220" s="309"/>
      <c r="J6220" s="1476">
        <f t="shared" si="648"/>
        <v>0</v>
      </c>
      <c r="K6220" s="388"/>
      <c r="L6220" s="291"/>
      <c r="M6220" s="291"/>
      <c r="N6220" s="291"/>
      <c r="O6220" s="291"/>
      <c r="S6220" s="364"/>
      <c r="Z6220" s="609" t="s">
        <v>2060</v>
      </c>
      <c r="AA6220" s="609"/>
    </row>
    <row r="6221" spans="1:27" ht="18">
      <c r="A6221" s="2714"/>
      <c r="B6221" s="371">
        <v>101.005</v>
      </c>
      <c r="C6221" s="371"/>
      <c r="D6221" s="2716">
        <f t="shared" si="647"/>
        <v>1</v>
      </c>
      <c r="E6221" s="2721" t="s">
        <v>4848</v>
      </c>
      <c r="F6221" s="294"/>
      <c r="G6221" s="308" t="s">
        <v>494</v>
      </c>
      <c r="H6221" s="309"/>
      <c r="I6221" s="309"/>
      <c r="J6221" s="1476">
        <f t="shared" si="648"/>
        <v>0</v>
      </c>
      <c r="K6221" s="388"/>
      <c r="L6221" s="291"/>
      <c r="M6221" s="291"/>
      <c r="N6221" s="291"/>
      <c r="O6221" s="291"/>
      <c r="S6221" s="364"/>
      <c r="Z6221" s="609" t="s">
        <v>2060</v>
      </c>
      <c r="AA6221" s="609"/>
    </row>
    <row r="6222" spans="1:27" ht="18">
      <c r="A6222" s="2714"/>
      <c r="B6222" s="371">
        <v>101.006</v>
      </c>
      <c r="C6222" s="371"/>
      <c r="D6222" s="2716">
        <f t="shared" si="647"/>
        <v>1</v>
      </c>
      <c r="E6222" s="2721" t="s">
        <v>4848</v>
      </c>
      <c r="F6222" s="294"/>
      <c r="G6222" s="308" t="s">
        <v>513</v>
      </c>
      <c r="H6222" s="309"/>
      <c r="I6222" s="309"/>
      <c r="J6222" s="1476">
        <f t="shared" si="648"/>
        <v>0</v>
      </c>
      <c r="K6222" s="388"/>
      <c r="L6222" s="291"/>
      <c r="M6222" s="291"/>
      <c r="N6222" s="291"/>
      <c r="O6222" s="291"/>
      <c r="S6222" s="364"/>
      <c r="Z6222" s="609" t="s">
        <v>2060</v>
      </c>
      <c r="AA6222" s="609"/>
    </row>
    <row r="6223" spans="1:27" ht="18">
      <c r="A6223" s="2714"/>
      <c r="B6223" s="371">
        <v>101.00700000000001</v>
      </c>
      <c r="C6223" s="371"/>
      <c r="D6223" s="2716">
        <f t="shared" si="647"/>
        <v>1</v>
      </c>
      <c r="E6223" s="2721" t="s">
        <v>4848</v>
      </c>
      <c r="F6223" s="294"/>
      <c r="G6223" s="308" t="s">
        <v>534</v>
      </c>
      <c r="H6223" s="309"/>
      <c r="I6223" s="309"/>
      <c r="J6223" s="1476">
        <f t="shared" si="648"/>
        <v>0</v>
      </c>
      <c r="K6223" s="388"/>
      <c r="L6223" s="291"/>
      <c r="M6223" s="291"/>
      <c r="N6223" s="291"/>
      <c r="O6223" s="291"/>
      <c r="S6223" s="364"/>
      <c r="Z6223" s="609" t="s">
        <v>2060</v>
      </c>
      <c r="AA6223" s="609"/>
    </row>
    <row r="6224" spans="1:27" ht="18">
      <c r="A6224" s="2714"/>
      <c r="B6224" s="371">
        <v>101.008</v>
      </c>
      <c r="C6224" s="371" t="s">
        <v>2791</v>
      </c>
      <c r="D6224" s="2716">
        <f t="shared" si="647"/>
        <v>0</v>
      </c>
      <c r="E6224" s="2721" t="s">
        <v>4848</v>
      </c>
      <c r="F6224" s="294"/>
      <c r="G6224" s="1563" t="s">
        <v>2792</v>
      </c>
      <c r="H6224" s="309"/>
      <c r="I6224" s="309"/>
      <c r="J6224" s="1476">
        <f t="shared" si="648"/>
        <v>0</v>
      </c>
      <c r="K6224" s="388"/>
      <c r="L6224" s="291"/>
      <c r="M6224" s="291"/>
      <c r="N6224" s="291"/>
      <c r="O6224" s="291"/>
      <c r="S6224" s="364"/>
      <c r="Z6224" s="609" t="s">
        <v>2060</v>
      </c>
      <c r="AA6224" s="609"/>
    </row>
    <row r="6225" spans="1:27" ht="18">
      <c r="A6225" s="2714"/>
      <c r="B6225" s="371">
        <v>101.999</v>
      </c>
      <c r="C6225" s="371"/>
      <c r="D6225" s="2716">
        <f t="shared" si="647"/>
        <v>1</v>
      </c>
      <c r="E6225" s="2721">
        <v>1</v>
      </c>
      <c r="F6225" s="294"/>
      <c r="G6225" s="308" t="s">
        <v>4848</v>
      </c>
      <c r="H6225" s="1476">
        <f>SUMIF($E$6215:$E$6238,$G6225,H$6215:H$6238)</f>
        <v>0</v>
      </c>
      <c r="I6225" s="1476">
        <f>SUMIF($E$6215:$E$6238,$G6225,I$6215:I$6238)</f>
        <v>0</v>
      </c>
      <c r="J6225" s="1476">
        <f>SUMIF($E$6215:$E$6238,$G6225,J$6215:J$6238)</f>
        <v>0</v>
      </c>
      <c r="K6225" s="388"/>
      <c r="L6225" s="291"/>
      <c r="M6225" s="291"/>
      <c r="N6225" s="291"/>
      <c r="O6225" s="291"/>
      <c r="S6225" s="364"/>
      <c r="Z6225" s="609" t="s">
        <v>2060</v>
      </c>
      <c r="AA6225" s="609"/>
    </row>
    <row r="6226" spans="1:27" ht="18">
      <c r="A6226" s="2714"/>
      <c r="B6226" s="371">
        <v>102</v>
      </c>
      <c r="C6226" s="371"/>
      <c r="D6226" s="2716">
        <f t="shared" si="647"/>
        <v>1</v>
      </c>
      <c r="E6226" s="2721" t="s">
        <v>41</v>
      </c>
      <c r="F6226" s="294"/>
      <c r="G6226" s="308" t="s">
        <v>4849</v>
      </c>
      <c r="H6226" s="309"/>
      <c r="I6226" s="309"/>
      <c r="J6226" s="309"/>
      <c r="K6226" s="388"/>
      <c r="L6226" s="532"/>
      <c r="M6226" s="291"/>
      <c r="N6226" s="291"/>
      <c r="O6226" s="291"/>
      <c r="S6226" s="364"/>
      <c r="Z6226" s="609" t="s">
        <v>2060</v>
      </c>
      <c r="AA6226" s="609"/>
    </row>
    <row r="6227" spans="1:27" ht="18">
      <c r="A6227" s="2714"/>
      <c r="B6227" s="371">
        <v>102.001</v>
      </c>
      <c r="C6227" s="371"/>
      <c r="D6227" s="2716">
        <f t="shared" si="647"/>
        <v>1</v>
      </c>
      <c r="E6227" s="2721" t="s">
        <v>4823</v>
      </c>
      <c r="F6227" s="294"/>
      <c r="G6227" s="308" t="s">
        <v>4850</v>
      </c>
      <c r="H6227" s="309"/>
      <c r="I6227" s="309"/>
      <c r="J6227" s="309"/>
      <c r="K6227" s="388"/>
      <c r="L6227" s="291"/>
      <c r="M6227" s="291"/>
      <c r="N6227" s="291"/>
      <c r="O6227" s="291"/>
      <c r="S6227" s="364"/>
      <c r="Z6227" s="609" t="s">
        <v>2060</v>
      </c>
      <c r="AA6227" s="609"/>
    </row>
    <row r="6228" spans="1:27" ht="24">
      <c r="A6228" s="2714"/>
      <c r="B6228" s="371">
        <v>102.002</v>
      </c>
      <c r="C6228" s="371"/>
      <c r="D6228" s="2716">
        <f t="shared" si="647"/>
        <v>1</v>
      </c>
      <c r="E6228" s="2721" t="s">
        <v>4851</v>
      </c>
      <c r="F6228" s="294"/>
      <c r="G6228" s="308" t="s">
        <v>4852</v>
      </c>
      <c r="H6228" s="309"/>
      <c r="I6228" s="309"/>
      <c r="J6228" s="1476">
        <f t="shared" ref="J6228:J6236" si="649">H6228-I6228</f>
        <v>0</v>
      </c>
      <c r="K6228" s="388"/>
      <c r="L6228" s="291"/>
      <c r="M6228" s="291"/>
      <c r="N6228" s="291"/>
      <c r="O6228" s="291"/>
      <c r="S6228" s="364"/>
      <c r="Z6228" s="609" t="s">
        <v>2060</v>
      </c>
      <c r="AA6228" s="609"/>
    </row>
    <row r="6229" spans="1:27" ht="24">
      <c r="A6229" s="2714"/>
      <c r="B6229" s="371">
        <v>102.003</v>
      </c>
      <c r="C6229" s="371"/>
      <c r="D6229" s="2716">
        <f t="shared" si="647"/>
        <v>1</v>
      </c>
      <c r="E6229" s="2721" t="s">
        <v>4851</v>
      </c>
      <c r="F6229" s="294"/>
      <c r="G6229" s="308" t="s">
        <v>4853</v>
      </c>
      <c r="H6229" s="309"/>
      <c r="I6229" s="309"/>
      <c r="J6229" s="1476">
        <f t="shared" si="649"/>
        <v>0</v>
      </c>
      <c r="K6229" s="388"/>
      <c r="L6229" s="291"/>
      <c r="M6229" s="291"/>
      <c r="N6229" s="291"/>
      <c r="O6229" s="291"/>
      <c r="S6229" s="364"/>
      <c r="Z6229" s="609" t="s">
        <v>2060</v>
      </c>
      <c r="AA6229" s="609"/>
    </row>
    <row r="6230" spans="1:27" ht="24">
      <c r="A6230" s="2714"/>
      <c r="B6230" s="371">
        <v>102.004</v>
      </c>
      <c r="C6230" s="371"/>
      <c r="D6230" s="2716">
        <f t="shared" si="647"/>
        <v>1</v>
      </c>
      <c r="E6230" s="2721" t="s">
        <v>4851</v>
      </c>
      <c r="F6230" s="294"/>
      <c r="G6230" s="308" t="s">
        <v>4854</v>
      </c>
      <c r="H6230" s="309"/>
      <c r="I6230" s="309"/>
      <c r="J6230" s="1476">
        <f t="shared" si="649"/>
        <v>0</v>
      </c>
      <c r="K6230" s="388"/>
      <c r="L6230" s="291"/>
      <c r="M6230" s="291"/>
      <c r="N6230" s="291"/>
      <c r="O6230" s="291"/>
      <c r="S6230" s="364"/>
      <c r="Z6230" s="609" t="s">
        <v>2060</v>
      </c>
      <c r="AA6230" s="609"/>
    </row>
    <row r="6231" spans="1:27" ht="18">
      <c r="A6231" s="2714"/>
      <c r="B6231" s="371">
        <v>102.005</v>
      </c>
      <c r="C6231" s="371"/>
      <c r="D6231" s="2716">
        <f t="shared" si="647"/>
        <v>1</v>
      </c>
      <c r="E6231" s="2721" t="s">
        <v>4851</v>
      </c>
      <c r="F6231" s="294"/>
      <c r="G6231" s="308" t="s">
        <v>4855</v>
      </c>
      <c r="H6231" s="309"/>
      <c r="I6231" s="309"/>
      <c r="J6231" s="1476">
        <f t="shared" si="649"/>
        <v>0</v>
      </c>
      <c r="K6231" s="388"/>
      <c r="L6231" s="291"/>
      <c r="M6231" s="291"/>
      <c r="N6231" s="291"/>
      <c r="O6231" s="291"/>
      <c r="S6231" s="364"/>
      <c r="Z6231" s="609" t="s">
        <v>2060</v>
      </c>
      <c r="AA6231" s="609"/>
    </row>
    <row r="6232" spans="1:27" ht="18">
      <c r="A6232" s="2714"/>
      <c r="B6232" s="371">
        <v>102.006</v>
      </c>
      <c r="C6232" s="371"/>
      <c r="D6232" s="2716">
        <f t="shared" si="647"/>
        <v>1</v>
      </c>
      <c r="E6232" s="2721" t="s">
        <v>4851</v>
      </c>
      <c r="F6232" s="294"/>
      <c r="G6232" s="308" t="s">
        <v>4856</v>
      </c>
      <c r="H6232" s="309"/>
      <c r="I6232" s="309"/>
      <c r="J6232" s="1476">
        <f t="shared" si="649"/>
        <v>0</v>
      </c>
      <c r="K6232" s="388"/>
      <c r="L6232" s="291"/>
      <c r="M6232" s="291"/>
      <c r="N6232" s="291"/>
      <c r="O6232" s="291"/>
      <c r="S6232" s="364"/>
      <c r="Z6232" s="609" t="s">
        <v>2060</v>
      </c>
      <c r="AA6232" s="609"/>
    </row>
    <row r="6233" spans="1:27" ht="18">
      <c r="A6233" s="2714"/>
      <c r="B6233" s="371">
        <v>102.00700000000001</v>
      </c>
      <c r="C6233" s="371" t="s">
        <v>2791</v>
      </c>
      <c r="D6233" s="2716">
        <f t="shared" si="647"/>
        <v>0</v>
      </c>
      <c r="E6233" s="2721" t="s">
        <v>4851</v>
      </c>
      <c r="F6233" s="294"/>
      <c r="G6233" s="1563" t="s">
        <v>2792</v>
      </c>
      <c r="H6233" s="309"/>
      <c r="I6233" s="309"/>
      <c r="J6233" s="1476">
        <f t="shared" si="649"/>
        <v>0</v>
      </c>
      <c r="K6233" s="388"/>
      <c r="L6233" s="291"/>
      <c r="M6233" s="291"/>
      <c r="N6233" s="291"/>
      <c r="O6233" s="291"/>
      <c r="S6233" s="364"/>
      <c r="Z6233" s="609" t="s">
        <v>2060</v>
      </c>
      <c r="AA6233" s="609"/>
    </row>
    <row r="6234" spans="1:27" ht="18">
      <c r="A6234" s="2714"/>
      <c r="B6234" s="371">
        <v>102.008</v>
      </c>
      <c r="C6234" s="371"/>
      <c r="D6234" s="2716">
        <f t="shared" si="647"/>
        <v>1</v>
      </c>
      <c r="E6234" s="2721" t="s">
        <v>4823</v>
      </c>
      <c r="F6234" s="294"/>
      <c r="G6234" s="308" t="s">
        <v>4857</v>
      </c>
      <c r="H6234" s="309"/>
      <c r="I6234" s="309"/>
      <c r="J6234" s="1476">
        <f t="shared" si="649"/>
        <v>0</v>
      </c>
      <c r="K6234" s="388"/>
      <c r="L6234" s="291"/>
      <c r="M6234" s="291"/>
      <c r="N6234" s="291"/>
      <c r="O6234" s="291"/>
      <c r="S6234" s="364"/>
      <c r="Z6234" s="609" t="s">
        <v>2060</v>
      </c>
      <c r="AA6234" s="609"/>
    </row>
    <row r="6235" spans="1:27" ht="18">
      <c r="A6235" s="2714"/>
      <c r="B6235" s="371">
        <v>102.009</v>
      </c>
      <c r="C6235" s="371"/>
      <c r="D6235" s="2716">
        <f t="shared" si="647"/>
        <v>1</v>
      </c>
      <c r="E6235" s="2721" t="s">
        <v>4851</v>
      </c>
      <c r="F6235" s="294"/>
      <c r="G6235" s="308" t="s">
        <v>4858</v>
      </c>
      <c r="H6235" s="309"/>
      <c r="I6235" s="309"/>
      <c r="J6235" s="1476">
        <f t="shared" si="649"/>
        <v>0</v>
      </c>
      <c r="K6235" s="388"/>
      <c r="L6235" s="291"/>
      <c r="M6235" s="291"/>
      <c r="N6235" s="291"/>
      <c r="O6235" s="291"/>
      <c r="S6235" s="364"/>
      <c r="Z6235" s="609" t="s">
        <v>2060</v>
      </c>
      <c r="AA6235" s="609"/>
    </row>
    <row r="6236" spans="1:27" ht="18">
      <c r="A6236" s="2714"/>
      <c r="B6236" s="371">
        <v>102.01</v>
      </c>
      <c r="C6236" s="371" t="s">
        <v>2791</v>
      </c>
      <c r="D6236" s="2716">
        <f t="shared" si="647"/>
        <v>0</v>
      </c>
      <c r="E6236" s="2721" t="s">
        <v>4851</v>
      </c>
      <c r="F6236" s="294"/>
      <c r="G6236" s="1563" t="s">
        <v>2792</v>
      </c>
      <c r="H6236" s="309"/>
      <c r="I6236" s="309"/>
      <c r="J6236" s="1476">
        <f t="shared" si="649"/>
        <v>0</v>
      </c>
      <c r="K6236" s="388"/>
      <c r="L6236" s="291"/>
      <c r="M6236" s="291"/>
      <c r="N6236" s="291"/>
      <c r="O6236" s="291"/>
      <c r="S6236" s="364"/>
      <c r="Z6236" s="609" t="s">
        <v>2060</v>
      </c>
      <c r="AA6236" s="609"/>
    </row>
    <row r="6237" spans="1:27" ht="18">
      <c r="A6237" s="2714"/>
      <c r="B6237" s="371">
        <v>102.999</v>
      </c>
      <c r="C6237" s="371"/>
      <c r="D6237" s="2716">
        <f t="shared" si="647"/>
        <v>1</v>
      </c>
      <c r="E6237" s="2721">
        <v>-1</v>
      </c>
      <c r="F6237" s="294"/>
      <c r="G6237" s="308" t="s">
        <v>4851</v>
      </c>
      <c r="H6237" s="1476">
        <f>SUMIF($E$6215:$E$6238,$G6237,H$6215:H$6238)</f>
        <v>0</v>
      </c>
      <c r="I6237" s="1476">
        <f>SUMIF($E$6215:$E$6238,$G6237,I$6215:I$6238)</f>
        <v>0</v>
      </c>
      <c r="J6237" s="1476">
        <f>SUMIF($E$6215:$E$6238,$G6237,J$6215:J$6238)</f>
        <v>0</v>
      </c>
      <c r="K6237" s="388"/>
      <c r="L6237" s="291"/>
      <c r="M6237" s="291"/>
      <c r="N6237" s="291"/>
      <c r="O6237" s="291"/>
      <c r="S6237" s="364"/>
      <c r="Z6237" s="609" t="s">
        <v>2060</v>
      </c>
      <c r="AA6237" s="609"/>
    </row>
    <row r="6238" spans="1:27" ht="18">
      <c r="A6238" s="2714"/>
      <c r="B6238" s="371">
        <v>103</v>
      </c>
      <c r="C6238" s="371" t="s">
        <v>2791</v>
      </c>
      <c r="D6238" s="2716">
        <f t="shared" si="647"/>
        <v>0</v>
      </c>
      <c r="E6238" s="2721">
        <v>-1</v>
      </c>
      <c r="F6238" s="294"/>
      <c r="G6238" s="1563" t="s">
        <v>2792</v>
      </c>
      <c r="H6238" s="309"/>
      <c r="I6238" s="309"/>
      <c r="J6238" s="309"/>
      <c r="K6238" s="388"/>
      <c r="L6238" s="291"/>
      <c r="M6238" s="291"/>
      <c r="N6238" s="291"/>
      <c r="O6238" s="291"/>
      <c r="S6238" s="364"/>
      <c r="Z6238" s="609" t="s">
        <v>2060</v>
      </c>
      <c r="AA6238" s="609"/>
    </row>
    <row r="6239" spans="1:27" ht="18.75" thickBot="1">
      <c r="A6239" s="2714"/>
      <c r="B6239" s="371"/>
      <c r="C6239" s="371"/>
      <c r="D6239" s="2716">
        <f t="shared" si="647"/>
        <v>1</v>
      </c>
      <c r="E6239" s="2721" t="s">
        <v>2751</v>
      </c>
      <c r="F6239" s="294"/>
      <c r="G6239" s="1529" t="s">
        <v>2752</v>
      </c>
      <c r="H6239" s="1527">
        <f>SUMPRODUCT($E6215:$E6238,H6215:H6238)</f>
        <v>0</v>
      </c>
      <c r="I6239" s="1527">
        <f>SUMPRODUCT($E6215:$E6238,I6215:I6238)</f>
        <v>0</v>
      </c>
      <c r="J6239" s="1527">
        <f>SUMPRODUCT($E6215:$E6238,J6215:J6238)</f>
        <v>0</v>
      </c>
      <c r="K6239" s="1571"/>
      <c r="L6239" s="291"/>
      <c r="M6239" s="291"/>
      <c r="N6239" s="291"/>
      <c r="O6239" s="291"/>
      <c r="S6239" s="364"/>
      <c r="Z6239" s="609" t="s">
        <v>2060</v>
      </c>
      <c r="AA6239" s="609"/>
    </row>
    <row r="6240" spans="1:27" ht="18">
      <c r="A6240" s="2714"/>
      <c r="B6240" s="371"/>
      <c r="C6240" s="371" t="s">
        <v>2755</v>
      </c>
      <c r="D6240" s="371"/>
      <c r="F6240" s="294"/>
      <c r="G6240" s="301"/>
      <c r="H6240" s="315"/>
      <c r="I6240" s="315"/>
      <c r="J6240" s="315"/>
      <c r="K6240" s="393"/>
      <c r="L6240" s="291"/>
      <c r="M6240" s="291"/>
      <c r="N6240" s="291"/>
      <c r="O6240" s="291"/>
      <c r="S6240" s="364"/>
      <c r="Z6240" s="609" t="s">
        <v>2060</v>
      </c>
      <c r="AA6240" s="609"/>
    </row>
    <row r="6241" spans="1:27" ht="18">
      <c r="A6241" s="2714">
        <v>7523</v>
      </c>
      <c r="B6241" s="371">
        <v>79.150000000000006</v>
      </c>
      <c r="C6241" s="2716" t="str">
        <f>VLOOKUP($A6241,Sheet_Items,2,0)</f>
        <v>其他将净利润调节为经营活动现金流量项目</v>
      </c>
      <c r="D6241" s="371"/>
      <c r="E6241" s="2716" t="s">
        <v>2739</v>
      </c>
      <c r="F6241" s="294"/>
      <c r="G6241" s="536" t="str">
        <f>B6241&amp;" "&amp;C6241</f>
        <v>79.15 其他将净利润调节为经营活动现金流量项目</v>
      </c>
      <c r="H6241" s="322"/>
      <c r="I6241" s="322"/>
      <c r="J6241" s="306" t="s">
        <v>4206</v>
      </c>
      <c r="K6241" s="341">
        <f>VLOOKUP($A6241,Sheet_Trialbal,6,0)</f>
        <v>0</v>
      </c>
      <c r="L6241" s="342"/>
      <c r="M6241" s="306"/>
      <c r="N6241" s="341"/>
      <c r="O6241" s="306"/>
      <c r="P6241" s="301"/>
      <c r="S6241" s="364"/>
      <c r="Z6241" s="609" t="s">
        <v>2063</v>
      </c>
      <c r="AA6241" s="609"/>
    </row>
    <row r="6242" spans="1:27" ht="24">
      <c r="A6242" s="2714" t="s">
        <v>2061</v>
      </c>
      <c r="B6242" s="371">
        <v>1</v>
      </c>
      <c r="C6242" s="371"/>
      <c r="D6242" s="2716" t="str">
        <f>VLOOKUP($A6242,Sheet_NoteList,2,0)</f>
        <v>将净利润调节为经营活动现金流量：其他项目</v>
      </c>
      <c r="E6242" s="2716" t="s">
        <v>2742</v>
      </c>
      <c r="F6242" s="294"/>
      <c r="G6242" s="372" t="str">
        <f>"("&amp;B6242&amp;")"&amp;D6242</f>
        <v>(1)将净利润调节为经营活动现金流量：其他项目</v>
      </c>
      <c r="H6242" s="1517" t="str">
        <f>$A6242</f>
        <v>7523a</v>
      </c>
      <c r="I6242" s="343" t="s">
        <v>2743</v>
      </c>
      <c r="J6242" s="301" t="s">
        <v>4712</v>
      </c>
      <c r="K6242" s="2210">
        <f>H6248</f>
        <v>0</v>
      </c>
      <c r="L6242" s="345" t="str">
        <f>IF(ROUND(K6241-K6242,2)=0,"F/S",ROUND(K6241-K6242,2))</f>
        <v>F/S</v>
      </c>
      <c r="M6242" s="532" t="s">
        <v>4713</v>
      </c>
      <c r="N6242" s="3084"/>
      <c r="O6242" s="315"/>
      <c r="P6242" s="301"/>
      <c r="S6242" s="364"/>
      <c r="Z6242" s="609" t="s">
        <v>2063</v>
      </c>
      <c r="AA6242" s="609"/>
    </row>
    <row r="6243" spans="1:27" ht="0.75" customHeight="1" thickBot="1">
      <c r="A6243" s="2714"/>
      <c r="B6243" s="371"/>
      <c r="C6243" s="371"/>
      <c r="D6243" s="371"/>
      <c r="F6243" s="294"/>
      <c r="G6243" s="294" t="s">
        <v>4859</v>
      </c>
      <c r="H6243" s="294" t="s">
        <v>3472</v>
      </c>
      <c r="I6243" s="294" t="s">
        <v>2821</v>
      </c>
      <c r="J6243" s="291"/>
      <c r="K6243" s="291"/>
      <c r="L6243" s="291"/>
      <c r="M6243" s="291"/>
      <c r="S6243" s="364"/>
      <c r="Z6243" s="609" t="s">
        <v>2063</v>
      </c>
      <c r="AA6243" s="609"/>
    </row>
    <row r="6244" spans="1:27" ht="18">
      <c r="A6244" s="2714"/>
      <c r="B6244" s="371"/>
      <c r="C6244" s="371"/>
      <c r="D6244" s="371"/>
      <c r="E6244" s="2716" t="s">
        <v>2749</v>
      </c>
      <c r="F6244" s="294"/>
      <c r="G6244" s="1564" t="s">
        <v>47</v>
      </c>
      <c r="H6244" s="1565" t="s">
        <v>2587</v>
      </c>
      <c r="I6244" s="1566" t="s">
        <v>2508</v>
      </c>
      <c r="J6244" s="291"/>
      <c r="K6244" s="291"/>
      <c r="L6244" s="291"/>
      <c r="M6244" s="291"/>
      <c r="S6244" s="364"/>
      <c r="Z6244" s="609" t="s">
        <v>2063</v>
      </c>
      <c r="AA6244" s="609"/>
    </row>
    <row r="6245" spans="1:27" ht="18">
      <c r="A6245" s="2714"/>
      <c r="B6245" s="371">
        <v>101</v>
      </c>
      <c r="C6245" s="371" t="s">
        <v>2791</v>
      </c>
      <c r="D6245" s="2716">
        <f>IF(OR(G6245="*",G6245="",G6245=0),0,COUNTIF($G$6245:$G$6248,G6245))</f>
        <v>0</v>
      </c>
      <c r="E6245" s="2721">
        <v>1</v>
      </c>
      <c r="F6245" s="294"/>
      <c r="G6245" s="1563" t="s">
        <v>2792</v>
      </c>
      <c r="H6245" s="309"/>
      <c r="I6245" s="388"/>
      <c r="J6245" s="291"/>
      <c r="K6245" s="291"/>
      <c r="L6245" s="291"/>
      <c r="M6245" s="291"/>
      <c r="S6245" s="364"/>
      <c r="Z6245" s="609" t="s">
        <v>2063</v>
      </c>
      <c r="AA6245" s="609"/>
    </row>
    <row r="6246" spans="1:27" ht="18">
      <c r="A6246" s="2714"/>
      <c r="B6246" s="371">
        <v>102</v>
      </c>
      <c r="C6246" s="371" t="s">
        <v>2791</v>
      </c>
      <c r="D6246" s="2716">
        <f>IF(OR(G6246="*",G6246="",G6246=0),0,COUNTIF($G$6245:$G$6248,G6246))</f>
        <v>0</v>
      </c>
      <c r="E6246" s="2721">
        <v>1</v>
      </c>
      <c r="F6246" s="294"/>
      <c r="G6246" s="1563" t="s">
        <v>2792</v>
      </c>
      <c r="H6246" s="309"/>
      <c r="I6246" s="388"/>
      <c r="J6246" s="291"/>
      <c r="K6246" s="291"/>
      <c r="L6246" s="291"/>
      <c r="M6246" s="291"/>
      <c r="S6246" s="364"/>
      <c r="Z6246" s="609" t="s">
        <v>2063</v>
      </c>
      <c r="AA6246" s="609"/>
    </row>
    <row r="6247" spans="1:27" ht="18">
      <c r="A6247" s="2714"/>
      <c r="B6247" s="371">
        <v>103</v>
      </c>
      <c r="C6247" s="371" t="s">
        <v>2791</v>
      </c>
      <c r="D6247" s="2716">
        <f>IF(OR(G6247="*",G6247="",G6247=0),0,COUNTIF($G$6245:$G$6248,G6247))</f>
        <v>0</v>
      </c>
      <c r="E6247" s="2721">
        <v>1</v>
      </c>
      <c r="F6247" s="294"/>
      <c r="G6247" s="1563" t="s">
        <v>2792</v>
      </c>
      <c r="H6247" s="309"/>
      <c r="I6247" s="388"/>
      <c r="J6247" s="291"/>
      <c r="K6247" s="291"/>
      <c r="L6247" s="291"/>
      <c r="M6247" s="291"/>
      <c r="S6247" s="364"/>
      <c r="Z6247" s="609" t="s">
        <v>2063</v>
      </c>
      <c r="AA6247" s="609"/>
    </row>
    <row r="6248" spans="1:27" ht="18.75" thickBot="1">
      <c r="A6248" s="2714"/>
      <c r="B6248" s="371"/>
      <c r="C6248" s="371"/>
      <c r="D6248" s="2716">
        <f>IF(OR(G6248="*",G6248="",G6248=0),0,COUNTIF($G$6245:$G$6248,G6248))</f>
        <v>1</v>
      </c>
      <c r="E6248" s="2721" t="s">
        <v>2751</v>
      </c>
      <c r="F6248" s="294"/>
      <c r="G6248" s="1529" t="s">
        <v>2752</v>
      </c>
      <c r="H6248" s="1527">
        <f>SUMPRODUCT($E6244:$E6247,H6244:H6247)</f>
        <v>0</v>
      </c>
      <c r="I6248" s="1571"/>
      <c r="J6248" s="291"/>
      <c r="K6248" s="291"/>
      <c r="L6248" s="291"/>
      <c r="M6248" s="291"/>
      <c r="S6248" s="364"/>
      <c r="Z6248" s="609" t="s">
        <v>2063</v>
      </c>
      <c r="AA6248" s="609"/>
    </row>
    <row r="6249" spans="1:27" ht="18">
      <c r="A6249" s="2714"/>
      <c r="B6249" s="371"/>
      <c r="C6249" s="371" t="s">
        <v>2755</v>
      </c>
      <c r="D6249" s="371"/>
      <c r="F6249" s="294"/>
      <c r="G6249" s="301"/>
      <c r="H6249" s="315"/>
      <c r="I6249" s="393"/>
      <c r="J6249" s="291"/>
      <c r="K6249" s="291"/>
      <c r="L6249" s="291"/>
      <c r="M6249" s="291"/>
      <c r="S6249" s="364"/>
      <c r="Z6249" s="609" t="s">
        <v>2063</v>
      </c>
      <c r="AA6249" s="609"/>
    </row>
    <row r="6250" spans="1:27" ht="12.75" thickBot="1">
      <c r="S6250" s="364"/>
    </row>
    <row r="6251" spans="1:27">
      <c r="A6251" s="2718"/>
      <c r="B6251" s="2718"/>
      <c r="C6251" s="2718"/>
      <c r="D6251" s="2718"/>
      <c r="E6251" s="2722"/>
      <c r="F6251" s="633"/>
      <c r="G6251" s="634"/>
      <c r="H6251" s="634"/>
      <c r="I6251" s="634"/>
      <c r="J6251" s="634"/>
      <c r="K6251" s="634"/>
      <c r="L6251" s="634"/>
      <c r="M6251" s="634"/>
      <c r="N6251" s="634"/>
      <c r="O6251" s="634"/>
      <c r="P6251" s="634"/>
      <c r="Q6251" s="634"/>
      <c r="R6251" s="634"/>
    </row>
    <row r="6252" spans="1:27" ht="18">
      <c r="A6252" s="2719"/>
      <c r="F6252" s="635" t="s">
        <v>3002</v>
      </c>
      <c r="G6252" s="2507" t="s">
        <v>2661</v>
      </c>
      <c r="H6252" s="2508"/>
      <c r="I6252" s="2509"/>
      <c r="J6252" s="2509"/>
      <c r="K6252" s="2509"/>
      <c r="L6252" s="2509"/>
      <c r="M6252" s="2509"/>
      <c r="N6252" s="2509"/>
      <c r="O6252" s="2509"/>
      <c r="P6252" s="532" t="s">
        <v>4860</v>
      </c>
    </row>
    <row r="6253" spans="1:27" ht="18">
      <c r="A6253" s="2719"/>
      <c r="G6253" s="2510" t="s">
        <v>4861</v>
      </c>
      <c r="H6253" s="2508"/>
      <c r="I6253" s="2508"/>
      <c r="J6253" s="2508"/>
      <c r="K6253" s="2508"/>
      <c r="L6253" s="2510" t="s">
        <v>2533</v>
      </c>
      <c r="M6253" s="2509"/>
      <c r="N6253" s="2509"/>
      <c r="O6253" s="2510" t="s">
        <v>4862</v>
      </c>
    </row>
    <row r="6254" spans="1:27" ht="18">
      <c r="A6254" s="2719"/>
      <c r="E6254" s="2723"/>
      <c r="L6254" s="636"/>
      <c r="O6254" s="636"/>
    </row>
    <row r="6255" spans="1:27" ht="18">
      <c r="A6255" s="2719"/>
      <c r="E6255" s="2723"/>
      <c r="L6255" s="636"/>
      <c r="O6255" s="636"/>
    </row>
    <row r="6256" spans="1:27" ht="18">
      <c r="A6256" s="2719"/>
      <c r="E6256" s="2723"/>
      <c r="L6256" s="636"/>
      <c r="O6256" s="636"/>
    </row>
  </sheetData>
  <sheetProtection formatCells="0" autoFilter="0"/>
  <mergeCells count="355">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 ref="G5504:G5505"/>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H337:L337"/>
    <mergeCell ref="H359:K359"/>
    <mergeCell ref="H381:J381"/>
    <mergeCell ref="H403:J403"/>
    <mergeCell ref="H488:L488"/>
    <mergeCell ref="H503:L503"/>
    <mergeCell ref="H518:K518"/>
    <mergeCell ref="H418:J418"/>
    <mergeCell ref="H433:L433"/>
    <mergeCell ref="H23:J23"/>
    <mergeCell ref="K23:M23"/>
    <mergeCell ref="H123:J123"/>
    <mergeCell ref="K123:M123"/>
    <mergeCell ref="H195:K195"/>
    <mergeCell ref="H217:J217"/>
    <mergeCell ref="K254:M254"/>
    <mergeCell ref="J254:J255"/>
    <mergeCell ref="H173:L173"/>
    <mergeCell ref="H254:H255"/>
    <mergeCell ref="I254:I255"/>
    <mergeCell ref="H239:J239"/>
    <mergeCell ref="K5749:L5749"/>
    <mergeCell ref="H5323:L5323"/>
    <mergeCell ref="H5340:L5340"/>
    <mergeCell ref="H5357:M5357"/>
    <mergeCell ref="H5373:M5373"/>
    <mergeCell ref="H5749:H5750"/>
    <mergeCell ref="I5749:J5749"/>
    <mergeCell ref="H5389:J5389"/>
    <mergeCell ref="H5423:J5423"/>
    <mergeCell ref="H5458:K5458"/>
    <mergeCell ref="K5579:L5579"/>
    <mergeCell ref="M5579:P5579"/>
    <mergeCell ref="I5579:I5580"/>
    <mergeCell ref="H5504:K5504"/>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G5579:G5580"/>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9:J5580"/>
    <mergeCell ref="J4519:K4519"/>
    <mergeCell ref="H4491:I4491"/>
    <mergeCell ref="J4491:K4491"/>
    <mergeCell ref="J4370:J4371"/>
    <mergeCell ref="H4343:I4343"/>
    <mergeCell ref="G3046:G3047"/>
    <mergeCell ref="G3178:G3179"/>
    <mergeCell ref="G3191:G3192"/>
    <mergeCell ref="H5579:H5580"/>
    <mergeCell ref="H5279:H5280"/>
    <mergeCell ref="G5323:G5324"/>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9:G5280"/>
    <mergeCell ref="H5294:H5295"/>
    <mergeCell ref="G5294:G5295"/>
    <mergeCell ref="I4395:M4395"/>
    <mergeCell ref="H4236:H4237"/>
    <mergeCell ref="H4311:H4312"/>
    <mergeCell ref="H4370:H4371"/>
    <mergeCell ref="H4320:I4320"/>
    <mergeCell ref="K2160:M2160"/>
    <mergeCell ref="K2205:M2205"/>
    <mergeCell ref="H2333:H2334"/>
    <mergeCell ref="H2466:H2467"/>
    <mergeCell ref="J2276:K2276"/>
    <mergeCell ref="I3216:I3217"/>
    <mergeCell ref="I4370:I4371"/>
    <mergeCell ref="I5279:I5280"/>
    <mergeCell ref="I5294:I5295"/>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4:L5295"/>
    <mergeCell ref="M3191:M3192"/>
    <mergeCell ref="H1950:J1950"/>
    <mergeCell ref="K1950:M1950"/>
    <mergeCell ref="H1974:K1974"/>
    <mergeCell ref="M1989:M1990"/>
    <mergeCell ref="L1989:L1990"/>
    <mergeCell ref="H1911:H1912"/>
    <mergeCell ref="I1911:I1912"/>
    <mergeCell ref="J1911:J1912"/>
    <mergeCell ref="N1911:N1912"/>
    <mergeCell ref="K1911:M1911"/>
    <mergeCell ref="K1930:K1931"/>
    <mergeCell ref="K1639:L1639"/>
    <mergeCell ref="J1777:K1777"/>
    <mergeCell ref="H1802:K1802"/>
    <mergeCell ref="L1802:O1802"/>
    <mergeCell ref="H1826:J1826"/>
    <mergeCell ref="K1826:M1826"/>
    <mergeCell ref="H1841:K1841"/>
    <mergeCell ref="L1841:O1841"/>
    <mergeCell ref="H1639:H1640"/>
    <mergeCell ref="H1777:H1778"/>
    <mergeCell ref="M1639:M1640"/>
    <mergeCell ref="G5749:G5750"/>
    <mergeCell ref="K3178:L3178"/>
    <mergeCell ref="K3191:L3191"/>
    <mergeCell ref="K3203:L3203"/>
    <mergeCell ref="J3216:K3216"/>
    <mergeCell ref="H3178:H3179"/>
    <mergeCell ref="G5571:G5572"/>
    <mergeCell ref="G5357:G5358"/>
    <mergeCell ref="G5373:G5374"/>
    <mergeCell ref="G5389:G5390"/>
    <mergeCell ref="G5423:G5424"/>
    <mergeCell ref="G5458:G5459"/>
    <mergeCell ref="G4343:G4344"/>
    <mergeCell ref="G4370:G4371"/>
    <mergeCell ref="G4395:G4396"/>
    <mergeCell ref="G4491:G4492"/>
    <mergeCell ref="G4519:G4520"/>
    <mergeCell ref="G4543:G4544"/>
    <mergeCell ref="G4566:G4567"/>
    <mergeCell ref="G3203:G3204"/>
    <mergeCell ref="I3191:J3191"/>
    <mergeCell ref="I3203:J3203"/>
    <mergeCell ref="L5279:L5280"/>
    <mergeCell ref="G5340:G5341"/>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Q5579:Q5580"/>
    <mergeCell ref="R2466:R2467"/>
    <mergeCell ref="R5579:R5580"/>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9:K5279"/>
    <mergeCell ref="J5294:K5294"/>
    <mergeCell ref="H4519:I4519"/>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s>
  <phoneticPr fontId="163" type="noConversion"/>
  <conditionalFormatting sqref="I7">
    <cfRule type="cellIs" dxfId="4075" priority="2818" stopIfTrue="1" operator="equal">
      <formula>0</formula>
    </cfRule>
    <cfRule type="cellIs" dxfId="4074" priority="2819" stopIfTrue="1" operator="notEqual">
      <formula>0</formula>
    </cfRule>
  </conditionalFormatting>
  <conditionalFormatting sqref="P7">
    <cfRule type="cellIs" dxfId="4073" priority="2812" stopIfTrue="1" operator="equal">
      <formula>0</formula>
    </cfRule>
    <cfRule type="cellIs" dxfId="4072" priority="2813" stopIfTrue="1" operator="notEqual">
      <formula>0</formula>
    </cfRule>
  </conditionalFormatting>
  <conditionalFormatting sqref="Q90 Q1520:Q1526 Q2001:Q2012 Q5622:Q5647 Q5746:Q5773 Q1799:Q1810 Q698:Q705 Q2648:Q2650 Q71:Q88 Q1869:Q1945 Q5386 Q5420:Q5453 Q2191:Q2200 Q4096:Q4105 Q910 Q2412:Q2462 Q1027:Q1218 Q890 Q1853 Q2063 Q2218:Q2233 Q2315 Q2330:Q2348 Q792:Q850 Q688 Q170:Q315 Q500 Q430:Q485 Q1469:Q1509 Q1307:Q1365 Q1387 Q1409 Q1428 Q1449 Q1459 Q1607 Q1655 Q1665 Q1736 Q2652:Q2705 Q2719 Q2733 Q2748:Q2760 Q1764 Q2368 Q3359 Q4040 Q5775:Q5803 Q5501 Q5549:Q5557 Q5276 Q5291:Q5318 Q721:Q777 Q2079 Q2092 Q2105 Q2118:Q2136">
    <cfRule type="expression" dxfId="4071" priority="4237" stopIfTrue="1">
      <formula>$Q71="请输入"</formula>
    </cfRule>
  </conditionalFormatting>
  <conditionalFormatting sqref="I109 I5602 I5276 I5291 I5306 I5622 I5635 I5648 I5658 I5668 I5678 I5688 I5698 I5708 I5718 I5728 I5738 I5746 I5761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4070" priority="2474" stopIfTrue="1">
      <formula>$I109="适用"</formula>
    </cfRule>
    <cfRule type="expression" dxfId="4069" priority="2475" stopIfTrue="1">
      <formula>$I109="不适用"</formula>
    </cfRule>
  </conditionalFormatting>
  <conditionalFormatting sqref="I317">
    <cfRule type="expression" dxfId="4068" priority="944" stopIfTrue="1">
      <formula>$I317="适用"</formula>
    </cfRule>
    <cfRule type="expression" dxfId="4067" priority="945" stopIfTrue="1">
      <formula>$I317="不适用"</formula>
    </cfRule>
  </conditionalFormatting>
  <conditionalFormatting sqref="I334">
    <cfRule type="expression" dxfId="4066" priority="938" stopIfTrue="1">
      <formula>$I334="适用"</formula>
    </cfRule>
    <cfRule type="expression" dxfId="4065" priority="939" stopIfTrue="1">
      <formula>$I334="不适用"</formula>
    </cfRule>
  </conditionalFormatting>
  <conditionalFormatting sqref="I356">
    <cfRule type="expression" dxfId="4064" priority="932" stopIfTrue="1">
      <formula>$I356="适用"</formula>
    </cfRule>
    <cfRule type="expression" dxfId="4063" priority="933" stopIfTrue="1">
      <formula>$I356="不适用"</formula>
    </cfRule>
  </conditionalFormatting>
  <conditionalFormatting sqref="I378">
    <cfRule type="expression" dxfId="4062" priority="926" stopIfTrue="1">
      <formula>$I378="适用"</formula>
    </cfRule>
    <cfRule type="expression" dxfId="4061" priority="927" stopIfTrue="1">
      <formula>$I378="不适用"</formula>
    </cfRule>
  </conditionalFormatting>
  <conditionalFormatting sqref="I400">
    <cfRule type="expression" dxfId="4060" priority="916" stopIfTrue="1">
      <formula>$I400="适用"</formula>
    </cfRule>
    <cfRule type="expression" dxfId="4059" priority="917" stopIfTrue="1">
      <formula>$I400="不适用"</formula>
    </cfRule>
  </conditionalFormatting>
  <conditionalFormatting sqref="Q515">
    <cfRule type="expression" dxfId="4058" priority="4246" stopIfTrue="1">
      <formula>$Q515="请输入"</formula>
    </cfRule>
  </conditionalFormatting>
  <conditionalFormatting sqref="G525 G93:G106 G1414:G1419 G893:G898 G2602:G2616 G4043:G4048 G1815:G1820 G1804:G1809 G1496:G1508 G2653:G2696 G490:G498 G4866:G4874 G4636:G4639 G5309:G5317 G5212:G5273 G5281:G5289 G4902:G4911 G5351:G5352 G5123:G5126 G4642:G4650">
    <cfRule type="expression" dxfId="4057" priority="923">
      <formula>$D93&gt;1</formula>
    </cfRule>
    <cfRule type="expression" dxfId="4056" priority="924">
      <formula>$C93="%IN"</formula>
    </cfRule>
    <cfRule type="expression" dxfId="4055" priority="925" stopIfTrue="1">
      <formula>$E93=0</formula>
    </cfRule>
  </conditionalFormatting>
  <conditionalFormatting sqref="Q535">
    <cfRule type="expression" dxfId="4054" priority="4247" stopIfTrue="1">
      <formula>$Q535="请输入"</formula>
    </cfRule>
  </conditionalFormatting>
  <conditionalFormatting sqref="I579">
    <cfRule type="expression" dxfId="4053" priority="910" stopIfTrue="1">
      <formula>$I579="适用"</formula>
    </cfRule>
    <cfRule type="expression" dxfId="4052" priority="911" stopIfTrue="1">
      <formula>$I579="不适用"</formula>
    </cfRule>
  </conditionalFormatting>
  <conditionalFormatting sqref="Q601">
    <cfRule type="expression" dxfId="4051" priority="4251" stopIfTrue="1">
      <formula>$Q601="请输入"</formula>
    </cfRule>
  </conditionalFormatting>
  <conditionalFormatting sqref="I611">
    <cfRule type="expression" dxfId="4050" priority="907" stopIfTrue="1">
      <formula>$I611="适用"</formula>
    </cfRule>
    <cfRule type="expression" dxfId="4049" priority="908" stopIfTrue="1">
      <formula>$I611="不适用"</formula>
    </cfRule>
  </conditionalFormatting>
  <conditionalFormatting sqref="Q618">
    <cfRule type="expression" dxfId="4048" priority="4252" stopIfTrue="1">
      <formula>$Q618="请输入"</formula>
    </cfRule>
  </conditionalFormatting>
  <conditionalFormatting sqref="G3362:G3367 G1767:G1772 G505:G513 G1370:G1378 G1392:G1400 G5605:G5619 G5691:G5696 G5711:G5716 G5731:G5736 G5741:G5743 G4753:G4763 G5131:G5135 G4880:G4896 G5150:G5155 G5140:G5145 G4961:G4964 G4666:G4681">
    <cfRule type="expression" dxfId="4047" priority="900" stopIfTrue="1">
      <formula>$D505&gt;1</formula>
    </cfRule>
    <cfRule type="expression" dxfId="4046" priority="901" stopIfTrue="1">
      <formula>$C505="%IN"</formula>
    </cfRule>
  </conditionalFormatting>
  <conditionalFormatting sqref="Q629">
    <cfRule type="expression" dxfId="4045" priority="4253" stopIfTrue="1">
      <formula>$Q629="请输入"</formula>
    </cfRule>
  </conditionalFormatting>
  <conditionalFormatting sqref="Q648">
    <cfRule type="expression" dxfId="4044" priority="4254" stopIfTrue="1">
      <formula>$Q648="请输入"</formula>
    </cfRule>
  </conditionalFormatting>
  <conditionalFormatting sqref="Q658">
    <cfRule type="expression" dxfId="4043" priority="4255" stopIfTrue="1">
      <formula>$Q658="请输入"</formula>
    </cfRule>
  </conditionalFormatting>
  <conditionalFormatting sqref="Q668">
    <cfRule type="expression" dxfId="4042" priority="4257" stopIfTrue="1">
      <formula>$Q668="请输入"</formula>
    </cfRule>
  </conditionalFormatting>
  <conditionalFormatting sqref="Q678">
    <cfRule type="expression" dxfId="4041" priority="4258" stopIfTrue="1">
      <formula>$Q678="请输入"</formula>
    </cfRule>
  </conditionalFormatting>
  <conditionalFormatting sqref="I698">
    <cfRule type="expression" dxfId="4040" priority="1014" stopIfTrue="1">
      <formula>$I698="适用"</formula>
    </cfRule>
    <cfRule type="expression" dxfId="4039" priority="1015" stopIfTrue="1">
      <formula>$I698="不适用"</formula>
    </cfRule>
  </conditionalFormatting>
  <conditionalFormatting sqref="I706">
    <cfRule type="expression" dxfId="4038" priority="1011" stopIfTrue="1">
      <formula>$I706="适用"</formula>
    </cfRule>
    <cfRule type="expression" dxfId="4037" priority="1012" stopIfTrue="1">
      <formula>$I706="不适用"</formula>
    </cfRule>
  </conditionalFormatting>
  <conditionalFormatting sqref="I721">
    <cfRule type="expression" dxfId="4036" priority="1008" stopIfTrue="1">
      <formula>$I721="适用"</formula>
    </cfRule>
    <cfRule type="expression" dxfId="4035" priority="1009" stopIfTrue="1">
      <formula>$I721="不适用"</formula>
    </cfRule>
  </conditionalFormatting>
  <conditionalFormatting sqref="I740">
    <cfRule type="expression" dxfId="4034" priority="1005" stopIfTrue="1">
      <formula>$I740="适用"</formula>
    </cfRule>
    <cfRule type="expression" dxfId="4033" priority="1006" stopIfTrue="1">
      <formula>$I740="不适用"</formula>
    </cfRule>
  </conditionalFormatting>
  <conditionalFormatting sqref="I848">
    <cfRule type="expression" dxfId="4032" priority="1002" stopIfTrue="1">
      <formula>$I848="适用"</formula>
    </cfRule>
    <cfRule type="expression" dxfId="4031" priority="1003" stopIfTrue="1">
      <formula>$I848="不适用"</formula>
    </cfRule>
  </conditionalFormatting>
  <conditionalFormatting sqref="Q859">
    <cfRule type="expression" dxfId="4030" priority="4259" stopIfTrue="1">
      <formula>$Q859="请输入"</formula>
    </cfRule>
  </conditionalFormatting>
  <conditionalFormatting sqref="Q871">
    <cfRule type="expression" dxfId="4029" priority="4261" stopIfTrue="1">
      <formula>$Q871="请输入"</formula>
    </cfRule>
  </conditionalFormatting>
  <conditionalFormatting sqref="I900">
    <cfRule type="expression" dxfId="4028" priority="1434" stopIfTrue="1">
      <formula>$I900="适用"</formula>
    </cfRule>
    <cfRule type="expression" dxfId="4027" priority="1435" stopIfTrue="1">
      <formula>$I900="不适用"</formula>
    </cfRule>
  </conditionalFormatting>
  <conditionalFormatting sqref="I934">
    <cfRule type="expression" dxfId="4026" priority="1117" stopIfTrue="1">
      <formula>$I934="适用"</formula>
    </cfRule>
    <cfRule type="expression" dxfId="4025" priority="1118" stopIfTrue="1">
      <formula>$I934="不适用"</formula>
    </cfRule>
  </conditionalFormatting>
  <conditionalFormatting sqref="Q944">
    <cfRule type="expression" dxfId="4024" priority="4266" stopIfTrue="1">
      <formula>$Q944="请输入"</formula>
    </cfRule>
  </conditionalFormatting>
  <conditionalFormatting sqref="Q956">
    <cfRule type="expression" dxfId="4023" priority="4267" stopIfTrue="1">
      <formula>$Q956="请输入"</formula>
    </cfRule>
  </conditionalFormatting>
  <conditionalFormatting sqref="Q967">
    <cfRule type="expression" dxfId="4022" priority="4268" stopIfTrue="1">
      <formula>$Q967="请输入"</formula>
    </cfRule>
  </conditionalFormatting>
  <conditionalFormatting sqref="I977">
    <cfRule type="expression" dxfId="4021" priority="2460" stopIfTrue="1">
      <formula>$I977="适用"</formula>
    </cfRule>
    <cfRule type="expression" dxfId="4020" priority="2461" stopIfTrue="1">
      <formula>$I977="不适用"</formula>
    </cfRule>
  </conditionalFormatting>
  <conditionalFormatting sqref="Q977">
    <cfRule type="expression" dxfId="4019" priority="4269" stopIfTrue="1">
      <formula>$Q977="请输入"</formula>
    </cfRule>
  </conditionalFormatting>
  <conditionalFormatting sqref="I1043">
    <cfRule type="expression" dxfId="4018" priority="979" stopIfTrue="1">
      <formula>$I1043="适用"</formula>
    </cfRule>
    <cfRule type="expression" dxfId="4017" priority="980" stopIfTrue="1">
      <formula>$I1043="不适用"</formula>
    </cfRule>
  </conditionalFormatting>
  <conditionalFormatting sqref="I1219">
    <cfRule type="expression" dxfId="4016" priority="973" stopIfTrue="1">
      <formula>$I1219="适用"</formula>
    </cfRule>
    <cfRule type="expression" dxfId="4015" priority="974" stopIfTrue="1">
      <formula>$I1219="不适用"</formula>
    </cfRule>
  </conditionalFormatting>
  <conditionalFormatting sqref="Q1510">
    <cfRule type="expression" dxfId="4014" priority="4277" stopIfTrue="1">
      <formula>$Q1510="请输入"</formula>
    </cfRule>
  </conditionalFormatting>
  <conditionalFormatting sqref="I1520">
    <cfRule type="expression" dxfId="4013" priority="949" stopIfTrue="1">
      <formula>$I1520="适用"</formula>
    </cfRule>
    <cfRule type="expression" dxfId="4012" priority="950" stopIfTrue="1">
      <formula>$I1520="不适用"</formula>
    </cfRule>
  </conditionalFormatting>
  <conditionalFormatting sqref="Q1527">
    <cfRule type="expression" dxfId="4011" priority="4278" stopIfTrue="1">
      <formula>$Q1527="请输入"</formula>
    </cfRule>
  </conditionalFormatting>
  <conditionalFormatting sqref="Q1538">
    <cfRule type="expression" dxfId="4010" priority="4280" stopIfTrue="1">
      <formula>$Q1538="请输入"</formula>
    </cfRule>
  </conditionalFormatting>
  <conditionalFormatting sqref="Q1557">
    <cfRule type="expression" dxfId="4009" priority="4281" stopIfTrue="1">
      <formula>$Q1557="请输入"</formula>
    </cfRule>
  </conditionalFormatting>
  <conditionalFormatting sqref="Q1567">
    <cfRule type="expression" dxfId="4008" priority="4282" stopIfTrue="1">
      <formula>$Q1567="请输入"</formula>
    </cfRule>
  </conditionalFormatting>
  <conditionalFormatting sqref="Q1577">
    <cfRule type="expression" dxfId="4007" priority="4283" stopIfTrue="1">
      <formula>$Q1577="请输入"</formula>
    </cfRule>
  </conditionalFormatting>
  <conditionalFormatting sqref="Q1587">
    <cfRule type="expression" dxfId="4006" priority="4285" stopIfTrue="1">
      <formula>$Q1587="请输入"</formula>
    </cfRule>
  </conditionalFormatting>
  <conditionalFormatting sqref="Q1597">
    <cfRule type="expression" dxfId="4005" priority="4286" stopIfTrue="1">
      <formula>$Q1597="请输入"</formula>
    </cfRule>
  </conditionalFormatting>
  <conditionalFormatting sqref="Q1617">
    <cfRule type="expression" dxfId="4004" priority="4287" stopIfTrue="1">
      <formula>$Q1617="请输入"</formula>
    </cfRule>
  </conditionalFormatting>
  <conditionalFormatting sqref="Q1636">
    <cfRule type="expression" dxfId="4003" priority="4288" stopIfTrue="1">
      <formula>$Q1636="请输入"</formula>
    </cfRule>
  </conditionalFormatting>
  <conditionalFormatting sqref="Q1682">
    <cfRule type="expression" dxfId="4002" priority="4291" stopIfTrue="1">
      <formula>$Q1682="请输入"</formula>
    </cfRule>
  </conditionalFormatting>
  <conditionalFormatting sqref="Q1699">
    <cfRule type="expression" dxfId="4001" priority="4292" stopIfTrue="1">
      <formula>$Q1699="请输入"</formula>
    </cfRule>
  </conditionalFormatting>
  <conditionalFormatting sqref="Q1716">
    <cfRule type="expression" dxfId="4000" priority="4293" stopIfTrue="1">
      <formula>$Q1716="请输入"</formula>
    </cfRule>
  </conditionalFormatting>
  <conditionalFormatting sqref="I1753">
    <cfRule type="expression" dxfId="3999" priority="1428" stopIfTrue="1">
      <formula>$I1753="适用"</formula>
    </cfRule>
    <cfRule type="expression" dxfId="3998" priority="1429" stopIfTrue="1">
      <formula>$I1753="不适用"</formula>
    </cfRule>
  </conditionalFormatting>
  <conditionalFormatting sqref="Q1753">
    <cfRule type="expression" dxfId="3997" priority="4296" stopIfTrue="1">
      <formula>$Q1753="请输入"</formula>
    </cfRule>
  </conditionalFormatting>
  <conditionalFormatting sqref="I1790">
    <cfRule type="expression" dxfId="3996" priority="2396" stopIfTrue="1">
      <formula>$I1790="适用"</formula>
    </cfRule>
    <cfRule type="expression" dxfId="3995" priority="2397" stopIfTrue="1">
      <formula>$I1790="不适用"</formula>
    </cfRule>
  </conditionalFormatting>
  <conditionalFormatting sqref="Q1790">
    <cfRule type="expression" dxfId="3994" priority="4302" stopIfTrue="1">
      <formula>$Q1790="请输入"</formula>
    </cfRule>
  </conditionalFormatting>
  <conditionalFormatting sqref="I1799">
    <cfRule type="expression" dxfId="3993" priority="886" stopIfTrue="1">
      <formula>$I1799="适用"</formula>
    </cfRule>
    <cfRule type="expression" dxfId="3992" priority="887" stopIfTrue="1">
      <formula>$I1799="不适用"</formula>
    </cfRule>
  </conditionalFormatting>
  <conditionalFormatting sqref="Q1812">
    <cfRule type="expression" dxfId="3991" priority="4303" stopIfTrue="1">
      <formula>$Q1812="请输入"</formula>
    </cfRule>
  </conditionalFormatting>
  <conditionalFormatting sqref="I1823">
    <cfRule type="expression" dxfId="3990" priority="883" stopIfTrue="1">
      <formula>$I1823="适用"</formula>
    </cfRule>
    <cfRule type="expression" dxfId="3989" priority="884" stopIfTrue="1">
      <formula>$I1823="不适用"</formula>
    </cfRule>
  </conditionalFormatting>
  <conditionalFormatting sqref="I1838">
    <cfRule type="expression" dxfId="3988" priority="880" stopIfTrue="1">
      <formula>$I1838="适用"</formula>
    </cfRule>
    <cfRule type="expression" dxfId="3987" priority="881" stopIfTrue="1">
      <formula>$I1838="不适用"</formula>
    </cfRule>
  </conditionalFormatting>
  <conditionalFormatting sqref="I1853">
    <cfRule type="expression" dxfId="3986" priority="877" stopIfTrue="1">
      <formula>$I1853="适用"</formula>
    </cfRule>
    <cfRule type="expression" dxfId="3985" priority="878" stopIfTrue="1">
      <formula>$I1853="不适用"</formula>
    </cfRule>
  </conditionalFormatting>
  <conditionalFormatting sqref="I1927">
    <cfRule type="expression" dxfId="3984" priority="862" stopIfTrue="1">
      <formula>$I1927="适用"</formula>
    </cfRule>
    <cfRule type="expression" dxfId="3983" priority="863" stopIfTrue="1">
      <formula>$I1927="不适用"</formula>
    </cfRule>
  </conditionalFormatting>
  <conditionalFormatting sqref="Q1947">
    <cfRule type="expression" dxfId="3982" priority="4304" stopIfTrue="1">
      <formula>$Q1947="请输入"</formula>
    </cfRule>
  </conditionalFormatting>
  <conditionalFormatting sqref="I1961">
    <cfRule type="expression" dxfId="3981" priority="2388" stopIfTrue="1">
      <formula>$I1961="适用"</formula>
    </cfRule>
    <cfRule type="expression" dxfId="3980" priority="2389" stopIfTrue="1">
      <formula>$I1961="不适用"</formula>
    </cfRule>
  </conditionalFormatting>
  <conditionalFormatting sqref="Q1961">
    <cfRule type="expression" dxfId="3979" priority="4305" stopIfTrue="1">
      <formula>$Q1961="请输入"</formula>
    </cfRule>
  </conditionalFormatting>
  <conditionalFormatting sqref="I1971">
    <cfRule type="expression" dxfId="3978" priority="829" stopIfTrue="1">
      <formula>$I1971="适用"</formula>
    </cfRule>
    <cfRule type="expression" dxfId="3977" priority="830" stopIfTrue="1">
      <formula>$I1971="不适用"</formula>
    </cfRule>
  </conditionalFormatting>
  <conditionalFormatting sqref="I1986">
    <cfRule type="expression" dxfId="3976" priority="826" stopIfTrue="1">
      <formula>$I1986="适用"</formula>
    </cfRule>
    <cfRule type="expression" dxfId="3975" priority="827" stopIfTrue="1">
      <formula>$I1986="不适用"</formula>
    </cfRule>
  </conditionalFormatting>
  <conditionalFormatting sqref="I2001">
    <cfRule type="expression" dxfId="3974" priority="823" stopIfTrue="1">
      <formula>$I2001="适用"</formula>
    </cfRule>
    <cfRule type="expression" dxfId="3973" priority="824" stopIfTrue="1">
      <formula>$I2001="不适用"</formula>
    </cfRule>
  </conditionalFormatting>
  <conditionalFormatting sqref="Q2013">
    <cfRule type="expression" dxfId="3972" priority="4307" stopIfTrue="1">
      <formula>$Q2013="请输入"</formula>
    </cfRule>
  </conditionalFormatting>
  <conditionalFormatting sqref="I2021">
    <cfRule type="expression" dxfId="3971" priority="2372" stopIfTrue="1">
      <formula>$I2021="适用"</formula>
    </cfRule>
    <cfRule type="expression" dxfId="3970" priority="2373" stopIfTrue="1">
      <formula>$I2021="不适用"</formula>
    </cfRule>
  </conditionalFormatting>
  <conditionalFormatting sqref="Q2021">
    <cfRule type="expression" dxfId="3969" priority="4311" stopIfTrue="1">
      <formula>$Q2021="请输入"</formula>
    </cfRule>
  </conditionalFormatting>
  <conditionalFormatting sqref="I2032">
    <cfRule type="expression" dxfId="3968" priority="820" stopIfTrue="1">
      <formula>$I2032="适用"</formula>
    </cfRule>
    <cfRule type="expression" dxfId="3967" priority="821" stopIfTrue="1">
      <formula>$I2032="不适用"</formula>
    </cfRule>
  </conditionalFormatting>
  <conditionalFormatting sqref="I2048">
    <cfRule type="expression" dxfId="3966" priority="813" stopIfTrue="1">
      <formula>$I2048="适用"</formula>
    </cfRule>
    <cfRule type="expression" dxfId="3965" priority="814" stopIfTrue="1">
      <formula>$I2048="不适用"</formula>
    </cfRule>
  </conditionalFormatting>
  <conditionalFormatting sqref="I2063">
    <cfRule type="expression" dxfId="3964" priority="810" stopIfTrue="1">
      <formula>$I2063="适用"</formula>
    </cfRule>
    <cfRule type="expression" dxfId="3963" priority="811" stopIfTrue="1">
      <formula>$I2063="不适用"</formula>
    </cfRule>
  </conditionalFormatting>
  <conditionalFormatting sqref="I2137">
    <cfRule type="expression" dxfId="3962" priority="798" stopIfTrue="1">
      <formula>$I2137="适用"</formula>
    </cfRule>
    <cfRule type="expression" dxfId="3961" priority="799" stopIfTrue="1">
      <formula>$I2137="不适用"</formula>
    </cfRule>
  </conditionalFormatting>
  <conditionalFormatting sqref="Q2157">
    <cfRule type="expression" dxfId="3960" priority="4312" stopIfTrue="1">
      <formula>$Q2157="请输入"</formula>
    </cfRule>
  </conditionalFormatting>
  <conditionalFormatting sqref="I2171">
    <cfRule type="expression" dxfId="3959" priority="2362" stopIfTrue="1">
      <formula>$I2171="适用"</formula>
    </cfRule>
    <cfRule type="expression" dxfId="3958" priority="2363" stopIfTrue="1">
      <formula>$I2171="不适用"</formula>
    </cfRule>
  </conditionalFormatting>
  <conditionalFormatting sqref="Q2171">
    <cfRule type="expression" dxfId="3957" priority="4313" stopIfTrue="1">
      <formula>$Q2171="请输入"</formula>
    </cfRule>
  </conditionalFormatting>
  <conditionalFormatting sqref="I2181">
    <cfRule type="expression" dxfId="3956" priority="2356" stopIfTrue="1">
      <formula>$I2181="适用"</formula>
    </cfRule>
    <cfRule type="expression" dxfId="3955" priority="2357" stopIfTrue="1">
      <formula>$I2181="不适用"</formula>
    </cfRule>
  </conditionalFormatting>
  <conditionalFormatting sqref="Q2181">
    <cfRule type="expression" dxfId="3954" priority="4314" stopIfTrue="1">
      <formula>$Q2181="请输入"</formula>
    </cfRule>
  </conditionalFormatting>
  <conditionalFormatting sqref="Q2202">
    <cfRule type="expression" dxfId="3953" priority="4315" stopIfTrue="1">
      <formula>$Q2202="请输入"</formula>
    </cfRule>
  </conditionalFormatting>
  <conditionalFormatting sqref="I2234">
    <cfRule type="expression" dxfId="3952" priority="774" stopIfTrue="1">
      <formula>$I2234="适用"</formula>
    </cfRule>
    <cfRule type="expression" dxfId="3951" priority="775" stopIfTrue="1">
      <formula>$I2234="不适用"</formula>
    </cfRule>
  </conditionalFormatting>
  <conditionalFormatting sqref="I2247">
    <cfRule type="expression" dxfId="3950" priority="771" stopIfTrue="1">
      <formula>$I2247="适用"</formula>
    </cfRule>
    <cfRule type="expression" dxfId="3949" priority="772" stopIfTrue="1">
      <formula>$I2247="不适用"</formula>
    </cfRule>
  </conditionalFormatting>
  <conditionalFormatting sqref="I2260">
    <cfRule type="expression" dxfId="3948" priority="765" stopIfTrue="1">
      <formula>$I2260="适用"</formula>
    </cfRule>
    <cfRule type="expression" dxfId="3947" priority="766" stopIfTrue="1">
      <formula>$I2260="不适用"</formula>
    </cfRule>
  </conditionalFormatting>
  <conditionalFormatting sqref="I2273">
    <cfRule type="expression" dxfId="3946" priority="747" stopIfTrue="1">
      <formula>$I2273="适用"</formula>
    </cfRule>
    <cfRule type="expression" dxfId="3945" priority="748" stopIfTrue="1">
      <formula>$I2273="不适用"</formula>
    </cfRule>
  </conditionalFormatting>
  <conditionalFormatting sqref="I2293">
    <cfRule type="expression" dxfId="3944" priority="744" stopIfTrue="1">
      <formula>$I2293="适用"</formula>
    </cfRule>
    <cfRule type="expression" dxfId="3943" priority="745" stopIfTrue="1">
      <formula>$I2293="不适用"</formula>
    </cfRule>
  </conditionalFormatting>
  <conditionalFormatting sqref="I2349">
    <cfRule type="expression" dxfId="3942" priority="741" stopIfTrue="1">
      <formula>$I2349="适用"</formula>
    </cfRule>
    <cfRule type="expression" dxfId="3941" priority="742" stopIfTrue="1">
      <formula>$I2349="不适用"</formula>
    </cfRule>
  </conditionalFormatting>
  <conditionalFormatting sqref="I2378">
    <cfRule type="expression" dxfId="3940" priority="729" stopIfTrue="1">
      <formula>$I2378="适用"</formula>
    </cfRule>
    <cfRule type="expression" dxfId="3939" priority="730" stopIfTrue="1">
      <formula>$I2378="不适用"</formula>
    </cfRule>
  </conditionalFormatting>
  <conditionalFormatting sqref="I2391">
    <cfRule type="expression" dxfId="3938" priority="2759" stopIfTrue="1">
      <formula>$I2391="适用"</formula>
    </cfRule>
    <cfRule type="expression" dxfId="3937" priority="2760" stopIfTrue="1">
      <formula>$I2391="不适用"</formula>
    </cfRule>
  </conditionalFormatting>
  <conditionalFormatting sqref="Q2391">
    <cfRule type="expression" dxfId="3936" priority="4316" stopIfTrue="1">
      <formula>$Q2391="请输入"</formula>
    </cfRule>
  </conditionalFormatting>
  <conditionalFormatting sqref="I2401">
    <cfRule type="expression" dxfId="3935" priority="1966" stopIfTrue="1">
      <formula>$I2401="适用"</formula>
    </cfRule>
    <cfRule type="expression" dxfId="3934" priority="1967" stopIfTrue="1">
      <formula>$I2401="不适用"</formula>
    </cfRule>
  </conditionalFormatting>
  <conditionalFormatting sqref="Q2401">
    <cfRule type="expression" dxfId="3933" priority="4320" stopIfTrue="1">
      <formula>$Q2401="请输入"</formula>
    </cfRule>
  </conditionalFormatting>
  <conditionalFormatting sqref="I2497">
    <cfRule type="expression" dxfId="3932" priority="726" stopIfTrue="1">
      <formula>$I2497="适用"</formula>
    </cfRule>
    <cfRule type="expression" dxfId="3931" priority="727" stopIfTrue="1">
      <formula>$I2497="不适用"</formula>
    </cfRule>
  </conditionalFormatting>
  <conditionalFormatting sqref="I2506">
    <cfRule type="expression" dxfId="3930" priority="723" stopIfTrue="1">
      <formula>$I2506="适用"</formula>
    </cfRule>
    <cfRule type="expression" dxfId="3929" priority="724" stopIfTrue="1">
      <formula>$I2506="不适用"</formula>
    </cfRule>
  </conditionalFormatting>
  <conditionalFormatting sqref="I2520">
    <cfRule type="expression" dxfId="3928" priority="720" stopIfTrue="1">
      <formula>$I2520="适用"</formula>
    </cfRule>
    <cfRule type="expression" dxfId="3927" priority="721" stopIfTrue="1">
      <formula>$I2520="不适用"</formula>
    </cfRule>
  </conditionalFormatting>
  <conditionalFormatting sqref="Q2599">
    <cfRule type="expression" dxfId="3926" priority="4335" stopIfTrue="1">
      <formula>$Q2599="请输入"</formula>
    </cfRule>
  </conditionalFormatting>
  <conditionalFormatting sqref="Q2618">
    <cfRule type="expression" dxfId="3925" priority="4336" stopIfTrue="1">
      <formula>$Q2618="请输入"</formula>
    </cfRule>
  </conditionalFormatting>
  <conditionalFormatting sqref="I2639">
    <cfRule type="expression" dxfId="3924" priority="1112" stopIfTrue="1">
      <formula>$I2639="适用"</formula>
    </cfRule>
    <cfRule type="expression" dxfId="3923" priority="1113" stopIfTrue="1">
      <formula>$I2639="不适用"</formula>
    </cfRule>
  </conditionalFormatting>
  <conditionalFormatting sqref="Q2761">
    <cfRule type="expression" dxfId="3922" priority="4345" stopIfTrue="1">
      <formula>$Q2761="请输入"</formula>
    </cfRule>
  </conditionalFormatting>
  <conditionalFormatting sqref="I2781">
    <cfRule type="expression" dxfId="3921" priority="1420" stopIfTrue="1">
      <formula>$I2781="适用"</formula>
    </cfRule>
    <cfRule type="expression" dxfId="3920" priority="1421" stopIfTrue="1">
      <formula>$I2781="不适用"</formula>
    </cfRule>
  </conditionalFormatting>
  <conditionalFormatting sqref="I2797">
    <cfRule type="expression" dxfId="3919" priority="684" stopIfTrue="1">
      <formula>$I2797="适用"</formula>
    </cfRule>
    <cfRule type="expression" dxfId="3918" priority="685" stopIfTrue="1">
      <formula>$I2797="不适用"</formula>
    </cfRule>
  </conditionalFormatting>
  <conditionalFormatting sqref="I2821">
    <cfRule type="expression" dxfId="3917" priority="1107" stopIfTrue="1">
      <formula>$I2821="适用"</formula>
    </cfRule>
    <cfRule type="expression" dxfId="3916" priority="1108" stopIfTrue="1">
      <formula>$I2821="不适用"</formula>
    </cfRule>
  </conditionalFormatting>
  <conditionalFormatting sqref="Q2830">
    <cfRule type="expression" dxfId="3915" priority="4348" stopIfTrue="1">
      <formula>$Q2830="请输入"</formula>
    </cfRule>
  </conditionalFormatting>
  <conditionalFormatting sqref="Q2847">
    <cfRule type="expression" dxfId="3914" priority="4349" stopIfTrue="1">
      <formula>$Q2847="请输入"</formula>
    </cfRule>
  </conditionalFormatting>
  <conditionalFormatting sqref="Q2862">
    <cfRule type="expression" dxfId="3913" priority="4350" stopIfTrue="1">
      <formula>$Q2862="请输入"</formula>
    </cfRule>
  </conditionalFormatting>
  <conditionalFormatting sqref="I2877">
    <cfRule type="expression" dxfId="3912" priority="675" stopIfTrue="1">
      <formula>$I2877="适用"</formula>
    </cfRule>
    <cfRule type="expression" dxfId="3911" priority="676" stopIfTrue="1">
      <formula>$I2877="不适用"</formula>
    </cfRule>
  </conditionalFormatting>
  <conditionalFormatting sqref="Q2897">
    <cfRule type="expression" dxfId="3910" priority="4351" stopIfTrue="1">
      <formula>$Q2897="请输入"</formula>
    </cfRule>
  </conditionalFormatting>
  <conditionalFormatting sqref="I2908">
    <cfRule type="expression" dxfId="3909" priority="1079" stopIfTrue="1">
      <formula>$I2908="适用"</formula>
    </cfRule>
    <cfRule type="expression" dxfId="3908" priority="1080" stopIfTrue="1">
      <formula>$I2908="不适用"</formula>
    </cfRule>
  </conditionalFormatting>
  <conditionalFormatting sqref="I2920">
    <cfRule type="expression" dxfId="3907" priority="2088" stopIfTrue="1">
      <formula>$I2920="适用"</formula>
    </cfRule>
    <cfRule type="expression" dxfId="3906" priority="2089" stopIfTrue="1">
      <formula>$I2920="不适用"</formula>
    </cfRule>
  </conditionalFormatting>
  <conditionalFormatting sqref="Q2920">
    <cfRule type="expression" dxfId="3905" priority="4354" stopIfTrue="1">
      <formula>$Q2920="请输入"</formula>
    </cfRule>
  </conditionalFormatting>
  <conditionalFormatting sqref="Q2982">
    <cfRule type="expression" dxfId="3904" priority="4358" stopIfTrue="1">
      <formula>$Q2982="请输入"</formula>
    </cfRule>
  </conditionalFormatting>
  <conditionalFormatting sqref="I3006">
    <cfRule type="expression" dxfId="3903" priority="672" stopIfTrue="1">
      <formula>$I3006="适用"</formula>
    </cfRule>
    <cfRule type="expression" dxfId="3902" priority="673" stopIfTrue="1">
      <formula>$I3006="不适用"</formula>
    </cfRule>
  </conditionalFormatting>
  <conditionalFormatting sqref="I3043">
    <cfRule type="expression" dxfId="3901" priority="2272" stopIfTrue="1">
      <formula>$I3043="适用"</formula>
    </cfRule>
    <cfRule type="expression" dxfId="3900" priority="2273" stopIfTrue="1">
      <formula>$I3043="不适用"</formula>
    </cfRule>
  </conditionalFormatting>
  <conditionalFormatting sqref="Q3043">
    <cfRule type="expression" dxfId="3899" priority="4360" stopIfTrue="1">
      <formula>$Q3043="请输入"</formula>
    </cfRule>
  </conditionalFormatting>
  <conditionalFormatting sqref="I3113">
    <cfRule type="expression" dxfId="3898" priority="660" stopIfTrue="1">
      <formula>$I3113="适用"</formula>
    </cfRule>
    <cfRule type="expression" dxfId="3897" priority="661" stopIfTrue="1">
      <formula>$I3113="不适用"</formula>
    </cfRule>
  </conditionalFormatting>
  <conditionalFormatting sqref="I3126">
    <cfRule type="expression" dxfId="3896" priority="2256" stopIfTrue="1">
      <formula>$I3126="适用"</formula>
    </cfRule>
    <cfRule type="expression" dxfId="3895" priority="2257" stopIfTrue="1">
      <formula>$I3126="不适用"</formula>
    </cfRule>
  </conditionalFormatting>
  <conditionalFormatting sqref="Q3126">
    <cfRule type="expression" dxfId="3894" priority="4363" stopIfTrue="1">
      <formula>$Q3126="请输入"</formula>
    </cfRule>
  </conditionalFormatting>
  <conditionalFormatting sqref="I3162">
    <cfRule type="expression" dxfId="3893" priority="1412" stopIfTrue="1">
      <formula>$I3162="适用"</formula>
    </cfRule>
    <cfRule type="expression" dxfId="3892" priority="1413" stopIfTrue="1">
      <formula>$I3162="不适用"</formula>
    </cfRule>
  </conditionalFormatting>
  <conditionalFormatting sqref="Q3175">
    <cfRule type="expression" dxfId="3891" priority="4367" stopIfTrue="1">
      <formula>$Q3175="请输入"</formula>
    </cfRule>
  </conditionalFormatting>
  <conditionalFormatting sqref="Q3188">
    <cfRule type="expression" dxfId="3890" priority="4368" stopIfTrue="1">
      <formula>$Q3188="请输入"</formula>
    </cfRule>
  </conditionalFormatting>
  <conditionalFormatting sqref="I3200">
    <cfRule type="expression" dxfId="3889" priority="2222" stopIfTrue="1">
      <formula>$I3200="适用"</formula>
    </cfRule>
    <cfRule type="expression" dxfId="3888" priority="2223" stopIfTrue="1">
      <formula>$I3200="不适用"</formula>
    </cfRule>
  </conditionalFormatting>
  <conditionalFormatting sqref="Q3200">
    <cfRule type="expression" dxfId="3887" priority="4369" stopIfTrue="1">
      <formula>$Q3200="请输入"</formula>
    </cfRule>
  </conditionalFormatting>
  <conditionalFormatting sqref="Q3213">
    <cfRule type="expression" dxfId="3886" priority="4370" stopIfTrue="1">
      <formula>$Q3213="请输入"</formula>
    </cfRule>
  </conditionalFormatting>
  <conditionalFormatting sqref="I3225">
    <cfRule type="expression" dxfId="3885" priority="1406" stopIfTrue="1">
      <formula>$I3225="适用"</formula>
    </cfRule>
    <cfRule type="expression" dxfId="3884" priority="1407" stopIfTrue="1">
      <formula>$I3225="不适用"</formula>
    </cfRule>
  </conditionalFormatting>
  <conditionalFormatting sqref="Q3240">
    <cfRule type="expression" dxfId="3883" priority="4371" stopIfTrue="1">
      <formula>$Q3240="请输入"</formula>
    </cfRule>
  </conditionalFormatting>
  <conditionalFormatting sqref="Q3256">
    <cfRule type="expression" dxfId="3882" priority="4372" stopIfTrue="1">
      <formula>$Q3256="请输入"</formula>
    </cfRule>
  </conditionalFormatting>
  <conditionalFormatting sqref="Q3269">
    <cfRule type="expression" dxfId="3881" priority="4373" stopIfTrue="1">
      <formula>$Q3269="请输入"</formula>
    </cfRule>
  </conditionalFormatting>
  <conditionalFormatting sqref="Q3276">
    <cfRule type="expression" dxfId="3880" priority="4374" stopIfTrue="1">
      <formula>$Q3276="请输入"</formula>
    </cfRule>
  </conditionalFormatting>
  <conditionalFormatting sqref="Q3286">
    <cfRule type="expression" dxfId="3879" priority="4375" stopIfTrue="1">
      <formula>$Q3286="请输入"</formula>
    </cfRule>
  </conditionalFormatting>
  <conditionalFormatting sqref="H3301">
    <cfRule type="expression" dxfId="3878" priority="4228">
      <formula>AND(H$3301&lt;&gt;0,H$3301&lt;&gt;"")</formula>
    </cfRule>
    <cfRule type="expression" dxfId="3877" priority="4229" stopIfTrue="1">
      <formula>H$3302&lt;&gt;"√"</formula>
    </cfRule>
  </conditionalFormatting>
  <conditionalFormatting sqref="I3301">
    <cfRule type="expression" dxfId="3876" priority="4230">
      <formula>AND(I$3301&lt;&gt;0,I$3301&lt;&gt;"")</formula>
    </cfRule>
    <cfRule type="expression" dxfId="3875" priority="4231" stopIfTrue="1">
      <formula>I$3302&lt;&gt;"√"</formula>
    </cfRule>
  </conditionalFormatting>
  <conditionalFormatting sqref="K3303">
    <cfRule type="expression" dxfId="3874" priority="4232">
      <formula>AND($K$3303&lt;&gt;0,$K$3303&lt;&gt;"")</formula>
    </cfRule>
    <cfRule type="expression" dxfId="3873" priority="4233" stopIfTrue="1">
      <formula>$L$3303&lt;&gt;"√"</formula>
    </cfRule>
  </conditionalFormatting>
  <conditionalFormatting sqref="Q3306">
    <cfRule type="expression" dxfId="3872" priority="4376" stopIfTrue="1">
      <formula>$Q3306="请输入"</formula>
    </cfRule>
  </conditionalFormatting>
  <conditionalFormatting sqref="Q3319">
    <cfRule type="expression" dxfId="3871" priority="4377" stopIfTrue="1">
      <formula>$Q3319="请输入"</formula>
    </cfRule>
  </conditionalFormatting>
  <conditionalFormatting sqref="I3329">
    <cfRule type="expression" dxfId="3870" priority="1796" stopIfTrue="1">
      <formula>$I3329="适用"</formula>
    </cfRule>
    <cfRule type="expression" dxfId="3869" priority="1797" stopIfTrue="1">
      <formula>$I3329="不适用"</formula>
    </cfRule>
  </conditionalFormatting>
  <conditionalFormatting sqref="I3339">
    <cfRule type="expression" dxfId="3868" priority="1790" stopIfTrue="1">
      <formula>$I3339="适用"</formula>
    </cfRule>
    <cfRule type="expression" dxfId="3867" priority="1791" stopIfTrue="1">
      <formula>$I3339="不适用"</formula>
    </cfRule>
  </conditionalFormatting>
  <conditionalFormatting sqref="I3349">
    <cfRule type="expression" dxfId="3866" priority="1784" stopIfTrue="1">
      <formula>$I3349="适用"</formula>
    </cfRule>
    <cfRule type="expression" dxfId="3865" priority="1785" stopIfTrue="1">
      <formula>$I3349="不适用"</formula>
    </cfRule>
  </conditionalFormatting>
  <conditionalFormatting sqref="I3370">
    <cfRule type="expression" dxfId="3864" priority="2747" stopIfTrue="1">
      <formula>$I3370="适用"</formula>
    </cfRule>
    <cfRule type="expression" dxfId="3863" priority="2748" stopIfTrue="1">
      <formula>$I3370="不适用"</formula>
    </cfRule>
  </conditionalFormatting>
  <conditionalFormatting sqref="Q3370">
    <cfRule type="expression" dxfId="3862" priority="4382" stopIfTrue="1">
      <formula>$Q3370="请输入"</formula>
    </cfRule>
  </conditionalFormatting>
  <conditionalFormatting sqref="I3381">
    <cfRule type="expression" dxfId="3861" priority="657" stopIfTrue="1">
      <formula>$I3381="适用"</formula>
    </cfRule>
    <cfRule type="expression" dxfId="3860" priority="658" stopIfTrue="1">
      <formula>$I3381="不适用"</formula>
    </cfRule>
  </conditionalFormatting>
  <conditionalFormatting sqref="I3394">
    <cfRule type="expression" dxfId="3859" priority="654" stopIfTrue="1">
      <formula>$I3394="适用"</formula>
    </cfRule>
    <cfRule type="expression" dxfId="3858" priority="655" stopIfTrue="1">
      <formula>$I3394="不适用"</formula>
    </cfRule>
  </conditionalFormatting>
  <conditionalFormatting sqref="Q3409">
    <cfRule type="expression" dxfId="3857" priority="4383" stopIfTrue="1">
      <formula>$Q3409="请输入"</formula>
    </cfRule>
  </conditionalFormatting>
  <conditionalFormatting sqref="I3421">
    <cfRule type="expression" dxfId="3856" priority="2212" stopIfTrue="1">
      <formula>$I3421="适用"</formula>
    </cfRule>
    <cfRule type="expression" dxfId="3855" priority="2213" stopIfTrue="1">
      <formula>$I3421="不适用"</formula>
    </cfRule>
  </conditionalFormatting>
  <conditionalFormatting sqref="Q3421">
    <cfRule type="expression" dxfId="3854" priority="4384" stopIfTrue="1">
      <formula>$Q3421="请输入"</formula>
    </cfRule>
  </conditionalFormatting>
  <conditionalFormatting sqref="Q3432">
    <cfRule type="expression" dxfId="3853" priority="4385" stopIfTrue="1">
      <formula>$Q3432="请输入"</formula>
    </cfRule>
  </conditionalFormatting>
  <conditionalFormatting sqref="I3443">
    <cfRule type="expression" dxfId="3852" priority="2722" stopIfTrue="1">
      <formula>$I3443="适用"</formula>
    </cfRule>
    <cfRule type="expression" dxfId="3851" priority="2723" stopIfTrue="1">
      <formula>$I3443="不适用"</formula>
    </cfRule>
    <cfRule type="expression" dxfId="3850" priority="2729" stopIfTrue="1">
      <formula>$I3443="适用"</formula>
    </cfRule>
    <cfRule type="expression" dxfId="3849" priority="2730" stopIfTrue="1">
      <formula>$I3443="不适用"</formula>
    </cfRule>
  </conditionalFormatting>
  <conditionalFormatting sqref="Q3443">
    <cfRule type="expression" dxfId="3848" priority="4386" stopIfTrue="1">
      <formula>$Q3443="请输入"</formula>
    </cfRule>
  </conditionalFormatting>
  <conditionalFormatting sqref="I3454">
    <cfRule type="expression" dxfId="3847" priority="1508" stopIfTrue="1">
      <formula>$I3454="适用"</formula>
    </cfRule>
    <cfRule type="expression" dxfId="3846" priority="1509" stopIfTrue="1">
      <formula>$I3454="不适用"</formula>
    </cfRule>
    <cfRule type="expression" dxfId="3845" priority="1510" stopIfTrue="1">
      <formula>$I3454="适用"</formula>
    </cfRule>
    <cfRule type="expression" dxfId="3844" priority="1511" stopIfTrue="1">
      <formula>$I3454="不适用"</formula>
    </cfRule>
  </conditionalFormatting>
  <conditionalFormatting sqref="I3471">
    <cfRule type="expression" dxfId="3843" priority="1464" stopIfTrue="1">
      <formula>$I3471="适用"</formula>
    </cfRule>
    <cfRule type="expression" dxfId="3842" priority="1465" stopIfTrue="1">
      <formula>$I3471="不适用"</formula>
    </cfRule>
  </conditionalFormatting>
  <conditionalFormatting sqref="Q3471">
    <cfRule type="expression" dxfId="3841" priority="4388" stopIfTrue="1">
      <formula>$Q3471="请输入"</formula>
    </cfRule>
  </conditionalFormatting>
  <conditionalFormatting sqref="Q3481">
    <cfRule type="expression" dxfId="3840" priority="4389" stopIfTrue="1">
      <formula>$Q3481="请输入"</formula>
    </cfRule>
  </conditionalFormatting>
  <conditionalFormatting sqref="Q3491">
    <cfRule type="expression" dxfId="3839" priority="4390" stopIfTrue="1">
      <formula>$Q3491="请输入"</formula>
    </cfRule>
  </conditionalFormatting>
  <conditionalFormatting sqref="I3531">
    <cfRule type="expression" dxfId="3838" priority="2679" stopIfTrue="1">
      <formula>$I3531="适用"</formula>
    </cfRule>
    <cfRule type="expression" dxfId="3837" priority="2680" stopIfTrue="1">
      <formula>$I3531="不适用"</formula>
    </cfRule>
    <cfRule type="expression" dxfId="3836" priority="2687" stopIfTrue="1">
      <formula>$I3531="适用"</formula>
    </cfRule>
    <cfRule type="expression" dxfId="3835" priority="2688" stopIfTrue="1">
      <formula>$I3531="不适用"</formula>
    </cfRule>
  </conditionalFormatting>
  <conditionalFormatting sqref="Q3531">
    <cfRule type="expression" dxfId="3834" priority="4392" stopIfTrue="1">
      <formula>$Q3531="请输入"</formula>
    </cfRule>
  </conditionalFormatting>
  <conditionalFormatting sqref="I3541">
    <cfRule type="expression" dxfId="3833" priority="1498" stopIfTrue="1">
      <formula>$I3541="适用"</formula>
    </cfRule>
    <cfRule type="expression" dxfId="3832" priority="1499" stopIfTrue="1">
      <formula>$I3541="不适用"</formula>
    </cfRule>
    <cfRule type="expression" dxfId="3831" priority="1500" stopIfTrue="1">
      <formula>$I3541="适用"</formula>
    </cfRule>
    <cfRule type="expression" dxfId="3830" priority="1501" stopIfTrue="1">
      <formula>$I3541="不适用"</formula>
    </cfRule>
  </conditionalFormatting>
  <conditionalFormatting sqref="Q3558">
    <cfRule type="expression" dxfId="3829" priority="4394" stopIfTrue="1">
      <formula>$Q3558="请输入"</formula>
    </cfRule>
  </conditionalFormatting>
  <conditionalFormatting sqref="I3568">
    <cfRule type="expression" dxfId="3828" priority="2194" stopIfTrue="1">
      <formula>$I3568="适用"</formula>
    </cfRule>
    <cfRule type="expression" dxfId="3827" priority="2195" stopIfTrue="1">
      <formula>$I3568="不适用"</formula>
    </cfRule>
  </conditionalFormatting>
  <conditionalFormatting sqref="Q3568">
    <cfRule type="expression" dxfId="3826" priority="4395" stopIfTrue="1">
      <formula>$Q3568="请输入"</formula>
    </cfRule>
  </conditionalFormatting>
  <conditionalFormatting sqref="Q3578">
    <cfRule type="expression" dxfId="3825" priority="4396" stopIfTrue="1">
      <formula>$Q3578="请输入"</formula>
    </cfRule>
  </conditionalFormatting>
  <conditionalFormatting sqref="Q3588">
    <cfRule type="expression" dxfId="3824" priority="4398" stopIfTrue="1">
      <formula>$Q3588="请输入"</formula>
    </cfRule>
  </conditionalFormatting>
  <conditionalFormatting sqref="I3598">
    <cfRule type="expression" dxfId="3823" priority="1766" stopIfTrue="1">
      <formula>$I3598="适用"</formula>
    </cfRule>
    <cfRule type="expression" dxfId="3822" priority="1767" stopIfTrue="1">
      <formula>$I3598="不适用"</formula>
    </cfRule>
  </conditionalFormatting>
  <conditionalFormatting sqref="Q3618">
    <cfRule type="expression" dxfId="3821" priority="4399" stopIfTrue="1">
      <formula>$Q3618="请输入"</formula>
    </cfRule>
  </conditionalFormatting>
  <conditionalFormatting sqref="I3628">
    <cfRule type="expression" dxfId="3820" priority="2184" stopIfTrue="1">
      <formula>$I3628="适用"</formula>
    </cfRule>
    <cfRule type="expression" dxfId="3819" priority="2185" stopIfTrue="1">
      <formula>$I3628="不适用"</formula>
    </cfRule>
  </conditionalFormatting>
  <conditionalFormatting sqref="Q3628">
    <cfRule type="expression" dxfId="3818" priority="4400" stopIfTrue="1">
      <formula>$Q3628="请输入"</formula>
    </cfRule>
  </conditionalFormatting>
  <conditionalFormatting sqref="I3657">
    <cfRule type="expression" dxfId="3817" priority="2178" stopIfTrue="1">
      <formula>$I3657="适用"</formula>
    </cfRule>
    <cfRule type="expression" dxfId="3816" priority="2179" stopIfTrue="1">
      <formula>$I3657="不适用"</formula>
    </cfRule>
  </conditionalFormatting>
  <conditionalFormatting sqref="Q3657">
    <cfRule type="expression" dxfId="3815" priority="4401" stopIfTrue="1">
      <formula>$Q3657="请输入"</formula>
    </cfRule>
  </conditionalFormatting>
  <conditionalFormatting sqref="I3681">
    <cfRule type="expression" dxfId="3814" priority="1454" stopIfTrue="1">
      <formula>$I3681="适用"</formula>
    </cfRule>
    <cfRule type="expression" dxfId="3813" priority="1455" stopIfTrue="1">
      <formula>$I3681="不适用"</formula>
    </cfRule>
  </conditionalFormatting>
  <conditionalFormatting sqref="I3713">
    <cfRule type="expression" dxfId="3812" priority="1440" stopIfTrue="1">
      <formula>$I3713="适用"</formula>
    </cfRule>
    <cfRule type="expression" dxfId="3811" priority="1441" stopIfTrue="1">
      <formula>$I3713="不适用"</formula>
    </cfRule>
  </conditionalFormatting>
  <conditionalFormatting sqref="I3727">
    <cfRule type="expression" dxfId="3810" priority="647" stopIfTrue="1">
      <formula>$I3727="适用"</formula>
    </cfRule>
    <cfRule type="expression" dxfId="3809" priority="648" stopIfTrue="1">
      <formula>$I3727="不适用"</formula>
    </cfRule>
  </conditionalFormatting>
  <conditionalFormatting sqref="Q3727">
    <cfRule type="expression" dxfId="3808" priority="4403" stopIfTrue="1">
      <formula>$Q3727="请输入"</formula>
    </cfRule>
  </conditionalFormatting>
  <conditionalFormatting sqref="I3746">
    <cfRule type="expression" dxfId="3807" priority="1450" stopIfTrue="1">
      <formula>$I3746="适用"</formula>
    </cfRule>
    <cfRule type="expression" dxfId="3806" priority="1451" stopIfTrue="1">
      <formula>$I3746="不适用"</formula>
    </cfRule>
  </conditionalFormatting>
  <conditionalFormatting sqref="I3760">
    <cfRule type="expression" dxfId="3805" priority="1097" stopIfTrue="1">
      <formula>$I3760="适用"</formula>
    </cfRule>
    <cfRule type="expression" dxfId="3804" priority="1098" stopIfTrue="1">
      <formula>$I3760="不适用"</formula>
    </cfRule>
  </conditionalFormatting>
  <conditionalFormatting sqref="Q3770">
    <cfRule type="expression" dxfId="3803" priority="4404" stopIfTrue="1">
      <formula>$Q3770="请输入"</formula>
    </cfRule>
  </conditionalFormatting>
  <conditionalFormatting sqref="I3790">
    <cfRule type="expression" dxfId="3802" priority="2172" stopIfTrue="1">
      <formula>$I3790="适用"</formula>
    </cfRule>
    <cfRule type="expression" dxfId="3801" priority="2173" stopIfTrue="1">
      <formula>$I3790="不适用"</formula>
    </cfRule>
  </conditionalFormatting>
  <conditionalFormatting sqref="Q3790">
    <cfRule type="expression" dxfId="3800" priority="4405" stopIfTrue="1">
      <formula>$Q3790="请输入"</formula>
    </cfRule>
  </conditionalFormatting>
  <conditionalFormatting sqref="Q3801">
    <cfRule type="expression" dxfId="3799" priority="4406" stopIfTrue="1">
      <formula>$Q3801="请输入"</formula>
    </cfRule>
  </conditionalFormatting>
  <conditionalFormatting sqref="I3818">
    <cfRule type="expression" dxfId="3798" priority="2166" stopIfTrue="1">
      <formula>$I3818="适用"</formula>
    </cfRule>
    <cfRule type="expression" dxfId="3797" priority="2167" stopIfTrue="1">
      <formula>$I3818="不适用"</formula>
    </cfRule>
  </conditionalFormatting>
  <conditionalFormatting sqref="Q3818">
    <cfRule type="expression" dxfId="3796" priority="4407" stopIfTrue="1">
      <formula>$Q3818="请输入"</formula>
    </cfRule>
  </conditionalFormatting>
  <conditionalFormatting sqref="I3829">
    <cfRule type="expression" dxfId="3795" priority="2636" stopIfTrue="1">
      <formula>$I3829="适用"</formula>
    </cfRule>
    <cfRule type="expression" dxfId="3794" priority="2637" stopIfTrue="1">
      <formula>$I3829="不适用"</formula>
    </cfRule>
    <cfRule type="expression" dxfId="3793" priority="2644" stopIfTrue="1">
      <formula>$I3829="适用"</formula>
    </cfRule>
    <cfRule type="expression" dxfId="3792" priority="2645" stopIfTrue="1">
      <formula>$I3829="不适用"</formula>
    </cfRule>
  </conditionalFormatting>
  <conditionalFormatting sqref="Q3829">
    <cfRule type="expression" dxfId="3791" priority="4408" stopIfTrue="1">
      <formula>$Q3829="请输入"</formula>
    </cfRule>
  </conditionalFormatting>
  <conditionalFormatting sqref="I3839">
    <cfRule type="expression" dxfId="3790" priority="1486" stopIfTrue="1">
      <formula>$I3839="适用"</formula>
    </cfRule>
    <cfRule type="expression" dxfId="3789" priority="1487" stopIfTrue="1">
      <formula>$I3839="不适用"</formula>
    </cfRule>
    <cfRule type="expression" dxfId="3788" priority="1488" stopIfTrue="1">
      <formula>$I3839="适用"</formula>
    </cfRule>
    <cfRule type="expression" dxfId="3787" priority="1489" stopIfTrue="1">
      <formula>$I3839="不适用"</formula>
    </cfRule>
  </conditionalFormatting>
  <conditionalFormatting sqref="Q3856">
    <cfRule type="expression" dxfId="3786" priority="4410" stopIfTrue="1">
      <formula>$Q3856="请输入"</formula>
    </cfRule>
  </conditionalFormatting>
  <conditionalFormatting sqref="I3866">
    <cfRule type="expression" dxfId="3785" priority="1472" stopIfTrue="1">
      <formula>$I3866="适用"</formula>
    </cfRule>
    <cfRule type="expression" dxfId="3784" priority="1473" stopIfTrue="1">
      <formula>$I3866="不适用"</formula>
    </cfRule>
  </conditionalFormatting>
  <conditionalFormatting sqref="Q3876">
    <cfRule type="expression" dxfId="3783" priority="4412" stopIfTrue="1">
      <formula>$Q3876="请输入"</formula>
    </cfRule>
  </conditionalFormatting>
  <conditionalFormatting sqref="G3878">
    <cfRule type="expression" dxfId="3782" priority="2160" stopIfTrue="1">
      <formula>$D3878&gt;1</formula>
    </cfRule>
    <cfRule type="expression" dxfId="3781" priority="2161" stopIfTrue="1">
      <formula>$C3878="%IN"</formula>
    </cfRule>
  </conditionalFormatting>
  <conditionalFormatting sqref="Q3886">
    <cfRule type="expression" dxfId="3780" priority="4413" stopIfTrue="1">
      <formula>$Q3886="请输入"</formula>
    </cfRule>
  </conditionalFormatting>
  <conditionalFormatting sqref="Q3927">
    <cfRule type="expression" dxfId="3779" priority="4414" stopIfTrue="1">
      <formula>$Q3927="请输入"</formula>
    </cfRule>
  </conditionalFormatting>
  <conditionalFormatting sqref="Q3937">
    <cfRule type="expression" dxfId="3778" priority="4415" stopIfTrue="1">
      <formula>$Q3937="请输入"</formula>
    </cfRule>
  </conditionalFormatting>
  <conditionalFormatting sqref="Q3947">
    <cfRule type="expression" dxfId="3777" priority="4416" stopIfTrue="1">
      <formula>$Q3947="请输入"</formula>
    </cfRule>
  </conditionalFormatting>
  <conditionalFormatting sqref="Q3957">
    <cfRule type="expression" dxfId="3776" priority="4417" stopIfTrue="1">
      <formula>$Q3957="请输入"</formula>
    </cfRule>
  </conditionalFormatting>
  <conditionalFormatting sqref="Q3968">
    <cfRule type="expression" dxfId="3775" priority="4418" stopIfTrue="1">
      <formula>$Q3968="请输入"</formula>
    </cfRule>
  </conditionalFormatting>
  <conditionalFormatting sqref="I3979">
    <cfRule type="expression" dxfId="3774" priority="2158" stopIfTrue="1">
      <formula>$I3979="适用"</formula>
    </cfRule>
    <cfRule type="expression" dxfId="3773" priority="2159" stopIfTrue="1">
      <formula>$I3979="不适用"</formula>
    </cfRule>
  </conditionalFormatting>
  <conditionalFormatting sqref="Q3979">
    <cfRule type="expression" dxfId="3772" priority="4419" stopIfTrue="1">
      <formula>$Q3979="请输入"</formula>
    </cfRule>
  </conditionalFormatting>
  <conditionalFormatting sqref="L3992">
    <cfRule type="expression" dxfId="3771" priority="4038">
      <formula>AND(L$3992&lt;&gt;0,L$3992&lt;&gt;"")</formula>
    </cfRule>
    <cfRule type="expression" dxfId="3770" priority="4039" stopIfTrue="1">
      <formula>L$3993&lt;&gt;"√"</formula>
    </cfRule>
  </conditionalFormatting>
  <conditionalFormatting sqref="Q3992">
    <cfRule type="expression" dxfId="3769" priority="4040">
      <formula>AND(Q$3992&lt;&gt;0,Q$3992&lt;&gt;"")</formula>
    </cfRule>
    <cfRule type="expression" dxfId="3768" priority="4041" stopIfTrue="1">
      <formula>Q$3993&lt;&gt;"√"</formula>
    </cfRule>
  </conditionalFormatting>
  <conditionalFormatting sqref="K3994">
    <cfRule type="expression" dxfId="3767" priority="4042">
      <formula>AND($K$3994&lt;&gt;0,$K$3994&lt;&gt;"")</formula>
    </cfRule>
    <cfRule type="expression" dxfId="3766" priority="4043" stopIfTrue="1">
      <formula>$L$3994&lt;&gt;"√"</formula>
    </cfRule>
  </conditionalFormatting>
  <conditionalFormatting sqref="Q3997">
    <cfRule type="expression" dxfId="3765" priority="4421" stopIfTrue="1">
      <formula>$Q3997="请输入"</formula>
    </cfRule>
  </conditionalFormatting>
  <conditionalFormatting sqref="I4010">
    <cfRule type="expression" dxfId="3764" priority="1754" stopIfTrue="1">
      <formula>$I4010="适用"</formula>
    </cfRule>
    <cfRule type="expression" dxfId="3763" priority="1755" stopIfTrue="1">
      <formula>$I4010="不适用"</formula>
    </cfRule>
  </conditionalFormatting>
  <conditionalFormatting sqref="I4020">
    <cfRule type="expression" dxfId="3762" priority="1480" stopIfTrue="1">
      <formula>$I4020="适用"</formula>
    </cfRule>
    <cfRule type="expression" dxfId="3761" priority="1481" stopIfTrue="1">
      <formula>$I4020="不适用"</formula>
    </cfRule>
  </conditionalFormatting>
  <conditionalFormatting sqref="I4030">
    <cfRule type="expression" dxfId="3760" priority="1748" stopIfTrue="1">
      <formula>$I4030="适用"</formula>
    </cfRule>
    <cfRule type="expression" dxfId="3759" priority="1749" stopIfTrue="1">
      <formula>$I4030="不适用"</formula>
    </cfRule>
  </conditionalFormatting>
  <conditionalFormatting sqref="I4051">
    <cfRule type="expression" dxfId="3758" priority="2152" stopIfTrue="1">
      <formula>$I4051="适用"</formula>
    </cfRule>
    <cfRule type="expression" dxfId="3757" priority="2153" stopIfTrue="1">
      <formula>$I4051="不适用"</formula>
    </cfRule>
  </conditionalFormatting>
  <conditionalFormatting sqref="Q4051">
    <cfRule type="expression" dxfId="3756" priority="4426" stopIfTrue="1">
      <formula>$Q4051="请输入"</formula>
    </cfRule>
  </conditionalFormatting>
  <conditionalFormatting sqref="Q4061">
    <cfRule type="expression" dxfId="3755" priority="4427" stopIfTrue="1">
      <formula>$Q4061="请输入"</formula>
    </cfRule>
  </conditionalFormatting>
  <conditionalFormatting sqref="I4074">
    <cfRule type="expression" dxfId="3754" priority="1880" stopIfTrue="1">
      <formula>$I4074="适用"</formula>
    </cfRule>
    <cfRule type="expression" dxfId="3753" priority="1881" stopIfTrue="1">
      <formula>$I4074="不适用"</formula>
    </cfRule>
  </conditionalFormatting>
  <conditionalFormatting sqref="Q4074">
    <cfRule type="expression" dxfId="3752" priority="4428" stopIfTrue="1">
      <formula>$Q4074="请输入"</formula>
    </cfRule>
  </conditionalFormatting>
  <conditionalFormatting sqref="Q4084">
    <cfRule type="expression" dxfId="3751" priority="4429" stopIfTrue="1">
      <formula>$Q4084="请输入"</formula>
    </cfRule>
  </conditionalFormatting>
  <conditionalFormatting sqref="I4107">
    <cfRule type="expression" dxfId="3750" priority="1092" stopIfTrue="1">
      <formula>$I4107="适用"</formula>
    </cfRule>
    <cfRule type="expression" dxfId="3749" priority="1093" stopIfTrue="1">
      <formula>$I4107="不适用"</formula>
    </cfRule>
  </conditionalFormatting>
  <conditionalFormatting sqref="I4113">
    <cfRule type="expression" dxfId="3748" priority="1067">
      <formula>$D4113&gt;1</formula>
    </cfRule>
    <cfRule type="expression" dxfId="3747" priority="1068">
      <formula>$C4113="%IN"</formula>
    </cfRule>
    <cfRule type="expression" dxfId="3746" priority="1069" stopIfTrue="1">
      <formula>$E4113=0</formula>
    </cfRule>
  </conditionalFormatting>
  <conditionalFormatting sqref="I4118">
    <cfRule type="expression" dxfId="3745" priority="2514" stopIfTrue="1">
      <formula>$I4118="适用"</formula>
    </cfRule>
    <cfRule type="expression" dxfId="3744" priority="2515" stopIfTrue="1">
      <formula>$I4118="不适用"</formula>
    </cfRule>
  </conditionalFormatting>
  <conditionalFormatting sqref="Q4118">
    <cfRule type="expression" dxfId="3743" priority="4430" stopIfTrue="1">
      <formula>$Q4118="请输入"</formula>
    </cfRule>
  </conditionalFormatting>
  <conditionalFormatting sqref="I4136">
    <cfRule type="expression" dxfId="3742" priority="1950" stopIfTrue="1">
      <formula>$I4136="适用"</formula>
    </cfRule>
    <cfRule type="expression" dxfId="3741" priority="1951" stopIfTrue="1">
      <formula>$I4136="不适用"</formula>
    </cfRule>
  </conditionalFormatting>
  <conditionalFormatting sqref="Q4136">
    <cfRule type="expression" dxfId="3740" priority="4431" stopIfTrue="1">
      <formula>$Q4136="请输入"</formula>
    </cfRule>
  </conditionalFormatting>
  <conditionalFormatting sqref="I4168">
    <cfRule type="expression" dxfId="3739" priority="2136" stopIfTrue="1">
      <formula>$I4168="适用"</formula>
    </cfRule>
    <cfRule type="expression" dxfId="3738" priority="2137" stopIfTrue="1">
      <formula>$I4168="不适用"</formula>
    </cfRule>
  </conditionalFormatting>
  <conditionalFormatting sqref="Q4168">
    <cfRule type="expression" dxfId="3737" priority="4432" stopIfTrue="1">
      <formula>$Q4168="请输入"</formula>
    </cfRule>
  </conditionalFormatting>
  <conditionalFormatting sqref="Q4178">
    <cfRule type="expression" dxfId="3736" priority="4433" stopIfTrue="1">
      <formula>$Q4178="请输入"</formula>
    </cfRule>
  </conditionalFormatting>
  <conditionalFormatting sqref="Q4198">
    <cfRule type="expression" dxfId="3735" priority="4434" stopIfTrue="1">
      <formula>$Q4198="请输入"</formula>
    </cfRule>
  </conditionalFormatting>
  <conditionalFormatting sqref="Q4213">
    <cfRule type="expression" dxfId="3734" priority="4435" stopIfTrue="1">
      <formula>$Q4213="请输入"</formula>
    </cfRule>
  </conditionalFormatting>
  <conditionalFormatting sqref="Q4222">
    <cfRule type="expression" dxfId="3733" priority="4438" stopIfTrue="1">
      <formula>$Q4222="请输入"</formula>
    </cfRule>
  </conditionalFormatting>
  <conditionalFormatting sqref="Q4233">
    <cfRule type="expression" dxfId="3732" priority="4439" stopIfTrue="1">
      <formula>$Q4233="请输入"</formula>
    </cfRule>
  </conditionalFormatting>
  <conditionalFormatting sqref="Q4247">
    <cfRule type="expression" dxfId="3731" priority="4442" stopIfTrue="1">
      <formula>$Q4247="请输入"</formula>
    </cfRule>
  </conditionalFormatting>
  <conditionalFormatting sqref="I4261">
    <cfRule type="expression" dxfId="3730" priority="2132" stopIfTrue="1">
      <formula>$I4261="适用"</formula>
    </cfRule>
    <cfRule type="expression" dxfId="3729" priority="2133" stopIfTrue="1">
      <formula>$I4261="不适用"</formula>
    </cfRule>
  </conditionalFormatting>
  <conditionalFormatting sqref="Q4261">
    <cfRule type="expression" dxfId="3728" priority="4443" stopIfTrue="1">
      <formula>$Q4261="请输入"</formula>
    </cfRule>
  </conditionalFormatting>
  <conditionalFormatting sqref="I4269">
    <cfRule type="expression" dxfId="3727" priority="2118" stopIfTrue="1">
      <formula>$I4269="适用"</formula>
    </cfRule>
    <cfRule type="expression" dxfId="3726" priority="2119" stopIfTrue="1">
      <formula>$I4269="不适用"</formula>
    </cfRule>
  </conditionalFormatting>
  <conditionalFormatting sqref="Q4269">
    <cfRule type="expression" dxfId="3725" priority="4444" stopIfTrue="1">
      <formula>$Q4269="请输入"</formula>
    </cfRule>
  </conditionalFormatting>
  <conditionalFormatting sqref="Q4287">
    <cfRule type="expression" dxfId="3724" priority="4445" stopIfTrue="1">
      <formula>$Q4287="请输入"</formula>
    </cfRule>
  </conditionalFormatting>
  <conditionalFormatting sqref="I4297">
    <cfRule type="expression" dxfId="3723" priority="1928" stopIfTrue="1">
      <formula>$I4297="适用"</formula>
    </cfRule>
    <cfRule type="expression" dxfId="3722" priority="1929" stopIfTrue="1">
      <formula>$I4297="不适用"</formula>
    </cfRule>
  </conditionalFormatting>
  <conditionalFormatting sqref="Q4308">
    <cfRule type="expression" dxfId="3721" priority="4446" stopIfTrue="1">
      <formula>$Q4308="请输入"</formula>
    </cfRule>
  </conditionalFormatting>
  <conditionalFormatting sqref="I4330">
    <cfRule type="expression" dxfId="3720" priority="1872" stopIfTrue="1">
      <formula>$I4330="适用"</formula>
    </cfRule>
    <cfRule type="expression" dxfId="3719" priority="1873" stopIfTrue="1">
      <formula>$I4330="不适用"</formula>
    </cfRule>
  </conditionalFormatting>
  <conditionalFormatting sqref="Q4330">
    <cfRule type="expression" dxfId="3718" priority="4448" stopIfTrue="1">
      <formula>$Q4330="请输入"</formula>
    </cfRule>
  </conditionalFormatting>
  <conditionalFormatting sqref="I4340">
    <cfRule type="expression" dxfId="3717" priority="2068" stopIfTrue="1">
      <formula>$I4340="适用"</formula>
    </cfRule>
    <cfRule type="expression" dxfId="3716" priority="2069" stopIfTrue="1">
      <formula>$I4340="不适用"</formula>
    </cfRule>
  </conditionalFormatting>
  <conditionalFormatting sqref="Q4340">
    <cfRule type="expression" dxfId="3715" priority="4449" stopIfTrue="1">
      <formula>$Q4340="请输入"</formula>
    </cfRule>
  </conditionalFormatting>
  <conditionalFormatting sqref="Q4351">
    <cfRule type="expression" dxfId="3714" priority="4451" stopIfTrue="1">
      <formula>$Q4351="请输入"</formula>
    </cfRule>
  </conditionalFormatting>
  <conditionalFormatting sqref="I4367">
    <cfRule type="expression" dxfId="3713" priority="610" stopIfTrue="1">
      <formula>$I4367="适用"</formula>
    </cfRule>
    <cfRule type="expression" dxfId="3712" priority="611" stopIfTrue="1">
      <formula>$I4367="不适用"</formula>
    </cfRule>
  </conditionalFormatting>
  <conditionalFormatting sqref="Q4392">
    <cfRule type="expression" dxfId="3711" priority="4453" stopIfTrue="1">
      <formula>$Q4392="请输入"</formula>
    </cfRule>
  </conditionalFormatting>
  <conditionalFormatting sqref="I4424">
    <cfRule type="expression" dxfId="3710" priority="595" stopIfTrue="1">
      <formula>$I4424="适用"</formula>
    </cfRule>
    <cfRule type="expression" dxfId="3709" priority="596" stopIfTrue="1">
      <formula>$I4424="不适用"</formula>
    </cfRule>
  </conditionalFormatting>
  <conditionalFormatting sqref="Q4437">
    <cfRule type="expression" dxfId="3708" priority="4455" stopIfTrue="1">
      <formula>$Q4437="请输入"</formula>
    </cfRule>
  </conditionalFormatting>
  <conditionalFormatting sqref="Q4457">
    <cfRule type="expression" dxfId="3707" priority="4457" stopIfTrue="1">
      <formula>$Q4457="请输入"</formula>
    </cfRule>
  </conditionalFormatting>
  <conditionalFormatting sqref="I4488">
    <cfRule type="expression" dxfId="3706" priority="592" stopIfTrue="1">
      <formula>$I4488="适用"</formula>
    </cfRule>
    <cfRule type="expression" dxfId="3705" priority="593" stopIfTrue="1">
      <formula>$I4488="不适用"</formula>
    </cfRule>
  </conditionalFormatting>
  <conditionalFormatting sqref="Q4498">
    <cfRule type="expression" dxfId="3704" priority="4459" stopIfTrue="1">
      <formula>$Q4498="请输入"</formula>
    </cfRule>
  </conditionalFormatting>
  <conditionalFormatting sqref="Q4507">
    <cfRule type="expression" dxfId="3703" priority="4460" stopIfTrue="1">
      <formula>$Q4507="请输入"</formula>
    </cfRule>
  </conditionalFormatting>
  <conditionalFormatting sqref="Q4516">
    <cfRule type="expression" dxfId="3702" priority="4461" stopIfTrue="1">
      <formula>$Q4516="请输入"</formula>
    </cfRule>
  </conditionalFormatting>
  <conditionalFormatting sqref="H4536">
    <cfRule type="expression" dxfId="3701" priority="4076">
      <formula>AND(H$4536&lt;&gt;0,H$4536&lt;&gt;"")</formula>
    </cfRule>
    <cfRule type="expression" dxfId="3700" priority="4077" stopIfTrue="1">
      <formula>H$4537&lt;&gt;"√"</formula>
    </cfRule>
  </conditionalFormatting>
  <conditionalFormatting sqref="I4536">
    <cfRule type="expression" dxfId="3699" priority="4078">
      <formula>AND(I$4536&lt;&gt;0,I$4536&lt;&gt;"")</formula>
    </cfRule>
    <cfRule type="expression" dxfId="3698" priority="4079" stopIfTrue="1">
      <formula>I$4537&lt;&gt;"√"</formula>
    </cfRule>
  </conditionalFormatting>
  <conditionalFormatting sqref="J4536">
    <cfRule type="expression" dxfId="3697" priority="4080">
      <formula>AND(J$4536&lt;&gt;0,J$4536&lt;&gt;"")</formula>
    </cfRule>
    <cfRule type="expression" dxfId="3696" priority="4081" stopIfTrue="1">
      <formula>J$4537&lt;&gt;"√"</formula>
    </cfRule>
  </conditionalFormatting>
  <conditionalFormatting sqref="K4536">
    <cfRule type="expression" dxfId="3695" priority="4082">
      <formula>AND(K$4536&lt;&gt;0,K$4536&lt;&gt;"")</formula>
    </cfRule>
    <cfRule type="expression" dxfId="3694" priority="4083" stopIfTrue="1">
      <formula>K$4537&lt;&gt;"√"</formula>
    </cfRule>
  </conditionalFormatting>
  <conditionalFormatting sqref="K4538">
    <cfRule type="expression" dxfId="3693" priority="4084">
      <formula>AND($K$4538&lt;&gt;0,$K$4538&lt;&gt;"")</formula>
    </cfRule>
    <cfRule type="expression" dxfId="3692" priority="4085" stopIfTrue="1">
      <formula>$L$4538&lt;&gt;"√"</formula>
    </cfRule>
  </conditionalFormatting>
  <conditionalFormatting sqref="Q4540">
    <cfRule type="expression" dxfId="3691" priority="4462" stopIfTrue="1">
      <formula>$Q4540="请输入"</formula>
    </cfRule>
  </conditionalFormatting>
  <conditionalFormatting sqref="H4559">
    <cfRule type="expression" dxfId="3690" priority="4086">
      <formula>AND(H$4559&lt;&gt;0,H$4559&lt;&gt;"")</formula>
    </cfRule>
    <cfRule type="expression" dxfId="3689" priority="4087" stopIfTrue="1">
      <formula>H$4560&lt;&gt;"√"</formula>
    </cfRule>
  </conditionalFormatting>
  <conditionalFormatting sqref="I4559">
    <cfRule type="expression" dxfId="3688" priority="4088">
      <formula>AND(I$4559&lt;&gt;0,I$4559&lt;&gt;"")</formula>
    </cfRule>
    <cfRule type="expression" dxfId="3687" priority="4089" stopIfTrue="1">
      <formula>I$4560&lt;&gt;"√"</formula>
    </cfRule>
  </conditionalFormatting>
  <conditionalFormatting sqref="J4559">
    <cfRule type="expression" dxfId="3686" priority="4090">
      <formula>AND(J$4559&lt;&gt;0,J$4559&lt;&gt;"")</formula>
    </cfRule>
    <cfRule type="expression" dxfId="3685" priority="4091" stopIfTrue="1">
      <formula>J$4560&lt;&gt;"√"</formula>
    </cfRule>
  </conditionalFormatting>
  <conditionalFormatting sqref="K4559">
    <cfRule type="expression" dxfId="3684" priority="4092">
      <formula>AND(K$4559&lt;&gt;0,K$4559&lt;&gt;"")</formula>
    </cfRule>
    <cfRule type="expression" dxfId="3683" priority="4093" stopIfTrue="1">
      <formula>K$4560&lt;&gt;"√"</formula>
    </cfRule>
  </conditionalFormatting>
  <conditionalFormatting sqref="K4561">
    <cfRule type="expression" dxfId="3682" priority="4094">
      <formula>AND($K$4561&lt;&gt;0,$K$4561&lt;&gt;"")</formula>
    </cfRule>
    <cfRule type="expression" dxfId="3681" priority="4095" stopIfTrue="1">
      <formula>$L$4561&lt;&gt;"√"</formula>
    </cfRule>
  </conditionalFormatting>
  <conditionalFormatting sqref="Q4563">
    <cfRule type="expression" dxfId="3680" priority="4463" stopIfTrue="1">
      <formula>$Q4563="请输入"</formula>
    </cfRule>
  </conditionalFormatting>
  <conditionalFormatting sqref="H4578">
    <cfRule type="expression" dxfId="3679" priority="4096">
      <formula>AND(H$4578&lt;&gt;0,H$4578&lt;&gt;"")</formula>
    </cfRule>
    <cfRule type="expression" dxfId="3678" priority="4097" stopIfTrue="1">
      <formula>H$4579&lt;&gt;"√"</formula>
    </cfRule>
  </conditionalFormatting>
  <conditionalFormatting sqref="I4578">
    <cfRule type="expression" dxfId="3677" priority="4098">
      <formula>AND(I$4578&lt;&gt;0,I$4578&lt;&gt;"")</formula>
    </cfRule>
    <cfRule type="expression" dxfId="3676" priority="4099" stopIfTrue="1">
      <formula>I$4579&lt;&gt;"√"</formula>
    </cfRule>
  </conditionalFormatting>
  <conditionalFormatting sqref="J4578">
    <cfRule type="expression" dxfId="3675" priority="4100">
      <formula>AND(J$4578&lt;&gt;0,J$4578&lt;&gt;"")</formula>
    </cfRule>
    <cfRule type="expression" dxfId="3674" priority="4101" stopIfTrue="1">
      <formula>J$4579&lt;&gt;"√"</formula>
    </cfRule>
  </conditionalFormatting>
  <conditionalFormatting sqref="K4578">
    <cfRule type="expression" dxfId="3673" priority="4102">
      <formula>AND(K$4578&lt;&gt;0,K$4578&lt;&gt;"")</formula>
    </cfRule>
    <cfRule type="expression" dxfId="3672" priority="4103" stopIfTrue="1">
      <formula>K$4579&lt;&gt;"√"</formula>
    </cfRule>
  </conditionalFormatting>
  <conditionalFormatting sqref="K4580">
    <cfRule type="expression" dxfId="3671" priority="4104">
      <formula>AND($K$4580&lt;&gt;0,$K$4580&lt;&gt;"")</formula>
    </cfRule>
    <cfRule type="expression" dxfId="3670" priority="4105" stopIfTrue="1">
      <formula>$L$4580&lt;&gt;"√"</formula>
    </cfRule>
  </conditionalFormatting>
  <conditionalFormatting sqref="I4582">
    <cfRule type="expression" dxfId="3669" priority="1742" stopIfTrue="1">
      <formula>$I4582="适用"</formula>
    </cfRule>
    <cfRule type="expression" dxfId="3668" priority="1743" stopIfTrue="1">
      <formula>$I4582="不适用"</formula>
    </cfRule>
  </conditionalFormatting>
  <conditionalFormatting sqref="I4597">
    <cfRule type="expression" dxfId="3667" priority="1736" stopIfTrue="1">
      <formula>$I4597="适用"</formula>
    </cfRule>
    <cfRule type="expression" dxfId="3666" priority="1737" stopIfTrue="1">
      <formula>$I4597="不适用"</formula>
    </cfRule>
  </conditionalFormatting>
  <conditionalFormatting sqref="Q4633">
    <cfRule type="expression" dxfId="3665" priority="4464" stopIfTrue="1">
      <formula>$Q4633="请输入"</formula>
    </cfRule>
  </conditionalFormatting>
  <conditionalFormatting sqref="I4652">
    <cfRule type="expression" dxfId="3664" priority="1392" stopIfTrue="1">
      <formula>$I4652="适用"</formula>
    </cfRule>
    <cfRule type="expression" dxfId="3663" priority="1393" stopIfTrue="1">
      <formula>$I4652="不适用"</formula>
    </cfRule>
  </conditionalFormatting>
  <conditionalFormatting sqref="Q4663">
    <cfRule type="expression" dxfId="3662" priority="4465" stopIfTrue="1">
      <formula>$Q4663="请输入"</formula>
    </cfRule>
  </conditionalFormatting>
  <conditionalFormatting sqref="I4683">
    <cfRule type="expression" dxfId="3661" priority="1386" stopIfTrue="1">
      <formula>$I4683="适用"</formula>
    </cfRule>
    <cfRule type="expression" dxfId="3660" priority="1387" stopIfTrue="1">
      <formula>$I4683="不适用"</formula>
    </cfRule>
  </conditionalFormatting>
  <conditionalFormatting sqref="Q4694">
    <cfRule type="expression" dxfId="3659" priority="4466" stopIfTrue="1">
      <formula>$Q4694="请输入"</formula>
    </cfRule>
  </conditionalFormatting>
  <conditionalFormatting sqref="I4714">
    <cfRule type="expression" dxfId="3658" priority="1378" stopIfTrue="1">
      <formula>$I4714="适用"</formula>
    </cfRule>
    <cfRule type="expression" dxfId="3657" priority="1379" stopIfTrue="1">
      <formula>$I4714="不适用"</formula>
    </cfRule>
  </conditionalFormatting>
  <conditionalFormatting sqref="I4725">
    <cfRule type="expression" dxfId="3656" priority="1087" stopIfTrue="1">
      <formula>$I4725="适用"</formula>
    </cfRule>
    <cfRule type="expression" dxfId="3655" priority="1088" stopIfTrue="1">
      <formula>$I4725="不适用"</formula>
    </cfRule>
  </conditionalFormatting>
  <conditionalFormatting sqref="Q4750">
    <cfRule type="expression" dxfId="3654" priority="4467" stopIfTrue="1">
      <formula>$Q4750="请输入"</formula>
    </cfRule>
  </conditionalFormatting>
  <conditionalFormatting sqref="I4765">
    <cfRule type="expression" dxfId="3653" priority="1372" stopIfTrue="1">
      <formula>$I4765="适用"</formula>
    </cfRule>
    <cfRule type="expression" dxfId="3652" priority="1373" stopIfTrue="1">
      <formula>$I4765="不适用"</formula>
    </cfRule>
  </conditionalFormatting>
  <conditionalFormatting sqref="Q4877">
    <cfRule type="expression" dxfId="3651" priority="4468" stopIfTrue="1">
      <formula>$Q4877="请输入"</formula>
    </cfRule>
  </conditionalFormatting>
  <conditionalFormatting sqref="I4899">
    <cfRule type="expression" dxfId="3650" priority="1165" stopIfTrue="1">
      <formula>$I4899="适用"</formula>
    </cfRule>
    <cfRule type="expression" dxfId="3649" priority="1166" stopIfTrue="1">
      <formula>$I4899="不适用"</formula>
    </cfRule>
  </conditionalFormatting>
  <conditionalFormatting sqref="Q4914">
    <cfRule type="expression" dxfId="3648" priority="4471" stopIfTrue="1">
      <formula>$Q4914="请输入"</formula>
    </cfRule>
  </conditionalFormatting>
  <conditionalFormatting sqref="Q4927">
    <cfRule type="expression" dxfId="3647" priority="4472" stopIfTrue="1">
      <formula>$Q4927="请输入"</formula>
    </cfRule>
  </conditionalFormatting>
  <conditionalFormatting sqref="H4940">
    <cfRule type="expression" dxfId="3646" priority="4106">
      <formula>AND(H$4940&lt;&gt;0,H$4940&lt;&gt;"")</formula>
    </cfRule>
    <cfRule type="expression" dxfId="3645" priority="4107" stopIfTrue="1">
      <formula>H$4941&lt;&gt;"√"</formula>
    </cfRule>
  </conditionalFormatting>
  <conditionalFormatting sqref="I4940">
    <cfRule type="expression" dxfId="3644" priority="4108">
      <formula>AND(I$4940&lt;&gt;0,I$4940&lt;&gt;"")</formula>
    </cfRule>
    <cfRule type="expression" dxfId="3643" priority="4109" stopIfTrue="1">
      <formula>I$4941&lt;&gt;"√"</formula>
    </cfRule>
  </conditionalFormatting>
  <conditionalFormatting sqref="K4942">
    <cfRule type="expression" dxfId="3642" priority="4110">
      <formula>AND($K$4942&lt;&gt;0,$K$4942&lt;&gt;"")</formula>
    </cfRule>
    <cfRule type="expression" dxfId="3641" priority="4111" stopIfTrue="1">
      <formula>$L$4942&lt;&gt;"√"</formula>
    </cfRule>
  </conditionalFormatting>
  <conditionalFormatting sqref="Q4945">
    <cfRule type="expression" dxfId="3640" priority="4473" stopIfTrue="1">
      <formula>$Q4945="请输入"</formula>
    </cfRule>
  </conditionalFormatting>
  <conditionalFormatting sqref="Q4958">
    <cfRule type="expression" dxfId="3639" priority="4474" stopIfTrue="1">
      <formula>$Q4958="请输入"</formula>
    </cfRule>
  </conditionalFormatting>
  <conditionalFormatting sqref="Q4966">
    <cfRule type="expression" dxfId="3638" priority="4475" stopIfTrue="1">
      <formula>$Q4966="请输入"</formula>
    </cfRule>
  </conditionalFormatting>
  <conditionalFormatting sqref="I4985">
    <cfRule type="expression" dxfId="3637" priority="1364" stopIfTrue="1">
      <formula>$I4985="适用"</formula>
    </cfRule>
    <cfRule type="expression" dxfId="3636" priority="1365" stopIfTrue="1">
      <formula>$I4985="不适用"</formula>
    </cfRule>
  </conditionalFormatting>
  <conditionalFormatting sqref="I4999">
    <cfRule type="expression" dxfId="3635" priority="1358" stopIfTrue="1">
      <formula>$I4999="适用"</formula>
    </cfRule>
    <cfRule type="expression" dxfId="3634" priority="1359" stopIfTrue="1">
      <formula>$I4999="不适用"</formula>
    </cfRule>
  </conditionalFormatting>
  <conditionalFormatting sqref="I5009">
    <cfRule type="expression" dxfId="3633" priority="1352" stopIfTrue="1">
      <formula>$I5009="适用"</formula>
    </cfRule>
    <cfRule type="expression" dxfId="3632" priority="1353" stopIfTrue="1">
      <formula>$I5009="不适用"</formula>
    </cfRule>
  </conditionalFormatting>
  <conditionalFormatting sqref="Q5021">
    <cfRule type="expression" dxfId="3631" priority="4476" stopIfTrue="1">
      <formula>$Q5021="请输入"</formula>
    </cfRule>
  </conditionalFormatting>
  <conditionalFormatting sqref="Q5037">
    <cfRule type="expression" dxfId="3630" priority="4477" stopIfTrue="1">
      <formula>$Q5037="请输入"</formula>
    </cfRule>
  </conditionalFormatting>
  <conditionalFormatting sqref="Q5053">
    <cfRule type="expression" dxfId="3629" priority="4478" stopIfTrue="1">
      <formula>$Q5053="请输入"</formula>
    </cfRule>
  </conditionalFormatting>
  <conditionalFormatting sqref="Q5064">
    <cfRule type="expression" dxfId="3628" priority="4479" stopIfTrue="1">
      <formula>$Q5064="请输入"</formula>
    </cfRule>
  </conditionalFormatting>
  <conditionalFormatting sqref="Q5075">
    <cfRule type="expression" dxfId="3627" priority="4480" stopIfTrue="1">
      <formula>$Q5075="请输入"</formula>
    </cfRule>
  </conditionalFormatting>
  <conditionalFormatting sqref="Q5086">
    <cfRule type="expression" dxfId="3626" priority="4481" stopIfTrue="1">
      <formula>$Q5086="请输入"</formula>
    </cfRule>
  </conditionalFormatting>
  <conditionalFormatting sqref="Q5097">
    <cfRule type="expression" dxfId="3625" priority="4482" stopIfTrue="1">
      <formula>$Q5097="请输入"</formula>
    </cfRule>
  </conditionalFormatting>
  <conditionalFormatting sqref="Q5128">
    <cfRule type="expression" dxfId="3624" priority="4483" stopIfTrue="1">
      <formula>$Q5128="请输入"</formula>
    </cfRule>
  </conditionalFormatting>
  <conditionalFormatting sqref="Q5157">
    <cfRule type="expression" dxfId="3623" priority="4484" stopIfTrue="1">
      <formula>$Q5157="请输入"</formula>
    </cfRule>
  </conditionalFormatting>
  <conditionalFormatting sqref="I5184">
    <cfRule type="expression" dxfId="3622" priority="1922" stopIfTrue="1">
      <formula>$I5184="适用"</formula>
    </cfRule>
    <cfRule type="expression" dxfId="3621" priority="1923" stopIfTrue="1">
      <formula>$I5184="不适用"</formula>
    </cfRule>
  </conditionalFormatting>
  <conditionalFormatting sqref="I5209">
    <cfRule type="expression" dxfId="3620" priority="1914" stopIfTrue="1">
      <formula>$I5209="适用"</formula>
    </cfRule>
    <cfRule type="expression" dxfId="3619" priority="1915" stopIfTrue="1">
      <formula>$I5209="不适用"</formula>
    </cfRule>
  </conditionalFormatting>
  <conditionalFormatting sqref="I5320">
    <cfRule type="expression" dxfId="3618" priority="569" stopIfTrue="1">
      <formula>$I5320="适用"</formula>
    </cfRule>
    <cfRule type="expression" dxfId="3617" priority="570" stopIfTrue="1">
      <formula>$I5320="不适用"</formula>
    </cfRule>
  </conditionalFormatting>
  <conditionalFormatting sqref="I5337">
    <cfRule type="expression" dxfId="3616" priority="566" stopIfTrue="1">
      <formula>$I5337="适用"</formula>
    </cfRule>
    <cfRule type="expression" dxfId="3615" priority="567" stopIfTrue="1">
      <formula>$I5337="不适用"</formula>
    </cfRule>
  </conditionalFormatting>
  <conditionalFormatting sqref="G5296:G5304">
    <cfRule type="expression" dxfId="3614" priority="557">
      <formula>$D5296&gt;1</formula>
    </cfRule>
    <cfRule type="expression" dxfId="3613" priority="558">
      <formula>$C5296="%IN"</formula>
    </cfRule>
    <cfRule type="expression" dxfId="3612" priority="559" stopIfTrue="1">
      <formula>$E5296=0</formula>
    </cfRule>
  </conditionalFormatting>
  <conditionalFormatting sqref="I5354">
    <cfRule type="expression" dxfId="3611" priority="560" stopIfTrue="1">
      <formula>$I5354="适用"</formula>
    </cfRule>
    <cfRule type="expression" dxfId="3610" priority="561" stopIfTrue="1">
      <formula>$I5354="不适用"</formula>
    </cfRule>
  </conditionalFormatting>
  <conditionalFormatting sqref="I5370">
    <cfRule type="expression" dxfId="3609" priority="551" stopIfTrue="1">
      <formula>$I5370="适用"</formula>
    </cfRule>
    <cfRule type="expression" dxfId="3608" priority="552" stopIfTrue="1">
      <formula>$I5370="不适用"</formula>
    </cfRule>
  </conditionalFormatting>
  <conditionalFormatting sqref="I5386">
    <cfRule type="expression" dxfId="3607" priority="545" stopIfTrue="1">
      <formula>$I5386="适用"</formula>
    </cfRule>
    <cfRule type="expression" dxfId="3606" priority="546" stopIfTrue="1">
      <formula>$I5386="不适用"</formula>
    </cfRule>
  </conditionalFormatting>
  <conditionalFormatting sqref="I5420">
    <cfRule type="expression" dxfId="3605" priority="542" stopIfTrue="1">
      <formula>$I5420="适用"</formula>
    </cfRule>
    <cfRule type="expression" dxfId="3604" priority="543" stopIfTrue="1">
      <formula>$I5420="不适用"</formula>
    </cfRule>
  </conditionalFormatting>
  <conditionalFormatting sqref="I5455">
    <cfRule type="expression" dxfId="3603" priority="1858" stopIfTrue="1">
      <formula>$I5455="适用"</formula>
    </cfRule>
    <cfRule type="expression" dxfId="3602" priority="1859" stopIfTrue="1">
      <formula>$I5455="不适用"</formula>
    </cfRule>
  </conditionalFormatting>
  <conditionalFormatting sqref="I5549">
    <cfRule type="expression" dxfId="3601" priority="539" stopIfTrue="1">
      <formula>$I5549="适用"</formula>
    </cfRule>
    <cfRule type="expression" dxfId="3600" priority="540" stopIfTrue="1">
      <formula>$I5549="不适用"</formula>
    </cfRule>
  </conditionalFormatting>
  <conditionalFormatting sqref="I5558">
    <cfRule type="expression" dxfId="3599" priority="536" stopIfTrue="1">
      <formula>$I5558="适用"</formula>
    </cfRule>
    <cfRule type="expression" dxfId="3598" priority="537" stopIfTrue="1">
      <formula>$I5558="不适用"</formula>
    </cfRule>
  </conditionalFormatting>
  <conditionalFormatting sqref="I5576">
    <cfRule type="expression" dxfId="3597" priority="1822" stopIfTrue="1">
      <formula>$I5576="适用"</formula>
    </cfRule>
    <cfRule type="expression" dxfId="3596" priority="1823" stopIfTrue="1">
      <formula>$I5576="不适用"</formula>
    </cfRule>
  </conditionalFormatting>
  <conditionalFormatting sqref="G5586">
    <cfRule type="expression" dxfId="3595" priority="531" stopIfTrue="1">
      <formula>$D5586&gt;1</formula>
    </cfRule>
    <cfRule type="expression" dxfId="3594" priority="532" stopIfTrue="1">
      <formula>$C5586="%IN"</formula>
    </cfRule>
  </conditionalFormatting>
  <conditionalFormatting sqref="G5587">
    <cfRule type="expression" dxfId="3593" priority="529" stopIfTrue="1">
      <formula>$D5587&gt;1</formula>
    </cfRule>
    <cfRule type="expression" dxfId="3592" priority="530" stopIfTrue="1">
      <formula>$C5587="%IN"</formula>
    </cfRule>
  </conditionalFormatting>
  <conditionalFormatting sqref="G5588">
    <cfRule type="expression" dxfId="3591" priority="527" stopIfTrue="1">
      <formula>$D5588&gt;1</formula>
    </cfRule>
    <cfRule type="expression" dxfId="3590" priority="528" stopIfTrue="1">
      <formula>$C5588="%IN"</formula>
    </cfRule>
  </conditionalFormatting>
  <conditionalFormatting sqref="I5775">
    <cfRule type="expression" dxfId="3589" priority="1160" stopIfTrue="1">
      <formula>$I5775="适用"</formula>
    </cfRule>
    <cfRule type="expression" dxfId="3588" priority="1161" stopIfTrue="1">
      <formula>$I5775="不适用"</formula>
    </cfRule>
  </conditionalFormatting>
  <conditionalFormatting sqref="I5805">
    <cfRule type="expression" dxfId="3587" priority="1904" stopIfTrue="1">
      <formula>$I5805="适用"</formula>
    </cfRule>
    <cfRule type="expression" dxfId="3586" priority="1905" stopIfTrue="1">
      <formula>$I5805="不适用"</formula>
    </cfRule>
  </conditionalFormatting>
  <conditionalFormatting sqref="I5837">
    <cfRule type="expression" dxfId="3585" priority="1896" stopIfTrue="1">
      <formula>$I5837="适用"</formula>
    </cfRule>
    <cfRule type="expression" dxfId="3584" priority="1897" stopIfTrue="1">
      <formula>$I5837="不适用"</formula>
    </cfRule>
  </conditionalFormatting>
  <conditionalFormatting sqref="I5847">
    <cfRule type="expression" dxfId="3583" priority="1890" stopIfTrue="1">
      <formula>$I5847="适用"</formula>
    </cfRule>
    <cfRule type="expression" dxfId="3582" priority="1891" stopIfTrue="1">
      <formula>$I5847="不适用"</formula>
    </cfRule>
  </conditionalFormatting>
  <conditionalFormatting sqref="I5857">
    <cfRule type="expression" dxfId="3581" priority="1884" stopIfTrue="1">
      <formula>$I5857="适用"</formula>
    </cfRule>
    <cfRule type="expression" dxfId="3580" priority="1885" stopIfTrue="1">
      <formula>$I5857="不适用"</formula>
    </cfRule>
  </conditionalFormatting>
  <conditionalFormatting sqref="I5869">
    <cfRule type="expression" dxfId="3579" priority="1528" stopIfTrue="1">
      <formula>$I5869="适用"</formula>
    </cfRule>
    <cfRule type="expression" dxfId="3578" priority="1529" stopIfTrue="1">
      <formula>$I5869="不适用"</formula>
    </cfRule>
  </conditionalFormatting>
  <conditionalFormatting sqref="I5880">
    <cfRule type="expression" dxfId="3577" priority="1534" stopIfTrue="1">
      <formula>$I5880="适用"</formula>
    </cfRule>
    <cfRule type="expression" dxfId="3576" priority="1535" stopIfTrue="1">
      <formula>$I5880="不适用"</formula>
    </cfRule>
  </conditionalFormatting>
  <conditionalFormatting sqref="I5891">
    <cfRule type="expression" dxfId="3575" priority="1544" stopIfTrue="1">
      <formula>$I5891="适用"</formula>
    </cfRule>
    <cfRule type="expression" dxfId="3574" priority="1545" stopIfTrue="1">
      <formula>$I5891="不适用"</formula>
    </cfRule>
  </conditionalFormatting>
  <conditionalFormatting sqref="I5902">
    <cfRule type="expression" dxfId="3573" priority="1554" stopIfTrue="1">
      <formula>$I5902="适用"</formula>
    </cfRule>
    <cfRule type="expression" dxfId="3572" priority="1555" stopIfTrue="1">
      <formula>$I5902="不适用"</formula>
    </cfRule>
  </conditionalFormatting>
  <conditionalFormatting sqref="I5913">
    <cfRule type="expression" dxfId="3571" priority="1564" stopIfTrue="1">
      <formula>$I5913="适用"</formula>
    </cfRule>
    <cfRule type="expression" dxfId="3570" priority="1565" stopIfTrue="1">
      <formula>$I5913="不适用"</formula>
    </cfRule>
  </conditionalFormatting>
  <conditionalFormatting sqref="I5924">
    <cfRule type="expression" dxfId="3569" priority="1574" stopIfTrue="1">
      <formula>$I5924="适用"</formula>
    </cfRule>
    <cfRule type="expression" dxfId="3568" priority="1575" stopIfTrue="1">
      <formula>$I5924="不适用"</formula>
    </cfRule>
  </conditionalFormatting>
  <conditionalFormatting sqref="I5935">
    <cfRule type="expression" dxfId="3567" priority="1588" stopIfTrue="1">
      <formula>$I5935="适用"</formula>
    </cfRule>
    <cfRule type="expression" dxfId="3566" priority="1589" stopIfTrue="1">
      <formula>$I5935="不适用"</formula>
    </cfRule>
  </conditionalFormatting>
  <conditionalFormatting sqref="I5946">
    <cfRule type="expression" dxfId="3565" priority="1598" stopIfTrue="1">
      <formula>$I5946="适用"</formula>
    </cfRule>
    <cfRule type="expression" dxfId="3564" priority="1599" stopIfTrue="1">
      <formula>$I5946="不适用"</formula>
    </cfRule>
  </conditionalFormatting>
  <conditionalFormatting sqref="I5957">
    <cfRule type="expression" dxfId="3563" priority="1604" stopIfTrue="1">
      <formula>$I5957="适用"</formula>
    </cfRule>
    <cfRule type="expression" dxfId="3562" priority="1605" stopIfTrue="1">
      <formula>$I5957="不适用"</formula>
    </cfRule>
  </conditionalFormatting>
  <conditionalFormatting sqref="I5997">
    <cfRule type="expression" dxfId="3561" priority="1626" stopIfTrue="1">
      <formula>$I5997="适用"</formula>
    </cfRule>
    <cfRule type="expression" dxfId="3560" priority="1627" stopIfTrue="1">
      <formula>$I5997="不适用"</formula>
    </cfRule>
  </conditionalFormatting>
  <conditionalFormatting sqref="I6008">
    <cfRule type="expression" dxfId="3559" priority="1636" stopIfTrue="1">
      <formula>$I6008="适用"</formula>
    </cfRule>
    <cfRule type="expression" dxfId="3558" priority="1637" stopIfTrue="1">
      <formula>$I6008="不适用"</formula>
    </cfRule>
  </conditionalFormatting>
  <conditionalFormatting sqref="I6020">
    <cfRule type="expression" dxfId="3557" priority="1646" stopIfTrue="1">
      <formula>$I6020="适用"</formula>
    </cfRule>
    <cfRule type="expression" dxfId="3556" priority="1647" stopIfTrue="1">
      <formula>$I6020="不适用"</formula>
    </cfRule>
  </conditionalFormatting>
  <conditionalFormatting sqref="I6032">
    <cfRule type="expression" dxfId="3555" priority="1656" stopIfTrue="1">
      <formula>$I6032="适用"</formula>
    </cfRule>
    <cfRule type="expression" dxfId="3554" priority="1657" stopIfTrue="1">
      <formula>$I6032="不适用"</formula>
    </cfRule>
  </conditionalFormatting>
  <conditionalFormatting sqref="G540:G550">
    <cfRule type="expression" dxfId="3553" priority="4757">
      <formula>$D540&gt;1</formula>
    </cfRule>
    <cfRule type="expression" dxfId="3552" priority="4758">
      <formula>$C540="%IN"</formula>
    </cfRule>
    <cfRule type="expression" dxfId="3551" priority="4759" stopIfTrue="1">
      <formula>$E540=0</formula>
    </cfRule>
  </conditionalFormatting>
  <conditionalFormatting sqref="G864:G869">
    <cfRule type="expression" dxfId="3550" priority="4685">
      <formula>$D864&gt;1</formula>
    </cfRule>
    <cfRule type="expression" dxfId="3549" priority="4686">
      <formula>$C864="%IN"</formula>
    </cfRule>
    <cfRule type="expression" dxfId="3548" priority="4687" stopIfTrue="1">
      <formula>$E864=0</formula>
    </cfRule>
  </conditionalFormatting>
  <conditionalFormatting sqref="G937:G941">
    <cfRule type="expression" dxfId="3547" priority="4586">
      <formula>$D937&gt;1</formula>
    </cfRule>
    <cfRule type="expression" dxfId="3546" priority="4587">
      <formula>$C937="%IN"</formula>
    </cfRule>
    <cfRule type="expression" dxfId="3545" priority="4588" stopIfTrue="1">
      <formula>$E937=0</formula>
    </cfRule>
  </conditionalFormatting>
  <conditionalFormatting sqref="G1685:G1690">
    <cfRule type="expression" dxfId="3544" priority="3220" stopIfTrue="1">
      <formula>$D1685&gt;1</formula>
    </cfRule>
    <cfRule type="expression" dxfId="3543" priority="3221" stopIfTrue="1">
      <formula>$C1685="%IN"</formula>
    </cfRule>
  </conditionalFormatting>
  <conditionalFormatting sqref="G1702:G1707">
    <cfRule type="expression" dxfId="3542" priority="3222" stopIfTrue="1">
      <formula>$D1702&gt;1</formula>
    </cfRule>
    <cfRule type="expression" dxfId="3541" priority="3223" stopIfTrue="1">
      <formula>$C1702="%IN"</formula>
    </cfRule>
  </conditionalFormatting>
  <conditionalFormatting sqref="G1828:G1836">
    <cfRule type="expression" dxfId="3540" priority="4784">
      <formula>$D1828&gt;1</formula>
    </cfRule>
    <cfRule type="expression" dxfId="3539" priority="4785">
      <formula>$C1828="%IN"</formula>
    </cfRule>
    <cfRule type="expression" dxfId="3538" priority="4786" stopIfTrue="1">
      <formula>$E1828=0</formula>
    </cfRule>
  </conditionalFormatting>
  <conditionalFormatting sqref="G1843:G1851">
    <cfRule type="expression" dxfId="3537" priority="4787">
      <formula>$D1843&gt;1</formula>
    </cfRule>
    <cfRule type="expression" dxfId="3536" priority="4788">
      <formula>$C1843="%IN"</formula>
    </cfRule>
    <cfRule type="expression" dxfId="3535" priority="4789" stopIfTrue="1">
      <formula>$E1843=0</formula>
    </cfRule>
  </conditionalFormatting>
  <conditionalFormatting sqref="G2162:G2169">
    <cfRule type="expression" dxfId="3534" priority="3782" stopIfTrue="1">
      <formula>$D2162&gt;1</formula>
    </cfRule>
    <cfRule type="expression" dxfId="3533" priority="3783" stopIfTrue="1">
      <formula>$C2162="%IN"</formula>
    </cfRule>
  </conditionalFormatting>
  <conditionalFormatting sqref="G2174:G2179">
    <cfRule type="expression" dxfId="3532" priority="3650" stopIfTrue="1">
      <formula>$D2174&gt;1</formula>
    </cfRule>
    <cfRule type="expression" dxfId="3531" priority="3651" stopIfTrue="1">
      <formula>$C2174="%IN"</formula>
    </cfRule>
  </conditionalFormatting>
  <conditionalFormatting sqref="G2354:G2366">
    <cfRule type="expression" dxfId="3530" priority="4892">
      <formula>$D2354&gt;1</formula>
    </cfRule>
    <cfRule type="expression" dxfId="3529" priority="4893">
      <formula>$C2354="%IN"</formula>
    </cfRule>
    <cfRule type="expression" dxfId="3528" priority="4894" stopIfTrue="1">
      <formula>$E2354=0</formula>
    </cfRule>
  </conditionalFormatting>
  <conditionalFormatting sqref="G2500:G2504">
    <cfRule type="expression" dxfId="3527" priority="5143">
      <formula>$D2500&gt;1</formula>
    </cfRule>
    <cfRule type="expression" dxfId="3526" priority="5144">
      <formula>$C2500="%IN"</formula>
    </cfRule>
    <cfRule type="expression" dxfId="3525" priority="5145" stopIfTrue="1">
      <formula>$E2500=0</formula>
    </cfRule>
  </conditionalFormatting>
  <conditionalFormatting sqref="G2523:G2528">
    <cfRule type="expression" dxfId="3524" priority="5146">
      <formula>$D2523&gt;1</formula>
    </cfRule>
    <cfRule type="expression" dxfId="3523" priority="5147">
      <formula>$C2523="%IN"</formula>
    </cfRule>
    <cfRule type="expression" dxfId="3522" priority="5148" stopIfTrue="1">
      <formula>$E2523=0</formula>
    </cfRule>
  </conditionalFormatting>
  <conditionalFormatting sqref="G2621:G2626">
    <cfRule type="expression" dxfId="3521" priority="5000">
      <formula>$D2621&gt;1</formula>
    </cfRule>
    <cfRule type="expression" dxfId="3520" priority="5001">
      <formula>$C2621="%IN"</formula>
    </cfRule>
    <cfRule type="expression" dxfId="3519" priority="5002" stopIfTrue="1">
      <formula>$E2621=0</formula>
    </cfRule>
  </conditionalFormatting>
  <conditionalFormatting sqref="G2642:G2645">
    <cfRule type="expression" dxfId="3518" priority="5149">
      <formula>$D2642&gt;1</formula>
    </cfRule>
    <cfRule type="expression" dxfId="3517" priority="5150">
      <formula>$C2642="%IN"</formula>
    </cfRule>
    <cfRule type="expression" dxfId="3516" priority="5151" stopIfTrue="1">
      <formula>$E2642=0</formula>
    </cfRule>
  </conditionalFormatting>
  <conditionalFormatting sqref="G2800:G2808">
    <cfRule type="expression" dxfId="3515" priority="5152">
      <formula>$D2800&gt;1</formula>
    </cfRule>
    <cfRule type="expression" dxfId="3514" priority="5153">
      <formula>$C2800="%IN"</formula>
    </cfRule>
    <cfRule type="expression" dxfId="3513" priority="5154" stopIfTrue="1">
      <formula>$E2800=0</formula>
    </cfRule>
  </conditionalFormatting>
  <conditionalFormatting sqref="G2824:G2827">
    <cfRule type="expression" dxfId="3512" priority="5155">
      <formula>$D2824&gt;1</formula>
    </cfRule>
    <cfRule type="expression" dxfId="3511" priority="5156">
      <formula>$C2824="%IN"</formula>
    </cfRule>
    <cfRule type="expression" dxfId="3510" priority="5157" stopIfTrue="1">
      <formula>$E2824=0</formula>
    </cfRule>
  </conditionalFormatting>
  <conditionalFormatting sqref="G2913:G2917">
    <cfRule type="expression" dxfId="3509" priority="4955">
      <formula>$D2913&gt;1</formula>
    </cfRule>
    <cfRule type="expression" dxfId="3508" priority="4956">
      <formula>$C2913="%IN"</formula>
    </cfRule>
    <cfRule type="expression" dxfId="3507" priority="4957" stopIfTrue="1">
      <formula>$E2913=0</formula>
    </cfRule>
  </conditionalFormatting>
  <conditionalFormatting sqref="G3180:G3185">
    <cfRule type="expression" dxfId="3506" priority="3700" stopIfTrue="1">
      <formula>$D3180&gt;1</formula>
    </cfRule>
    <cfRule type="expression" dxfId="3505" priority="3701" stopIfTrue="1">
      <formula>$C3180="%IN"</formula>
    </cfRule>
  </conditionalFormatting>
  <conditionalFormatting sqref="G3218:G3223">
    <cfRule type="expression" dxfId="3504" priority="4964">
      <formula>$D3218&gt;1</formula>
    </cfRule>
    <cfRule type="expression" dxfId="3503" priority="4965">
      <formula>$C3218="%IN"</formula>
    </cfRule>
    <cfRule type="expression" dxfId="3502" priority="4966" stopIfTrue="1">
      <formula>$E3218=0</formula>
    </cfRule>
  </conditionalFormatting>
  <conditionalFormatting sqref="G3228:G3235">
    <cfRule type="expression" dxfId="3501" priority="3924" stopIfTrue="1">
      <formula>$D3228&gt;1</formula>
    </cfRule>
    <cfRule type="expression" dxfId="3500" priority="3925" stopIfTrue="1">
      <formula>$C3228="%IN"</formula>
    </cfRule>
  </conditionalFormatting>
  <conditionalFormatting sqref="G3309:G3316">
    <cfRule type="expression" dxfId="3499" priority="5167">
      <formula>$D3309&gt;1</formula>
    </cfRule>
    <cfRule type="expression" dxfId="3498" priority="5168">
      <formula>$C3309="%IN"</formula>
    </cfRule>
    <cfRule type="expression" dxfId="3497" priority="5169" stopIfTrue="1">
      <formula>$E3309=0</formula>
    </cfRule>
  </conditionalFormatting>
  <conditionalFormatting sqref="G3322:G3327">
    <cfRule type="expression" dxfId="3496" priority="5170">
      <formula>$D3322&gt;1</formula>
    </cfRule>
    <cfRule type="expression" dxfId="3495" priority="5171">
      <formula>$C3322="%IN"</formula>
    </cfRule>
    <cfRule type="expression" dxfId="3494" priority="5172" stopIfTrue="1">
      <formula>$E3322=0</formula>
    </cfRule>
  </conditionalFormatting>
  <conditionalFormatting sqref="G3384:G3392">
    <cfRule type="expression" dxfId="3493" priority="4973">
      <formula>$D3384&gt;1</formula>
    </cfRule>
    <cfRule type="expression" dxfId="3492" priority="4974">
      <formula>$C3384="%IN"</formula>
    </cfRule>
    <cfRule type="expression" dxfId="3491" priority="4975" stopIfTrue="1">
      <formula>$E3384=0</formula>
    </cfRule>
  </conditionalFormatting>
  <conditionalFormatting sqref="G3397:G3405">
    <cfRule type="expression" dxfId="3490" priority="4976">
      <formula>$D3397&gt;1</formula>
    </cfRule>
    <cfRule type="expression" dxfId="3489" priority="4977">
      <formula>$C3397="%IN"</formula>
    </cfRule>
    <cfRule type="expression" dxfId="3488" priority="4978" stopIfTrue="1">
      <formula>$E3397=0</formula>
    </cfRule>
  </conditionalFormatting>
  <conditionalFormatting sqref="G3424:G3429">
    <cfRule type="expression" dxfId="3487" priority="5176">
      <formula>$D3424&gt;1</formula>
    </cfRule>
    <cfRule type="expression" dxfId="3486" priority="5177">
      <formula>$C3424="%IN"</formula>
    </cfRule>
    <cfRule type="expression" dxfId="3485" priority="5178" stopIfTrue="1">
      <formula>$E3424=0</formula>
    </cfRule>
  </conditionalFormatting>
  <conditionalFormatting sqref="G3435:G3439">
    <cfRule type="expression" dxfId="3484" priority="5179">
      <formula>$D3435&gt;1</formula>
    </cfRule>
    <cfRule type="expression" dxfId="3483" priority="5180">
      <formula>$C3435="%IN"</formula>
    </cfRule>
    <cfRule type="expression" dxfId="3482" priority="5181" stopIfTrue="1">
      <formula>$E3435=0</formula>
    </cfRule>
  </conditionalFormatting>
  <conditionalFormatting sqref="G3534:G3539">
    <cfRule type="expression" dxfId="3481" priority="5185">
      <formula>$D3534&gt;1</formula>
    </cfRule>
    <cfRule type="expression" dxfId="3480" priority="5186">
      <formula>$C3534="%IN"</formula>
    </cfRule>
    <cfRule type="expression" dxfId="3479" priority="5187" stopIfTrue="1">
      <formula>$E3534=0</formula>
    </cfRule>
  </conditionalFormatting>
  <conditionalFormatting sqref="G3561:G3566">
    <cfRule type="expression" dxfId="3478" priority="3364" stopIfTrue="1">
      <formula>$D3561&gt;1</formula>
    </cfRule>
    <cfRule type="expression" dxfId="3477" priority="3365" stopIfTrue="1">
      <formula>$C3561="%IN"</formula>
    </cfRule>
  </conditionalFormatting>
  <conditionalFormatting sqref="G3601:G3615">
    <cfRule type="expression" dxfId="3476" priority="3918" stopIfTrue="1">
      <formula>$D3601&gt;1</formula>
    </cfRule>
    <cfRule type="expression" dxfId="3475" priority="3919" stopIfTrue="1">
      <formula>$C3601="%IN"</formula>
    </cfRule>
  </conditionalFormatting>
  <conditionalFormatting sqref="G3730:G3744">
    <cfRule type="expression" dxfId="3474" priority="645" stopIfTrue="1">
      <formula>$D3730&gt;1</formula>
    </cfRule>
    <cfRule type="expression" dxfId="3473" priority="646" stopIfTrue="1">
      <formula>$C3730="%IN"</formula>
    </cfRule>
  </conditionalFormatting>
  <conditionalFormatting sqref="G3749:G3757">
    <cfRule type="expression" dxfId="3472" priority="3946" stopIfTrue="1">
      <formula>$D3749&gt;1</formula>
    </cfRule>
    <cfRule type="expression" dxfId="3471" priority="3947" stopIfTrue="1">
      <formula>$C3749="%IN"</formula>
    </cfRule>
  </conditionalFormatting>
  <conditionalFormatting sqref="G3763:G3767">
    <cfRule type="expression" dxfId="3470" priority="5191">
      <formula>$D3763&gt;1</formula>
    </cfRule>
    <cfRule type="expression" dxfId="3469" priority="5192">
      <formula>$C3763="%IN"</formula>
    </cfRule>
    <cfRule type="expression" dxfId="3468" priority="5193" stopIfTrue="1">
      <formula>$E3763=0</formula>
    </cfRule>
  </conditionalFormatting>
  <conditionalFormatting sqref="G3821:G3826">
    <cfRule type="expression" dxfId="3467" priority="3742" stopIfTrue="1">
      <formula>$D3821&gt;1</formula>
    </cfRule>
    <cfRule type="expression" dxfId="3466" priority="3743" stopIfTrue="1">
      <formula>$C3821="%IN"</formula>
    </cfRule>
  </conditionalFormatting>
  <conditionalFormatting sqref="G3899:G3913">
    <cfRule type="expression" dxfId="3465" priority="3922" stopIfTrue="1">
      <formula>$D3899&gt;1</formula>
    </cfRule>
    <cfRule type="expression" dxfId="3464" priority="3923" stopIfTrue="1">
      <formula>$C3899="%IN"</formula>
    </cfRule>
  </conditionalFormatting>
  <conditionalFormatting sqref="G3919:G3924">
    <cfRule type="expression" dxfId="3463" priority="5206">
      <formula>$D3919&gt;1</formula>
    </cfRule>
    <cfRule type="expression" dxfId="3462" priority="5207">
      <formula>$C3919="%IN"</formula>
    </cfRule>
    <cfRule type="expression" dxfId="3461" priority="5208" stopIfTrue="1">
      <formula>$E3919=0</formula>
    </cfRule>
  </conditionalFormatting>
  <conditionalFormatting sqref="G3971:G3977">
    <cfRule type="expression" dxfId="3460" priority="5212">
      <formula>$D3971&gt;1</formula>
    </cfRule>
    <cfRule type="expression" dxfId="3459" priority="5213">
      <formula>$C3971="%IN"</formula>
    </cfRule>
    <cfRule type="expression" dxfId="3458" priority="5214" stopIfTrue="1">
      <formula>$E3971=0</formula>
    </cfRule>
  </conditionalFormatting>
  <conditionalFormatting sqref="G3982:G3987">
    <cfRule type="expression" dxfId="3457" priority="3754" stopIfTrue="1">
      <formula>$D3982&gt;1</formula>
    </cfRule>
    <cfRule type="expression" dxfId="3456" priority="3755" stopIfTrue="1">
      <formula>$C3982="%IN"</formula>
    </cfRule>
  </conditionalFormatting>
  <conditionalFormatting sqref="G4054:G4059">
    <cfRule type="expression" dxfId="3455" priority="5218">
      <formula>$D4054&gt;1</formula>
    </cfRule>
    <cfRule type="expression" dxfId="3454" priority="5219">
      <formula>$C4054="%IN"</formula>
    </cfRule>
    <cfRule type="expression" dxfId="3453" priority="5220" stopIfTrue="1">
      <formula>$E4054=0</formula>
    </cfRule>
  </conditionalFormatting>
  <conditionalFormatting sqref="G4064:G4072">
    <cfRule type="expression" dxfId="3452" priority="3756" stopIfTrue="1">
      <formula>$D4064&gt;1</formula>
    </cfRule>
    <cfRule type="expression" dxfId="3451" priority="3757" stopIfTrue="1">
      <formula>$C4064="%IN"</formula>
    </cfRule>
  </conditionalFormatting>
  <conditionalFormatting sqref="G4089:G4094">
    <cfRule type="expression" dxfId="3450" priority="3874" stopIfTrue="1">
      <formula>$D4089&gt;1</formula>
    </cfRule>
    <cfRule type="expression" dxfId="3449" priority="3875" stopIfTrue="1">
      <formula>$C4089="%IN"</formula>
    </cfRule>
  </conditionalFormatting>
  <conditionalFormatting sqref="G4110:G4115">
    <cfRule type="expression" dxfId="3448" priority="5221">
      <formula>$D4110&gt;1</formula>
    </cfRule>
    <cfRule type="expression" dxfId="3447" priority="5222">
      <formula>$C4110="%IN"</formula>
    </cfRule>
    <cfRule type="expression" dxfId="3446" priority="5223" stopIfTrue="1">
      <formula>$E4110=0</formula>
    </cfRule>
  </conditionalFormatting>
  <conditionalFormatting sqref="G4250:G4258">
    <cfRule type="expression" dxfId="3445" priority="5242">
      <formula>$D4250&gt;1</formula>
    </cfRule>
    <cfRule type="expression" dxfId="3444" priority="5243">
      <formula>$C4250="%IN"</formula>
    </cfRule>
    <cfRule type="expression" dxfId="3443" priority="5244" stopIfTrue="1">
      <formula>$E4250=0</formula>
    </cfRule>
  </conditionalFormatting>
  <conditionalFormatting sqref="G4427:G4435">
    <cfRule type="expression" dxfId="3442" priority="5024">
      <formula>$D4427&gt;1</formula>
    </cfRule>
    <cfRule type="expression" dxfId="3441" priority="5025">
      <formula>$C4427="%IN"</formula>
    </cfRule>
    <cfRule type="expression" dxfId="3440" priority="5026" stopIfTrue="1">
      <formula>$E4427=0</formula>
    </cfRule>
  </conditionalFormatting>
  <conditionalFormatting sqref="G4460:G4472">
    <cfRule type="expression" dxfId="3439" priority="5248">
      <formula>$D4460&gt;1</formula>
    </cfRule>
    <cfRule type="expression" dxfId="3438" priority="5249">
      <formula>$C4460="%IN"</formula>
    </cfRule>
    <cfRule type="expression" dxfId="3437" priority="5250" stopIfTrue="1">
      <formula>$E4460=0</formula>
    </cfRule>
  </conditionalFormatting>
  <conditionalFormatting sqref="G5160:G5171">
    <cfRule type="expression" dxfId="3436" priority="4154" stopIfTrue="1">
      <formula>$D5160&gt;1</formula>
    </cfRule>
    <cfRule type="expression" dxfId="3435" priority="4155" stopIfTrue="1">
      <formula>$C5160="%IN"</formula>
    </cfRule>
    <cfRule type="expression" dxfId="3434" priority="4156" stopIfTrue="1">
      <formula>$E5160=0</formula>
    </cfRule>
  </conditionalFormatting>
  <conditionalFormatting sqref="G5359:G5368">
    <cfRule type="expression" dxfId="3433" priority="5054">
      <formula>$D5359&gt;1</formula>
    </cfRule>
    <cfRule type="expression" dxfId="3432" priority="5055">
      <formula>$C5359="%IN"</formula>
    </cfRule>
    <cfRule type="expression" dxfId="3431" priority="5056" stopIfTrue="1">
      <formula>$E5359=0</formula>
    </cfRule>
  </conditionalFormatting>
  <conditionalFormatting sqref="G5375:G5384">
    <cfRule type="expression" dxfId="3430" priority="5057">
      <formula>$D5375&gt;1</formula>
    </cfRule>
    <cfRule type="expression" dxfId="3429" priority="5058">
      <formula>$C5375="%IN"</formula>
    </cfRule>
    <cfRule type="expression" dxfId="3428" priority="5059" stopIfTrue="1">
      <formula>$E5375=0</formula>
    </cfRule>
  </conditionalFormatting>
  <conditionalFormatting sqref="G5561:G5574">
    <cfRule type="expression" dxfId="3427" priority="5072">
      <formula>$D5561&gt;1</formula>
    </cfRule>
    <cfRule type="expression" dxfId="3426" priority="5073">
      <formula>$C5561="%IN"</formula>
    </cfRule>
    <cfRule type="expression" dxfId="3425" priority="5074" stopIfTrue="1">
      <formula>$E5561=0</formula>
    </cfRule>
  </conditionalFormatting>
  <conditionalFormatting sqref="G5581:G5585">
    <cfRule type="expression" dxfId="3424" priority="1820" stopIfTrue="1">
      <formula>$D5581&gt;1</formula>
    </cfRule>
    <cfRule type="expression" dxfId="3423" priority="1821" stopIfTrue="1">
      <formula>$C5581="%IN"</formula>
    </cfRule>
  </conditionalFormatting>
  <conditionalFormatting sqref="G5778:G5794">
    <cfRule type="expression" dxfId="3422" priority="4580">
      <formula>$D5778&gt;1</formula>
    </cfRule>
    <cfRule type="expression" dxfId="3421" priority="4581">
      <formula>$C5778="%IN"</formula>
    </cfRule>
    <cfRule type="expression" dxfId="3420" priority="4582" stopIfTrue="1">
      <formula>$E5778=0</formula>
    </cfRule>
  </conditionalFormatting>
  <conditionalFormatting sqref="G5808:G5835">
    <cfRule type="expression" dxfId="3419" priority="5096">
      <formula>$D5808&gt;1</formula>
    </cfRule>
    <cfRule type="expression" dxfId="3418" priority="5097">
      <formula>$C5808="%IN"</formula>
    </cfRule>
    <cfRule type="expression" dxfId="3417" priority="5098" stopIfTrue="1">
      <formula>$E5808=0</formula>
    </cfRule>
  </conditionalFormatting>
  <conditionalFormatting sqref="G5840:G5845">
    <cfRule type="expression" dxfId="3416" priority="3826" stopIfTrue="1">
      <formula>$D5840&gt;1</formula>
    </cfRule>
    <cfRule type="expression" dxfId="3415" priority="3827" stopIfTrue="1">
      <formula>$C5840="%IN"</formula>
    </cfRule>
  </conditionalFormatting>
  <conditionalFormatting sqref="I5934:I5944">
    <cfRule type="expression" dxfId="3414" priority="1592" stopIfTrue="1">
      <formula>$I5934="适用"</formula>
    </cfRule>
    <cfRule type="expression" dxfId="3413" priority="1593" stopIfTrue="1">
      <formula>$I5934="不适用"</formula>
    </cfRule>
  </conditionalFormatting>
  <conditionalFormatting sqref="I5945:I5955">
    <cfRule type="expression" dxfId="3412" priority="1602" stopIfTrue="1">
      <formula>$I5945="适用"</formula>
    </cfRule>
    <cfRule type="expression" dxfId="3411" priority="1603" stopIfTrue="1">
      <formula>$I5945="不适用"</formula>
    </cfRule>
  </conditionalFormatting>
  <conditionalFormatting sqref="I5956:I5974">
    <cfRule type="expression" dxfId="3410" priority="1612" stopIfTrue="1">
      <formula>$I5956="适用"</formula>
    </cfRule>
    <cfRule type="expression" dxfId="3409" priority="1613" stopIfTrue="1">
      <formula>$I5956="不适用"</formula>
    </cfRule>
  </conditionalFormatting>
  <conditionalFormatting sqref="I5975:I5995">
    <cfRule type="expression" dxfId="3408" priority="1620" stopIfTrue="1">
      <formula>$I5975="适用"</formula>
    </cfRule>
    <cfRule type="expression" dxfId="3407" priority="1621" stopIfTrue="1">
      <formula>$I5975="不适用"</formula>
    </cfRule>
  </conditionalFormatting>
  <conditionalFormatting sqref="I5996:I6006">
    <cfRule type="expression" dxfId="3406" priority="1630" stopIfTrue="1">
      <formula>$I5996="适用"</formula>
    </cfRule>
    <cfRule type="expression" dxfId="3405" priority="1631" stopIfTrue="1">
      <formula>$I5996="不适用"</formula>
    </cfRule>
  </conditionalFormatting>
  <conditionalFormatting sqref="I6007:I6018">
    <cfRule type="expression" dxfId="3404" priority="1640" stopIfTrue="1">
      <formula>$I6007="适用"</formula>
    </cfRule>
    <cfRule type="expression" dxfId="3403" priority="1641" stopIfTrue="1">
      <formula>$I6007="不适用"</formula>
    </cfRule>
  </conditionalFormatting>
  <conditionalFormatting sqref="I6019:I6030">
    <cfRule type="expression" dxfId="3402" priority="1650" stopIfTrue="1">
      <formula>$I6019="适用"</formula>
    </cfRule>
    <cfRule type="expression" dxfId="3401" priority="1651" stopIfTrue="1">
      <formula>$I6019="不适用"</formula>
    </cfRule>
  </conditionalFormatting>
  <conditionalFormatting sqref="I6031:I6052">
    <cfRule type="expression" dxfId="3400" priority="1660" stopIfTrue="1">
      <formula>$I6031="适用"</formula>
    </cfRule>
    <cfRule type="expression" dxfId="3399" priority="1661" stopIfTrue="1">
      <formula>$I6031="不适用"</formula>
    </cfRule>
  </conditionalFormatting>
  <conditionalFormatting sqref="J5936:J5943">
    <cfRule type="expression" dxfId="3398" priority="1586" stopIfTrue="1">
      <formula>$J5936="适用"</formula>
    </cfRule>
    <cfRule type="expression" dxfId="3397" priority="1587" stopIfTrue="1">
      <formula>$J5936="不适用"</formula>
    </cfRule>
  </conditionalFormatting>
  <conditionalFormatting sqref="J5947:J5954">
    <cfRule type="expression" dxfId="3396" priority="1596" stopIfTrue="1">
      <formula>$J5947="适用"</formula>
    </cfRule>
    <cfRule type="expression" dxfId="3395" priority="1597" stopIfTrue="1">
      <formula>$J5947="不适用"</formula>
    </cfRule>
  </conditionalFormatting>
  <conditionalFormatting sqref="J5958:J5973">
    <cfRule type="expression" dxfId="3394" priority="1606" stopIfTrue="1">
      <formula>$J5958="适用"</formula>
    </cfRule>
    <cfRule type="expression" dxfId="3393" priority="1607" stopIfTrue="1">
      <formula>$J5958="不适用"</formula>
    </cfRule>
  </conditionalFormatting>
  <conditionalFormatting sqref="J5977:J5994">
    <cfRule type="expression" dxfId="3392" priority="1616" stopIfTrue="1">
      <formula>$J5977="适用"</formula>
    </cfRule>
    <cfRule type="expression" dxfId="3391" priority="1617" stopIfTrue="1">
      <formula>$J5977="不适用"</formula>
    </cfRule>
  </conditionalFormatting>
  <conditionalFormatting sqref="J5998:J6005">
    <cfRule type="expression" dxfId="3390" priority="1624" stopIfTrue="1">
      <formula>$J5998="适用"</formula>
    </cfRule>
    <cfRule type="expression" dxfId="3389" priority="1625" stopIfTrue="1">
      <formula>$J5998="不适用"</formula>
    </cfRule>
  </conditionalFormatting>
  <conditionalFormatting sqref="J6009:J6017">
    <cfRule type="expression" dxfId="3388" priority="1634" stopIfTrue="1">
      <formula>$J6009="适用"</formula>
    </cfRule>
    <cfRule type="expression" dxfId="3387" priority="1635" stopIfTrue="1">
      <formula>$J6009="不适用"</formula>
    </cfRule>
  </conditionalFormatting>
  <conditionalFormatting sqref="J6021:J6029">
    <cfRule type="expression" dxfId="3386" priority="1644" stopIfTrue="1">
      <formula>$J6021="适用"</formula>
    </cfRule>
    <cfRule type="expression" dxfId="3385" priority="1645" stopIfTrue="1">
      <formula>$J6021="不适用"</formula>
    </cfRule>
  </conditionalFormatting>
  <conditionalFormatting sqref="Q317:Q333">
    <cfRule type="expression" dxfId="3384" priority="946" stopIfTrue="1">
      <formula>$Q317="请输入"</formula>
    </cfRule>
  </conditionalFormatting>
  <conditionalFormatting sqref="Q334:Q355">
    <cfRule type="expression" dxfId="3383" priority="940" stopIfTrue="1">
      <formula>$Q334="请输入"</formula>
    </cfRule>
  </conditionalFormatting>
  <conditionalFormatting sqref="Q356:Q377">
    <cfRule type="expression" dxfId="3382" priority="934" stopIfTrue="1">
      <formula>$Q356="请输入"</formula>
    </cfRule>
  </conditionalFormatting>
  <conditionalFormatting sqref="Q378:Q399">
    <cfRule type="expression" dxfId="3381" priority="928" stopIfTrue="1">
      <formula>$Q378="请输入"</formula>
    </cfRule>
  </conditionalFormatting>
  <conditionalFormatting sqref="Q400:Q414">
    <cfRule type="expression" dxfId="3380" priority="918" stopIfTrue="1">
      <formula>$Q400="请输入"</formula>
    </cfRule>
  </conditionalFormatting>
  <conditionalFormatting sqref="Q579:Q600">
    <cfRule type="expression" dxfId="3379" priority="912" stopIfTrue="1">
      <formula>$Q579="请输入"</formula>
    </cfRule>
  </conditionalFormatting>
  <conditionalFormatting sqref="Q706">
    <cfRule type="expression" dxfId="3378" priority="1013" stopIfTrue="1">
      <formula>$Q706="请输入"</formula>
    </cfRule>
  </conditionalFormatting>
  <conditionalFormatting sqref="Q1219:Q1306">
    <cfRule type="expression" dxfId="3377" priority="975" stopIfTrue="1">
      <formula>$Q1219="请输入"</formula>
    </cfRule>
  </conditionalFormatting>
  <conditionalFormatting sqref="Q1823:Q1837">
    <cfRule type="expression" dxfId="3376" priority="885" stopIfTrue="1">
      <formula>$Q1823="请输入"</formula>
    </cfRule>
  </conditionalFormatting>
  <conditionalFormatting sqref="Q1838:Q1852">
    <cfRule type="expression" dxfId="3375" priority="882" stopIfTrue="1">
      <formula>$Q1838="请输入"</formula>
    </cfRule>
  </conditionalFormatting>
  <conditionalFormatting sqref="Q1976:Q1985 Q1971 Q1973">
    <cfRule type="expression" dxfId="3374" priority="831" stopIfTrue="1">
      <formula>$Q1971="请输入"</formula>
    </cfRule>
  </conditionalFormatting>
  <conditionalFormatting sqref="Q1986:Q2000">
    <cfRule type="expression" dxfId="3373" priority="828" stopIfTrue="1">
      <formula>$Q1986="请输入"</formula>
    </cfRule>
  </conditionalFormatting>
  <conditionalFormatting sqref="Q2039:Q2041">
    <cfRule type="expression" dxfId="3372" priority="816" stopIfTrue="1">
      <formula>$Q2039="请输入"</formula>
    </cfRule>
  </conditionalFormatting>
  <conditionalFormatting sqref="Q2048:Q2062">
    <cfRule type="expression" dxfId="3371" priority="815" stopIfTrue="1">
      <formula>$Q2048="请输入"</formula>
    </cfRule>
  </conditionalFormatting>
  <conditionalFormatting sqref="Q2137:Q2155">
    <cfRule type="expression" dxfId="3370" priority="800" stopIfTrue="1">
      <formula>$Q2137="请输入"</formula>
    </cfRule>
  </conditionalFormatting>
  <conditionalFormatting sqref="Q2234:Q2246">
    <cfRule type="expression" dxfId="3369" priority="776" stopIfTrue="1">
      <formula>$Q2234="请输入"</formula>
    </cfRule>
  </conditionalFormatting>
  <conditionalFormatting sqref="Q2247:Q2259">
    <cfRule type="expression" dxfId="3368" priority="773" stopIfTrue="1">
      <formula>$Q2247="请输入"</formula>
    </cfRule>
  </conditionalFormatting>
  <conditionalFormatting sqref="Q2260:Q2272">
    <cfRule type="expression" dxfId="3367" priority="767" stopIfTrue="1">
      <formula>$Q2260="请输入"</formula>
    </cfRule>
  </conditionalFormatting>
  <conditionalFormatting sqref="Q2293:Q2314">
    <cfRule type="expression" dxfId="3366" priority="746" stopIfTrue="1">
      <formula>$Q2293="请输入"</formula>
    </cfRule>
  </conditionalFormatting>
  <conditionalFormatting sqref="Q2349:Q2367">
    <cfRule type="expression" dxfId="3365" priority="743" stopIfTrue="1">
      <formula>$Q2349="请输入"</formula>
    </cfRule>
  </conditionalFormatting>
  <conditionalFormatting sqref="Q2506:Q2518">
    <cfRule type="expression" dxfId="3364" priority="725" stopIfTrue="1">
      <formula>$Q2506="请输入"</formula>
    </cfRule>
  </conditionalFormatting>
  <conditionalFormatting sqref="Q2797:Q2809">
    <cfRule type="expression" dxfId="3363" priority="686" stopIfTrue="1">
      <formula>$Q2797="请输入"</formula>
    </cfRule>
  </conditionalFormatting>
  <conditionalFormatting sqref="Q2877:Q2896">
    <cfRule type="expression" dxfId="3362" priority="677" stopIfTrue="1">
      <formula>$Q2877="请输入"</formula>
    </cfRule>
  </conditionalFormatting>
  <conditionalFormatting sqref="Q2908:Q2917">
    <cfRule type="expression" dxfId="3361" priority="1078" stopIfTrue="1">
      <formula>$Q2908="请输入"</formula>
    </cfRule>
  </conditionalFormatting>
  <conditionalFormatting sqref="Q3006:Q3041">
    <cfRule type="expression" dxfId="3360" priority="4242" stopIfTrue="1">
      <formula>$Q3006="请输入"</formula>
    </cfRule>
  </conditionalFormatting>
  <conditionalFormatting sqref="Q3113:Q3125">
    <cfRule type="expression" dxfId="3359" priority="662" stopIfTrue="1">
      <formula>$Q3113="请输入"</formula>
    </cfRule>
  </conditionalFormatting>
  <conditionalFormatting sqref="Q3381:Q3393">
    <cfRule type="expression" dxfId="3358" priority="659" stopIfTrue="1">
      <formula>$Q3381="请输入"</formula>
    </cfRule>
  </conditionalFormatting>
  <conditionalFormatting sqref="Q3394:Q3405 Q3407">
    <cfRule type="expression" dxfId="3357" priority="656" stopIfTrue="1">
      <formula>$Q3394="请输入"</formula>
    </cfRule>
  </conditionalFormatting>
  <conditionalFormatting sqref="Q4424:Q4436">
    <cfRule type="expression" dxfId="3356" priority="597" stopIfTrue="1">
      <formula>$Q4424="请输入"</formula>
    </cfRule>
  </conditionalFormatting>
  <conditionalFormatting sqref="Q5320:Q5336">
    <cfRule type="expression" dxfId="3355" priority="571" stopIfTrue="1">
      <formula>$Q5320="请输入"</formula>
    </cfRule>
  </conditionalFormatting>
  <conditionalFormatting sqref="Q5337:Q5353">
    <cfRule type="expression" dxfId="3354" priority="568" stopIfTrue="1">
      <formula>$Q5337="请输入"</formula>
    </cfRule>
  </conditionalFormatting>
  <conditionalFormatting sqref="Q5354:Q5369">
    <cfRule type="expression" dxfId="3353" priority="562" stopIfTrue="1">
      <formula>$Q5354="请输入"</formula>
    </cfRule>
  </conditionalFormatting>
  <conditionalFormatting sqref="Q5370:Q5385">
    <cfRule type="expression" dxfId="3352" priority="553" stopIfTrue="1">
      <formula>$Q5370="请输入"</formula>
    </cfRule>
  </conditionalFormatting>
  <conditionalFormatting sqref="Q5558:Q5575">
    <cfRule type="expression" dxfId="3351" priority="538" stopIfTrue="1">
      <formula>$Q5558="请输入"</formula>
    </cfRule>
  </conditionalFormatting>
  <conditionalFormatting sqref="K7 M7 H7 P7:P8">
    <cfRule type="cellIs" dxfId="3350" priority="2814" stopIfTrue="1" operator="equal">
      <formula>0</formula>
    </cfRule>
    <cfRule type="cellIs" dxfId="3349" priority="2815" stopIfTrue="1" operator="notEqual">
      <formula>0</formula>
    </cfRule>
  </conditionalFormatting>
  <conditionalFormatting sqref="I4776 I4799 I4822 I4849 I4863 I3916 I10 I120 I138 I146 I160 I170 I192 I214 I251 I273 I286 I293 I1013 I988 I1774 I2463 I2557 I2648">
    <cfRule type="expression" dxfId="3348" priority="2789" stopIfTrue="1">
      <formula>$I10="适用"</formula>
    </cfRule>
    <cfRule type="expression" dxfId="3347" priority="2790" stopIfTrue="1">
      <formula>$I10="不适用"</formula>
    </cfRule>
  </conditionalFormatting>
  <conditionalFormatting sqref="Q934:Q942 Q2639:Q2646 Q2821:Q2828 Q3760:Q3768 Q4107:Q4116 Q4725:Q4748 Q4899:Q4912 Q4799 Q4820 Q4822:Q4834 Q4849 Q4861 Q4863:Q4875 Q3916 Q10 Q120:Q129 Q138 Q146 Q160 Q988:Q1013 Q1774:Q1788 Q2463 Q2557:Q2598 Q4776:Q4797">
    <cfRule type="expression" dxfId="3346" priority="4244"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7 I4914 I4927 I4945 I4958 I4966 I5021 I5037 I5053 I5064 I5075 I5086 I5097 I5120 I5128 I5157 I5195 I5173 I5137 I5147 I6055 I6064 I6075 I6084 I6093 I6107 I6117 I6126 I6146 I6155 I6164 I6186 I6213 I6242 I6137 I5879:I5933">
    <cfRule type="expression" dxfId="3345" priority="2797" stopIfTrue="1">
      <formula>$I20="适用"</formula>
    </cfRule>
    <cfRule type="expression" dxfId="3344" priority="2798" stopIfTrue="1">
      <formula>$I20="不适用"</formula>
    </cfRule>
  </conditionalFormatting>
  <conditionalFormatting sqref="Q20 Q2810 Q4147 Q4157">
    <cfRule type="expression" dxfId="3343" priority="4234" stopIfTrue="1">
      <formula>$Q20="请输入"</formula>
    </cfRule>
  </conditionalFormatting>
  <conditionalFormatting sqref="G4917:G4925">
    <cfRule type="expression" dxfId="3342" priority="4124" stopIfTrue="1">
      <formula>$D4917&gt;1</formula>
    </cfRule>
    <cfRule type="expression" dxfId="3341" priority="4125" stopIfTrue="1">
      <formula>$C4917="%IN"</formula>
    </cfRule>
    <cfRule type="expression" dxfId="3340" priority="4126" stopIfTrue="1">
      <formula>$E4917=0</formula>
    </cfRule>
  </conditionalFormatting>
  <conditionalFormatting sqref="I71">
    <cfRule type="expression" dxfId="3339" priority="1064" stopIfTrue="1">
      <formula>$I71="适用"</formula>
    </cfRule>
    <cfRule type="expression" dxfId="3338" priority="1065" stopIfTrue="1">
      <formula>$I71="不适用"</formula>
    </cfRule>
  </conditionalFormatting>
  <conditionalFormatting sqref="O5947:O5956 L5958:L5975 O5958:O5975 L5998:L6007 O5925:O5934 L5977:L5996 O5998:O6007 L5936:L5945 O5936:O5945 L6009:L6019 L5947:L5956 L6021:L6031 O6009:O6019 O6033:O6052 O6021:O6031 O5977:O5996 L6033:L6052 O5903:O5912 L5914:L5923 O5892:O5901 L5903:L5912 O5914:O5923 L5925:L5934 O5881:O5890 L5892:L5901 O5870:O5879 L5881:L5890 O5868 L5870:L5879 L5868 O5776:O5803 L5776:L5796 O4900:O4912 L4900:L4912 L4108 L4726:L4735 R4395:R4396 O4726:O4735 L3761 O4108:O4116 O1638 O3761:O3768 L2822 O1775:O1788 O2822:O2828 L4777:L4778 O4777:O4797 L4781:L4795 L4797">
    <cfRule type="expression" dxfId="3337" priority="613" stopIfTrue="1">
      <formula>L1638="F/S"</formula>
    </cfRule>
    <cfRule type="cellIs" dxfId="3336" priority="614" stopIfTrue="1" operator="notEqual">
      <formula>0</formula>
    </cfRule>
  </conditionalFormatting>
  <conditionalFormatting sqref="G2016:G2019 G1952:G1959">
    <cfRule type="expression" dxfId="3335" priority="3108" stopIfTrue="1">
      <formula>$D1952&gt;1</formula>
    </cfRule>
    <cfRule type="expression" dxfId="3334" priority="3109" stopIfTrue="1">
      <formula>$C1952="%IN"</formula>
    </cfRule>
  </conditionalFormatting>
  <conditionalFormatting sqref="G5589:G5600">
    <cfRule type="expression" dxfId="3333" priority="718" stopIfTrue="1">
      <formula>$D5589&gt;1</formula>
    </cfRule>
    <cfRule type="expression" dxfId="3332" priority="719" stopIfTrue="1">
      <formula>$C5589="%IN"</formula>
    </cfRule>
  </conditionalFormatting>
  <conditionalFormatting sqref="Q109">
    <cfRule type="expression" dxfId="3331" priority="4239" stopIfTrue="1">
      <formula>$Q109="请输入"</formula>
    </cfRule>
  </conditionalFormatting>
  <conditionalFormatting sqref="H4114:I4114">
    <cfRule type="expression" dxfId="3330" priority="4583">
      <formula>$D4114&gt;1</formula>
    </cfRule>
    <cfRule type="expression" dxfId="3329" priority="4584">
      <formula>$C4114="%IN"</formula>
    </cfRule>
    <cfRule type="expression" dxfId="3328" priority="4585" stopIfTrue="1">
      <formula>$E4114=0</formula>
    </cfRule>
  </conditionalFormatting>
  <conditionalFormatting sqref="G4825:G4833">
    <cfRule type="expression" dxfId="3327" priority="1035">
      <formula>$D4825&gt;1</formula>
    </cfRule>
    <cfRule type="expression" dxfId="3326" priority="1036">
      <formula>$C4825="%IN"</formula>
    </cfRule>
    <cfRule type="expression" dxfId="3325" priority="1037" stopIfTrue="1">
      <formula>$E4825=0</formula>
    </cfRule>
  </conditionalFormatting>
  <conditionalFormatting sqref="Q130 Q611:Q617">
    <cfRule type="expression" dxfId="3324" priority="4240" stopIfTrue="1">
      <formula>$Q130="请输入"</formula>
    </cfRule>
  </conditionalFormatting>
  <conditionalFormatting sqref="G520:G524 G526">
    <cfRule type="expression" dxfId="3323" priority="4754">
      <formula>$D520&gt;1</formula>
    </cfRule>
    <cfRule type="expression" dxfId="3322" priority="4755">
      <formula>$C520="%IN"</formula>
    </cfRule>
    <cfRule type="expression" dxfId="3321" priority="4756" stopIfTrue="1">
      <formula>$E520=0</formula>
    </cfRule>
  </conditionalFormatting>
  <conditionalFormatting sqref="G4802:G4817 G4819">
    <cfRule type="expression" dxfId="3320" priority="898" stopIfTrue="1">
      <formula>$D4802&gt;1</formula>
    </cfRule>
    <cfRule type="expression" dxfId="3319" priority="899" stopIfTrue="1">
      <formula>$C4802="%IN"</formula>
    </cfRule>
  </conditionalFormatting>
  <conditionalFormatting sqref="G2987:G3003 G3514:G3528 G3716:G3724 G4354:G4357">
    <cfRule type="expression" dxfId="3318" priority="2446" stopIfTrue="1">
      <formula>$D2987&gt;1</formula>
    </cfRule>
    <cfRule type="expression" dxfId="3317" priority="2447" stopIfTrue="1">
      <formula>$C2987="%IN"</formula>
    </cfRule>
  </conditionalFormatting>
  <conditionalFormatting sqref="Q2032:Q2038 Q2042:Q2047">
    <cfRule type="expression" dxfId="3316" priority="822" stopIfTrue="1">
      <formula>$Q2032="请输入"</formula>
    </cfRule>
  </conditionalFormatting>
  <conditionalFormatting sqref="Q2273:Q2292 Q2378:Q2390 Q2497:Q2505 Q2520:Q2555">
    <cfRule type="expression" dxfId="3315" priority="4241" stopIfTrue="1">
      <formula>$Q2273="请输入"</formula>
    </cfRule>
  </conditionalFormatting>
  <conditionalFormatting sqref="Q4488:Q4497 Q4367:Q4369 Q4371:Q4391">
    <cfRule type="expression" dxfId="3314" priority="4243" stopIfTrue="1">
      <formula>$Q4367="请输入"</formula>
    </cfRule>
  </conditionalFormatting>
  <conditionalFormatting sqref="I4612 I4622">
    <cfRule type="expression" dxfId="3313" priority="1398" stopIfTrue="1">
      <formula>$I4612="适用"</formula>
    </cfRule>
    <cfRule type="expression" dxfId="3312" priority="1399" stopIfTrue="1">
      <formula>$I4612="不适用"</formula>
    </cfRule>
  </conditionalFormatting>
  <conditionalFormatting sqref="G5342:G5350">
    <cfRule type="expression" dxfId="3311" priority="5051">
      <formula>$D5342&gt;1</formula>
    </cfRule>
    <cfRule type="expression" dxfId="3310" priority="5052">
      <formula>$C5342="%IN"</formula>
    </cfRule>
    <cfRule type="expression" dxfId="3309" priority="5053" stopIfTrue="1">
      <formula>$E5342=0</formula>
    </cfRule>
  </conditionalFormatting>
  <conditionalFormatting sqref="I5868:I5869 I5878">
    <cfRule type="expression" dxfId="3308" priority="1532" stopIfTrue="1">
      <formula>$I5868="适用"</formula>
    </cfRule>
    <cfRule type="expression" dxfId="3307" priority="1533" stopIfTrue="1">
      <formula>$I5868="不适用"</formula>
    </cfRule>
  </conditionalFormatting>
  <conditionalFormatting sqref="J6033:J6051 J5870:J5877 J5881:J5888 J5892:J5899 J5903:J5910 J5914:J5921 J5925:J5932">
    <cfRule type="expression" dxfId="3306" priority="1654" stopIfTrue="1">
      <formula>$J5870="适用"</formula>
    </cfRule>
    <cfRule type="expression" dxfId="3305" priority="1655" stopIfTrue="1">
      <formula>$J5870="不适用"</formula>
    </cfRule>
  </conditionalFormatting>
  <conditionalFormatting sqref="L6254:L6256 O6254:O6256">
    <cfRule type="expression" dxfId="3304" priority="2802" stopIfTrue="1">
      <formula>OR(L6254="F/S",L6254="",AND(L6254&gt;=0,L6254&lt;=1))</formula>
    </cfRule>
    <cfRule type="expression" dxfId="3303" priority="2803" stopIfTrue="1">
      <formula>OR(L6254&lt;&gt;"F/S",L6254&lt;&gt;0)</formula>
    </cfRule>
  </conditionalFormatting>
  <conditionalFormatting sqref="G149:G158">
    <cfRule type="expression" dxfId="3302" priority="5254">
      <formula>$D149&gt;1</formula>
    </cfRule>
    <cfRule type="expression" dxfId="3301" priority="5255">
      <formula>$C149="%IN"</formula>
    </cfRule>
    <cfRule type="expression" dxfId="3300" priority="5256" stopIfTrue="1">
      <formula>$E149=0</formula>
    </cfRule>
  </conditionalFormatting>
  <conditionalFormatting sqref="G874:G888">
    <cfRule type="expression" dxfId="3299" priority="5266">
      <formula>$D874&gt;1</formula>
    </cfRule>
    <cfRule type="expression" dxfId="3298" priority="5267">
      <formula>$C874="%IN"</formula>
    </cfRule>
    <cfRule type="expression" dxfId="3297" priority="5268" stopIfTrue="1">
      <formula>$E874=0</formula>
    </cfRule>
  </conditionalFormatting>
  <conditionalFormatting sqref="G1541:G1555">
    <cfRule type="expression" dxfId="3296" priority="5275">
      <formula>$D1541&gt;1</formula>
    </cfRule>
    <cfRule type="expression" dxfId="3295" priority="5276">
      <formula>$C1541="%IN"</formula>
    </cfRule>
    <cfRule type="expression" dxfId="3294" priority="5277" stopIfTrue="1">
      <formula>$E1541=0</formula>
    </cfRule>
  </conditionalFormatting>
  <conditionalFormatting sqref="G2142:G2154">
    <cfRule type="expression" dxfId="3293" priority="5296">
      <formula>$D2142&gt;1</formula>
    </cfRule>
    <cfRule type="expression" dxfId="3292" priority="5297">
      <formula>$C2142="%IN"</formula>
    </cfRule>
    <cfRule type="expression" dxfId="3291" priority="5298" stopIfTrue="1">
      <formula>$E2142=0</formula>
    </cfRule>
  </conditionalFormatting>
  <conditionalFormatting sqref="G2560:G2597">
    <cfRule type="expression" dxfId="3290" priority="5311">
      <formula>$D2560&gt;1</formula>
    </cfRule>
    <cfRule type="expression" dxfId="3289" priority="5312">
      <formula>$C2560="%IN"</formula>
    </cfRule>
    <cfRule type="expression" dxfId="3288" priority="5313" stopIfTrue="1">
      <formula>$E2560=0</formula>
    </cfRule>
  </conditionalFormatting>
  <conditionalFormatting sqref="G3009:G3040">
    <cfRule type="expression" dxfId="3287" priority="5323">
      <formula>$D3009&gt;1</formula>
    </cfRule>
    <cfRule type="expression" dxfId="3286" priority="5324">
      <formula>$C3009="%IN"</formula>
    </cfRule>
    <cfRule type="expression" dxfId="3285" priority="5325" stopIfTrue="1">
      <formula>$E3009=0</formula>
    </cfRule>
  </conditionalFormatting>
  <conditionalFormatting sqref="G5325:G5335">
    <cfRule type="expression" dxfId="3284" priority="5335">
      <formula>$D5325&gt;1</formula>
    </cfRule>
    <cfRule type="expression" dxfId="3283" priority="5336">
      <formula>$C5325="%IN"</formula>
    </cfRule>
    <cfRule type="expression" dxfId="3282" priority="5337" stopIfTrue="1">
      <formula>$E5325=0</formula>
    </cfRule>
  </conditionalFormatting>
  <conditionalFormatting sqref="G2925:G2980">
    <cfRule type="expression" dxfId="3281" priority="5338">
      <formula>$D2925&gt;1</formula>
    </cfRule>
    <cfRule type="expression" dxfId="3280" priority="5339">
      <formula>$C2925="%IN"</formula>
    </cfRule>
    <cfRule type="expression" dxfId="3279" priority="5340" stopIfTrue="1">
      <formula>$E2925=0</formula>
    </cfRule>
  </conditionalFormatting>
  <conditionalFormatting sqref="G3048:G3103">
    <cfRule type="expression" dxfId="3278" priority="5341">
      <formula>$D3048&gt;1</formula>
    </cfRule>
    <cfRule type="expression" dxfId="3277" priority="5342">
      <formula>$C3048="%IN"</formula>
    </cfRule>
    <cfRule type="expression" dxfId="3276" priority="5343" stopIfTrue="1">
      <formula>$E3048=0</formula>
    </cfRule>
  </conditionalFormatting>
  <conditionalFormatting sqref="G2144:G2152">
    <cfRule type="expression" dxfId="3275" priority="474">
      <formula>$D2144&gt;1</formula>
    </cfRule>
    <cfRule type="expression" dxfId="3274" priority="475">
      <formula>$C2144="%IN"</formula>
    </cfRule>
    <cfRule type="expression" dxfId="3273" priority="476" stopIfTrue="1">
      <formula>$E2144=0</formula>
    </cfRule>
  </conditionalFormatting>
  <conditionalFormatting sqref="G2356:G2364">
    <cfRule type="expression" dxfId="3272" priority="471">
      <formula>$D2356&gt;1</formula>
    </cfRule>
    <cfRule type="expression" dxfId="3271" priority="472">
      <formula>$C2356="%IN"</formula>
    </cfRule>
    <cfRule type="expression" dxfId="3270" priority="473" stopIfTrue="1">
      <formula>$E2356=0</formula>
    </cfRule>
  </conditionalFormatting>
  <conditionalFormatting sqref="G2605:G2608">
    <cfRule type="expression" dxfId="3269" priority="468">
      <formula>$D2605&gt;1</formula>
    </cfRule>
    <cfRule type="expression" dxfId="3268" priority="469">
      <formula>$C2605="%IN"</formula>
    </cfRule>
    <cfRule type="expression" dxfId="3267" priority="470" stopIfTrue="1">
      <formula>$E2605=0</formula>
    </cfRule>
  </conditionalFormatting>
  <conditionalFormatting sqref="G3804:G3816">
    <cfRule type="expression" dxfId="3266" priority="5350">
      <formula>$D3804&gt;1</formula>
    </cfRule>
    <cfRule type="expression" dxfId="3265" priority="5351">
      <formula>$C3804="%IN"</formula>
    </cfRule>
    <cfRule type="expression" dxfId="3264" priority="5352" stopIfTrue="1">
      <formula>$E3804=0</formula>
    </cfRule>
  </conditionalFormatting>
  <conditionalFormatting sqref="G3773:G3788">
    <cfRule type="expression" dxfId="3263" priority="5353">
      <formula>$D3773&gt;1</formula>
    </cfRule>
    <cfRule type="expression" dxfId="3262" priority="5354">
      <formula>$C3773="%IN"</formula>
    </cfRule>
    <cfRule type="expression" dxfId="3261" priority="5355" stopIfTrue="1">
      <formula>$E3773=0</formula>
    </cfRule>
  </conditionalFormatting>
  <conditionalFormatting sqref="G4313:G4315">
    <cfRule type="expression" dxfId="3260" priority="5362">
      <formula>$D4313&gt;1</formula>
    </cfRule>
    <cfRule type="expression" dxfId="3259" priority="5363">
      <formula>$C4313="%IN"</formula>
    </cfRule>
    <cfRule type="expression" dxfId="3258" priority="5364" stopIfTrue="1">
      <formula>$E4313=0</formula>
    </cfRule>
  </conditionalFormatting>
  <conditionalFormatting sqref="G5100:G5117">
    <cfRule type="expression" dxfId="3257" priority="5377">
      <formula>$D5100&gt;1</formula>
    </cfRule>
    <cfRule type="expression" dxfId="3256" priority="5378">
      <formula>$C5100="%IN"</formula>
    </cfRule>
    <cfRule type="expression" dxfId="3255" priority="5379" stopIfTrue="1">
      <formula>$E5100=0</formula>
    </cfRule>
  </conditionalFormatting>
  <conditionalFormatting sqref="G25:G57">
    <cfRule type="expression" dxfId="3254" priority="5476">
      <formula>$D25&gt;1</formula>
    </cfRule>
    <cfRule type="expression" dxfId="3253" priority="5477">
      <formula>$C25="%IN"</formula>
    </cfRule>
    <cfRule type="expression" dxfId="3252" priority="5478" stopIfTrue="1">
      <formula>$E25=0</formula>
    </cfRule>
  </conditionalFormatting>
  <conditionalFormatting sqref="P5375:P5384 P5359:P5368 O5342:O5352 O5325:O5335 M4866:M4874 M4880:M4896 O1641:P1653 L1030:N1034 K937:L941 P853:Q856 L2221:N2225 K2642:L2645 K2824:L2827 K3763:L3767 K3930:L3935 K4636:M4650 K4961:L4964 K13:L17 L2066:L2070">
    <cfRule type="cellIs" dxfId="3251" priority="7381" stopIfTrue="1" operator="notEqual">
      <formula>0</formula>
    </cfRule>
  </conditionalFormatting>
  <conditionalFormatting sqref="L5796 L5501 L4836:L4848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250" priority="7383" stopIfTrue="1">
      <formula>OR($L$20="F/S",$L$20="")</formula>
    </cfRule>
    <cfRule type="cellIs" dxfId="3249" priority="7384" stopIfTrue="1" operator="notEqual">
      <formula>0</formula>
    </cfRule>
  </conditionalFormatting>
  <conditionalFormatting sqref="O5796:O5803 O5501 O4836:O4848 O4736:O4748 O4096:O4105 O2530:O2555 O2412:O2462 O2191:O2200 O1027:O1042 O3136:O3149 O1057 O1491:O1509 O1079:O1115 O1131:O1218 O1233:O1306 O920 O2218:O2219 O2227:O2233 O762 O777 O792:O847 O468 O415 O448 O306:O315 O20 O236:O250">
    <cfRule type="expression" dxfId="3248" priority="7385" stopIfTrue="1">
      <formula>OR($O$20="F/S",$O$20="")</formula>
    </cfRule>
    <cfRule type="cellIs" dxfId="3247" priority="7386" stopIfTrue="1" operator="notEqual">
      <formula>0</formula>
    </cfRule>
  </conditionalFormatting>
  <conditionalFormatting sqref="L10">
    <cfRule type="expression" dxfId="3246" priority="7387" stopIfTrue="1">
      <formula>OR($L$10="F/S",$L$10="")</formula>
    </cfRule>
    <cfRule type="cellIs" dxfId="3245" priority="7388" stopIfTrue="1" operator="notEqual">
      <formula>0</formula>
    </cfRule>
  </conditionalFormatting>
  <conditionalFormatting sqref="O10">
    <cfRule type="expression" dxfId="3244" priority="7389" stopIfTrue="1">
      <formula>OR($O$10="F/S",$O$10="")</formula>
    </cfRule>
    <cfRule type="cellIs" dxfId="3243" priority="7390" stopIfTrue="1" operator="notEqual">
      <formula>0</formula>
    </cfRule>
  </conditionalFormatting>
  <conditionalFormatting sqref="L59">
    <cfRule type="expression" dxfId="3242" priority="7391" stopIfTrue="1">
      <formula>OR($L$59="F/S",$L$59="")</formula>
    </cfRule>
    <cfRule type="cellIs" dxfId="3241" priority="7392" stopIfTrue="1" operator="notEqual">
      <formula>0</formula>
    </cfRule>
  </conditionalFormatting>
  <conditionalFormatting sqref="O59">
    <cfRule type="expression" dxfId="3240" priority="7393" stopIfTrue="1">
      <formula>OR($O$59="F/S",$O$59="")</formula>
    </cfRule>
    <cfRule type="cellIs" dxfId="3239" priority="7394" stopIfTrue="1" operator="notEqual">
      <formula>0</formula>
    </cfRule>
  </conditionalFormatting>
  <conditionalFormatting sqref="L90">
    <cfRule type="expression" dxfId="3238" priority="7395" stopIfTrue="1">
      <formula>OR($L$90="F/S",$L$90="")</formula>
    </cfRule>
    <cfRule type="cellIs" dxfId="3237" priority="7396" stopIfTrue="1" operator="notEqual">
      <formula>0</formula>
    </cfRule>
  </conditionalFormatting>
  <conditionalFormatting sqref="O90">
    <cfRule type="expression" dxfId="3236" priority="7397" stopIfTrue="1">
      <formula>OR($O$90="F/S",$O$90="")</formula>
    </cfRule>
    <cfRule type="cellIs" dxfId="3235" priority="7398" stopIfTrue="1" operator="notEqual">
      <formula>0</formula>
    </cfRule>
  </conditionalFormatting>
  <conditionalFormatting sqref="L71">
    <cfRule type="expression" dxfId="3234" priority="7403" stopIfTrue="1">
      <formula>OR($L$71="F/S",$L$71="")</formula>
    </cfRule>
    <cfRule type="cellIs" dxfId="3233" priority="7404" stopIfTrue="1" operator="notEqual">
      <formula>0</formula>
    </cfRule>
  </conditionalFormatting>
  <conditionalFormatting sqref="O71">
    <cfRule type="expression" dxfId="3232" priority="7405" stopIfTrue="1">
      <formula>OR($O$71="F/S",$O$71="")</formula>
    </cfRule>
    <cfRule type="cellIs" dxfId="3231" priority="7406" stopIfTrue="1" operator="notEqual">
      <formula>0</formula>
    </cfRule>
  </conditionalFormatting>
  <conditionalFormatting sqref="L109">
    <cfRule type="expression" dxfId="3230" priority="7407" stopIfTrue="1">
      <formula>OR($L$109="F/S",$L$109="")</formula>
    </cfRule>
    <cfRule type="cellIs" dxfId="3229" priority="7408" stopIfTrue="1" operator="notEqual">
      <formula>0</formula>
    </cfRule>
  </conditionalFormatting>
  <conditionalFormatting sqref="O109">
    <cfRule type="expression" dxfId="3228" priority="7409" stopIfTrue="1">
      <formula>OR($O$109="F/S",$O$109="")</formula>
    </cfRule>
    <cfRule type="cellIs" dxfId="3227" priority="7410" stopIfTrue="1" operator="notEqual">
      <formula>0</formula>
    </cfRule>
  </conditionalFormatting>
  <conditionalFormatting sqref="L120">
    <cfRule type="expression" dxfId="3226" priority="7411" stopIfTrue="1">
      <formula>OR($L$120="F/S",$L$120="")</formula>
    </cfRule>
    <cfRule type="cellIs" dxfId="3225" priority="7412" stopIfTrue="1" operator="notEqual">
      <formula>0</formula>
    </cfRule>
  </conditionalFormatting>
  <conditionalFormatting sqref="O120">
    <cfRule type="expression" dxfId="3224" priority="7413" stopIfTrue="1">
      <formula>OR($O$120="F/S",$O$120="")</formula>
    </cfRule>
    <cfRule type="cellIs" dxfId="3223" priority="7414" stopIfTrue="1" operator="notEqual">
      <formula>0</formula>
    </cfRule>
  </conditionalFormatting>
  <conditionalFormatting sqref="L138">
    <cfRule type="expression" dxfId="3222" priority="7415" stopIfTrue="1">
      <formula>OR($L$138="F/S",$L$138="")</formula>
    </cfRule>
    <cfRule type="cellIs" dxfId="3221" priority="7416" stopIfTrue="1" operator="notEqual">
      <formula>0</formula>
    </cfRule>
  </conditionalFormatting>
  <conditionalFormatting sqref="O138">
    <cfRule type="expression" dxfId="3220" priority="7417" stopIfTrue="1">
      <formula>OR($O$138="F/S",$O$138="")</formula>
    </cfRule>
    <cfRule type="cellIs" dxfId="3219" priority="7418" stopIfTrue="1" operator="notEqual">
      <formula>0</formula>
    </cfRule>
  </conditionalFormatting>
  <conditionalFormatting sqref="L146">
    <cfRule type="expression" dxfId="3218" priority="7419" stopIfTrue="1">
      <formula>OR($L$146="F/S",$L$146="")</formula>
    </cfRule>
    <cfRule type="cellIs" dxfId="3217" priority="7420" stopIfTrue="1" operator="notEqual">
      <formula>0</formula>
    </cfRule>
  </conditionalFormatting>
  <conditionalFormatting sqref="O146">
    <cfRule type="expression" dxfId="3216" priority="7421" stopIfTrue="1">
      <formula>OR($O$146="F/S",$O$146="")</formula>
    </cfRule>
    <cfRule type="cellIs" dxfId="3215" priority="7422" stopIfTrue="1" operator="notEqual">
      <formula>0</formula>
    </cfRule>
  </conditionalFormatting>
  <conditionalFormatting sqref="L160">
    <cfRule type="expression" dxfId="3214" priority="7423" stopIfTrue="1">
      <formula>OR($L$160="F/S",$L$160="")</formula>
    </cfRule>
    <cfRule type="cellIs" dxfId="3213" priority="7424" stopIfTrue="1" operator="notEqual">
      <formula>0</formula>
    </cfRule>
  </conditionalFormatting>
  <conditionalFormatting sqref="O160">
    <cfRule type="expression" dxfId="3212" priority="7425" stopIfTrue="1">
      <formula>OR($O$160="F/S",$O$160="")</formula>
    </cfRule>
    <cfRule type="cellIs" dxfId="3211" priority="7426" stopIfTrue="1" operator="notEqual">
      <formula>0</formula>
    </cfRule>
  </conditionalFormatting>
  <conditionalFormatting sqref="L170">
    <cfRule type="expression" dxfId="3210" priority="7427" stopIfTrue="1">
      <formula>OR($L$170="F/S",$L$170="")</formula>
    </cfRule>
    <cfRule type="cellIs" dxfId="3209" priority="7428" stopIfTrue="1" operator="notEqual">
      <formula>0</formula>
    </cfRule>
  </conditionalFormatting>
  <conditionalFormatting sqref="O170">
    <cfRule type="expression" dxfId="3208" priority="7429" stopIfTrue="1">
      <formula>OR($O$170="F/S",$O$170="")</formula>
    </cfRule>
    <cfRule type="cellIs" dxfId="3207" priority="7430" stopIfTrue="1" operator="notEqual">
      <formula>0</formula>
    </cfRule>
  </conditionalFormatting>
  <conditionalFormatting sqref="L192">
    <cfRule type="expression" dxfId="3206" priority="7431" stopIfTrue="1">
      <formula>OR($L$192="F/S",$L$192="")</formula>
    </cfRule>
    <cfRule type="cellIs" dxfId="3205" priority="7432" stopIfTrue="1" operator="notEqual">
      <formula>0</formula>
    </cfRule>
  </conditionalFormatting>
  <conditionalFormatting sqref="O192">
    <cfRule type="expression" dxfId="3204" priority="7433" stopIfTrue="1">
      <formula>OR($O$192="F/S",$O$192="")</formula>
    </cfRule>
    <cfRule type="cellIs" dxfId="3203" priority="7434" stopIfTrue="1" operator="notEqual">
      <formula>0</formula>
    </cfRule>
  </conditionalFormatting>
  <conditionalFormatting sqref="L214">
    <cfRule type="expression" dxfId="3202" priority="7435" stopIfTrue="1">
      <formula>OR($L$214="F/S",$L$214="")</formula>
    </cfRule>
    <cfRule type="cellIs" dxfId="3201" priority="7436" stopIfTrue="1" operator="notEqual">
      <formula>0</formula>
    </cfRule>
  </conditionalFormatting>
  <conditionalFormatting sqref="O214">
    <cfRule type="expression" dxfId="3200" priority="7437" stopIfTrue="1">
      <formula>OR($O$214="F/S",$O$214="")</formula>
    </cfRule>
    <cfRule type="cellIs" dxfId="3199" priority="7438" stopIfTrue="1" operator="notEqual">
      <formula>0</formula>
    </cfRule>
  </conditionalFormatting>
  <conditionalFormatting sqref="L251">
    <cfRule type="expression" dxfId="3198" priority="7439" stopIfTrue="1">
      <formula>OR($L$251="F/S",$L$251="")</formula>
    </cfRule>
    <cfRule type="cellIs" dxfId="3197" priority="7440" stopIfTrue="1" operator="notEqual">
      <formula>0</formula>
    </cfRule>
  </conditionalFormatting>
  <conditionalFormatting sqref="O251">
    <cfRule type="expression" dxfId="3196" priority="7441" stopIfTrue="1">
      <formula>OR($O$251="F/S",$O$251="")</formula>
    </cfRule>
    <cfRule type="cellIs" dxfId="3195" priority="7442" stopIfTrue="1" operator="notEqual">
      <formula>0</formula>
    </cfRule>
  </conditionalFormatting>
  <conditionalFormatting sqref="L273">
    <cfRule type="expression" dxfId="3194" priority="7443" stopIfTrue="1">
      <formula>OR($L$273="F/S",$L$273="")</formula>
    </cfRule>
    <cfRule type="cellIs" dxfId="3193" priority="7444" stopIfTrue="1" operator="notEqual">
      <formula>0</formula>
    </cfRule>
  </conditionalFormatting>
  <conditionalFormatting sqref="O273">
    <cfRule type="expression" dxfId="3192" priority="7445" stopIfTrue="1">
      <formula>OR($O$273="F/S",$O$273="")</formula>
    </cfRule>
    <cfRule type="cellIs" dxfId="3191" priority="7446" stopIfTrue="1" operator="notEqual">
      <formula>0</formula>
    </cfRule>
  </conditionalFormatting>
  <conditionalFormatting sqref="L286">
    <cfRule type="expression" dxfId="3190" priority="7447" stopIfTrue="1">
      <formula>OR($L$286="F/S",$L$286="")</formula>
    </cfRule>
    <cfRule type="cellIs" dxfId="3189" priority="7448" stopIfTrue="1" operator="notEqual">
      <formula>0</formula>
    </cfRule>
  </conditionalFormatting>
  <conditionalFormatting sqref="O286">
    <cfRule type="expression" dxfId="3188" priority="7449" stopIfTrue="1">
      <formula>OR($O$286="F/S",$O$286="")</formula>
    </cfRule>
    <cfRule type="cellIs" dxfId="3187" priority="7450" stopIfTrue="1" operator="notEqual">
      <formula>0</formula>
    </cfRule>
  </conditionalFormatting>
  <conditionalFormatting sqref="L293">
    <cfRule type="expression" dxfId="3186" priority="7451" stopIfTrue="1">
      <formula>OR($L$293="F/S",$L$293="")</formula>
    </cfRule>
    <cfRule type="cellIs" dxfId="3185" priority="7452" stopIfTrue="1" operator="notEqual">
      <formula>0</formula>
    </cfRule>
  </conditionalFormatting>
  <conditionalFormatting sqref="O293">
    <cfRule type="expression" dxfId="3184" priority="7453" stopIfTrue="1">
      <formula>OR($O$293="F/S",$O$293="")</formula>
    </cfRule>
    <cfRule type="cellIs" dxfId="3183" priority="7454" stopIfTrue="1" operator="notEqual">
      <formula>0</formula>
    </cfRule>
  </conditionalFormatting>
  <conditionalFormatting sqref="L130">
    <cfRule type="expression" dxfId="3182" priority="7455" stopIfTrue="1">
      <formula>OR($L$130="F/S",$L$130="")</formula>
    </cfRule>
    <cfRule type="cellIs" dxfId="3181" priority="7456" stopIfTrue="1" operator="notEqual">
      <formula>0</formula>
    </cfRule>
  </conditionalFormatting>
  <conditionalFormatting sqref="O130">
    <cfRule type="expression" dxfId="3180" priority="7457" stopIfTrue="1">
      <formula>OR($O$130="F/S",$O$130="")</formula>
    </cfRule>
    <cfRule type="cellIs" dxfId="3179" priority="7458" stopIfTrue="1" operator="notEqual">
      <formula>0</formula>
    </cfRule>
  </conditionalFormatting>
  <conditionalFormatting sqref="L317">
    <cfRule type="expression" dxfId="3178" priority="7459" stopIfTrue="1">
      <formula>OR($L$317="F/S",$L$317="")</formula>
    </cfRule>
    <cfRule type="cellIs" dxfId="3177" priority="7460" stopIfTrue="1" operator="notEqual">
      <formula>0</formula>
    </cfRule>
  </conditionalFormatting>
  <conditionalFormatting sqref="O317">
    <cfRule type="expression" dxfId="3176" priority="7461" stopIfTrue="1">
      <formula>OR($O$317="F/S",$O$317="")</formula>
    </cfRule>
    <cfRule type="cellIs" dxfId="3175" priority="7462" stopIfTrue="1" operator="notEqual">
      <formula>0</formula>
    </cfRule>
  </conditionalFormatting>
  <conditionalFormatting sqref="L334">
    <cfRule type="expression" dxfId="3174" priority="7463" stopIfTrue="1">
      <formula>OR($L$334="F/S",$L$334="")</formula>
    </cfRule>
    <cfRule type="cellIs" dxfId="3173" priority="7464" stopIfTrue="1" operator="notEqual">
      <formula>0</formula>
    </cfRule>
  </conditionalFormatting>
  <conditionalFormatting sqref="O334">
    <cfRule type="expression" dxfId="3172" priority="7465" stopIfTrue="1">
      <formula>OR($O$334="F/S",$O$334="")</formula>
    </cfRule>
    <cfRule type="cellIs" dxfId="3171" priority="7466" stopIfTrue="1" operator="notEqual">
      <formula>0</formula>
    </cfRule>
  </conditionalFormatting>
  <conditionalFormatting sqref="L430">
    <cfRule type="expression" dxfId="3170" priority="7467" stopIfTrue="1">
      <formula>OR($L$430="F/S",$L$430="")</formula>
    </cfRule>
    <cfRule type="cellIs" dxfId="3169" priority="7468" stopIfTrue="1" operator="notEqual">
      <formula>0</formula>
    </cfRule>
  </conditionalFormatting>
  <conditionalFormatting sqref="O430">
    <cfRule type="expression" dxfId="3168" priority="7469" stopIfTrue="1">
      <formula>OR($O$430="F/S",$O$430="")</formula>
    </cfRule>
    <cfRule type="cellIs" dxfId="3167" priority="7470" stopIfTrue="1" operator="notEqual">
      <formula>0</formula>
    </cfRule>
  </conditionalFormatting>
  <conditionalFormatting sqref="L356">
    <cfRule type="expression" dxfId="3166" priority="7471" stopIfTrue="1">
      <formula>OR($L$356="F/S",$L$356="")</formula>
    </cfRule>
    <cfRule type="cellIs" dxfId="3165" priority="7472" stopIfTrue="1" operator="notEqual">
      <formula>0</formula>
    </cfRule>
  </conditionalFormatting>
  <conditionalFormatting sqref="O356">
    <cfRule type="expression" dxfId="3164" priority="7473" stopIfTrue="1">
      <formula>OR($O$356="F/S",$O$356="")</formula>
    </cfRule>
    <cfRule type="cellIs" dxfId="3163" priority="7474" stopIfTrue="1" operator="notEqual">
      <formula>0</formula>
    </cfRule>
  </conditionalFormatting>
  <conditionalFormatting sqref="L378">
    <cfRule type="expression" dxfId="3162" priority="7475" stopIfTrue="1">
      <formula>OR($L$378="F/S",$L$378="")</formula>
    </cfRule>
    <cfRule type="cellIs" dxfId="3161" priority="7476" stopIfTrue="1" operator="notEqual">
      <formula>0</formula>
    </cfRule>
  </conditionalFormatting>
  <conditionalFormatting sqref="O378">
    <cfRule type="expression" dxfId="3160" priority="7477" stopIfTrue="1">
      <formula>OR($O$378="F/S",$O$378="")</formula>
    </cfRule>
    <cfRule type="cellIs" dxfId="3159" priority="7478" stopIfTrue="1" operator="notEqual">
      <formula>0</formula>
    </cfRule>
  </conditionalFormatting>
  <conditionalFormatting sqref="L400">
    <cfRule type="expression" dxfId="3158" priority="7479" stopIfTrue="1">
      <formula>OR($L$400="F/S",$L$400="")</formula>
    </cfRule>
    <cfRule type="cellIs" dxfId="3157" priority="7480" stopIfTrue="1" operator="notEqual">
      <formula>0</formula>
    </cfRule>
  </conditionalFormatting>
  <conditionalFormatting sqref="O400">
    <cfRule type="expression" dxfId="3156" priority="7481" stopIfTrue="1">
      <formula>OR($O$400="F/S",$O$400="")</formula>
    </cfRule>
    <cfRule type="cellIs" dxfId="3155" priority="7482" stopIfTrue="1" operator="notEqual">
      <formula>0</formula>
    </cfRule>
  </conditionalFormatting>
  <conditionalFormatting sqref="L515">
    <cfRule type="expression" dxfId="3154" priority="7483" stopIfTrue="1">
      <formula>OR($L$515="F/S",$L$515="")</formula>
    </cfRule>
    <cfRule type="cellIs" dxfId="3153" priority="7484" stopIfTrue="1" operator="notEqual">
      <formula>0</formula>
    </cfRule>
  </conditionalFormatting>
  <conditionalFormatting sqref="O515">
    <cfRule type="expression" dxfId="3152" priority="7485" stopIfTrue="1">
      <formula>OR($O$515="F/S",$O$515="")</formula>
    </cfRule>
    <cfRule type="cellIs" dxfId="3151" priority="7486" stopIfTrue="1" operator="notEqual">
      <formula>0</formula>
    </cfRule>
  </conditionalFormatting>
  <conditionalFormatting sqref="L535">
    <cfRule type="expression" dxfId="3150" priority="7487" stopIfTrue="1">
      <formula>OR($L$535="F/S",$L$535="")</formula>
    </cfRule>
    <cfRule type="cellIs" dxfId="3149" priority="7488" stopIfTrue="1" operator="notEqual">
      <formula>0</formula>
    </cfRule>
  </conditionalFormatting>
  <conditionalFormatting sqref="O535">
    <cfRule type="expression" dxfId="3148" priority="7489" stopIfTrue="1">
      <formula>OR($O$535="F/S",$O$535="")</formula>
    </cfRule>
    <cfRule type="cellIs" dxfId="3147" priority="7490" stopIfTrue="1" operator="notEqual">
      <formula>0</formula>
    </cfRule>
  </conditionalFormatting>
  <conditionalFormatting sqref="L579">
    <cfRule type="expression" dxfId="3146" priority="7491" stopIfTrue="1">
      <formula>OR($L$579="F/S",$L$579="")</formula>
    </cfRule>
    <cfRule type="cellIs" dxfId="3145" priority="7492" stopIfTrue="1" operator="notEqual">
      <formula>0</formula>
    </cfRule>
  </conditionalFormatting>
  <conditionalFormatting sqref="O579">
    <cfRule type="expression" dxfId="3144" priority="7493" stopIfTrue="1">
      <formula>OR($O$579="F/S",$O$579="")</formula>
    </cfRule>
    <cfRule type="cellIs" dxfId="3143" priority="7494" stopIfTrue="1" operator="notEqual">
      <formula>0</formula>
    </cfRule>
  </conditionalFormatting>
  <conditionalFormatting sqref="L601">
    <cfRule type="expression" dxfId="3142" priority="7495" stopIfTrue="1">
      <formula>OR($L$601="F/S",$L$601="")</formula>
    </cfRule>
    <cfRule type="cellIs" dxfId="3141" priority="7496" stopIfTrue="1" operator="notEqual">
      <formula>0</formula>
    </cfRule>
  </conditionalFormatting>
  <conditionalFormatting sqref="O601">
    <cfRule type="expression" dxfId="3140" priority="7497" stopIfTrue="1">
      <formula>OR($O$601="F/S",$O$601="")</formula>
    </cfRule>
    <cfRule type="cellIs" dxfId="3139" priority="7498" stopIfTrue="1" operator="notEqual">
      <formula>0</formula>
    </cfRule>
  </conditionalFormatting>
  <conditionalFormatting sqref="L611">
    <cfRule type="expression" dxfId="3138" priority="7499" stopIfTrue="1">
      <formula>OR($L$611="F/S",$L$611="")</formula>
    </cfRule>
    <cfRule type="cellIs" dxfId="3137" priority="7500" stopIfTrue="1" operator="notEqual">
      <formula>0</formula>
    </cfRule>
  </conditionalFormatting>
  <conditionalFormatting sqref="O611">
    <cfRule type="expression" dxfId="3136" priority="7501" stopIfTrue="1">
      <formula>OR($O$611="F/S",$O$611="")</formula>
    </cfRule>
    <cfRule type="cellIs" dxfId="3135" priority="7502" stopIfTrue="1" operator="notEqual">
      <formula>0</formula>
    </cfRule>
  </conditionalFormatting>
  <conditionalFormatting sqref="L618">
    <cfRule type="expression" dxfId="3134" priority="7503" stopIfTrue="1">
      <formula>OR($L$618="F/S",$L$618="")</formula>
    </cfRule>
    <cfRule type="cellIs" dxfId="3133" priority="7504" stopIfTrue="1" operator="notEqual">
      <formula>0</formula>
    </cfRule>
  </conditionalFormatting>
  <conditionalFormatting sqref="O618">
    <cfRule type="expression" dxfId="3132" priority="7505" stopIfTrue="1">
      <formula>OR($O$618="F/S",$O$618="")</formula>
    </cfRule>
    <cfRule type="cellIs" dxfId="3131" priority="7506" stopIfTrue="1" operator="notEqual">
      <formula>0</formula>
    </cfRule>
  </conditionalFormatting>
  <conditionalFormatting sqref="L629">
    <cfRule type="expression" dxfId="3130" priority="7507" stopIfTrue="1">
      <formula>OR($L$629="F/S",$L$629="")</formula>
    </cfRule>
    <cfRule type="cellIs" dxfId="3129" priority="7508" stopIfTrue="1" operator="notEqual">
      <formula>0</formula>
    </cfRule>
  </conditionalFormatting>
  <conditionalFormatting sqref="O629">
    <cfRule type="expression" dxfId="3128" priority="7509" stopIfTrue="1">
      <formula>OR($O$629="F/S",$O$629="")</formula>
    </cfRule>
    <cfRule type="cellIs" dxfId="3127" priority="7510" stopIfTrue="1" operator="notEqual">
      <formula>0</formula>
    </cfRule>
  </conditionalFormatting>
  <conditionalFormatting sqref="L648">
    <cfRule type="expression" dxfId="3126" priority="7511" stopIfTrue="1">
      <formula>OR($L$648="F/S",$L$648="")</formula>
    </cfRule>
    <cfRule type="cellIs" dxfId="3125" priority="7512" stopIfTrue="1" operator="notEqual">
      <formula>0</formula>
    </cfRule>
  </conditionalFormatting>
  <conditionalFormatting sqref="O648">
    <cfRule type="expression" dxfId="3124" priority="7513" stopIfTrue="1">
      <formula>OR($O$648="F/S",$O$648="")</formula>
    </cfRule>
    <cfRule type="cellIs" dxfId="3123" priority="7514" stopIfTrue="1" operator="notEqual">
      <formula>0</formula>
    </cfRule>
  </conditionalFormatting>
  <conditionalFormatting sqref="L658">
    <cfRule type="expression" dxfId="3122" priority="7515" stopIfTrue="1">
      <formula>OR($L$658="F/S",$L$658="")</formula>
    </cfRule>
    <cfRule type="cellIs" dxfId="3121" priority="7516" stopIfTrue="1" operator="notEqual">
      <formula>0</formula>
    </cfRule>
  </conditionalFormatting>
  <conditionalFormatting sqref="O658">
    <cfRule type="expression" dxfId="3120" priority="7517" stopIfTrue="1">
      <formula>OR($O$658="F/S",$O$658="")</formula>
    </cfRule>
    <cfRule type="cellIs" dxfId="3119" priority="7518" stopIfTrue="1" operator="notEqual">
      <formula>0</formula>
    </cfRule>
  </conditionalFormatting>
  <conditionalFormatting sqref="L485">
    <cfRule type="expression" dxfId="3118" priority="7519" stopIfTrue="1">
      <formula>OR($L$485="F/S",$L$485="")</formula>
    </cfRule>
    <cfRule type="cellIs" dxfId="3117" priority="7520" stopIfTrue="1" operator="notEqual">
      <formula>0</formula>
    </cfRule>
  </conditionalFormatting>
  <conditionalFormatting sqref="O485">
    <cfRule type="expression" dxfId="3116" priority="7521" stopIfTrue="1">
      <formula>OR($O$485="F/S",$O$485="")</formula>
    </cfRule>
    <cfRule type="cellIs" dxfId="3115" priority="7522" stopIfTrue="1" operator="notEqual">
      <formula>0</formula>
    </cfRule>
  </conditionalFormatting>
  <conditionalFormatting sqref="L500">
    <cfRule type="expression" dxfId="3114" priority="7523" stopIfTrue="1">
      <formula>OR($L$500="F/S",$L$500="")</formula>
    </cfRule>
    <cfRule type="cellIs" dxfId="3113" priority="7524" stopIfTrue="1" operator="notEqual">
      <formula>0</formula>
    </cfRule>
  </conditionalFormatting>
  <conditionalFormatting sqref="O500">
    <cfRule type="expression" dxfId="3112" priority="7525" stopIfTrue="1">
      <formula>OR($O$500="F/S",$O$500="")</formula>
    </cfRule>
    <cfRule type="cellIs" dxfId="3111" priority="7526" stopIfTrue="1" operator="notEqual">
      <formula>0</formula>
    </cfRule>
  </conditionalFormatting>
  <conditionalFormatting sqref="L559">
    <cfRule type="expression" dxfId="3110" priority="7527" stopIfTrue="1">
      <formula>OR($L$559="F/S",$L$559="")</formula>
    </cfRule>
    <cfRule type="cellIs" dxfId="3109" priority="7528" stopIfTrue="1" operator="notEqual">
      <formula>0</formula>
    </cfRule>
  </conditionalFormatting>
  <conditionalFormatting sqref="O559">
    <cfRule type="expression" dxfId="3108" priority="7529" stopIfTrue="1">
      <formula>OR($O$559="F/S",$O$559="")</formula>
    </cfRule>
    <cfRule type="cellIs" dxfId="3107" priority="7530" stopIfTrue="1" operator="notEqual">
      <formula>0</formula>
    </cfRule>
  </conditionalFormatting>
  <conditionalFormatting sqref="L569">
    <cfRule type="expression" dxfId="3106" priority="7531" stopIfTrue="1">
      <formula>OR($L$569="F/S",$L$569="")</formula>
    </cfRule>
    <cfRule type="cellIs" dxfId="3105" priority="7532" stopIfTrue="1" operator="notEqual">
      <formula>0</formula>
    </cfRule>
  </conditionalFormatting>
  <conditionalFormatting sqref="O569">
    <cfRule type="expression" dxfId="3104" priority="7533" stopIfTrue="1">
      <formula>OR($O$569="F/S",$O$569="")</formula>
    </cfRule>
    <cfRule type="cellIs" dxfId="3103" priority="7534" stopIfTrue="1" operator="notEqual">
      <formula>0</formula>
    </cfRule>
  </conditionalFormatting>
  <conditionalFormatting sqref="L668">
    <cfRule type="expression" dxfId="3102" priority="7539" stopIfTrue="1">
      <formula>OR($L$668="F/S",$L$668="")</formula>
    </cfRule>
    <cfRule type="cellIs" dxfId="3101" priority="7540" stopIfTrue="1" operator="notEqual">
      <formula>0</formula>
    </cfRule>
  </conditionalFormatting>
  <conditionalFormatting sqref="O668">
    <cfRule type="expression" dxfId="3100" priority="7541" stopIfTrue="1">
      <formula>OR($O$668="F/S",$O$668="")</formula>
    </cfRule>
    <cfRule type="cellIs" dxfId="3099" priority="7542" stopIfTrue="1" operator="notEqual">
      <formula>0</formula>
    </cfRule>
  </conditionalFormatting>
  <conditionalFormatting sqref="L678">
    <cfRule type="expression" dxfId="3098" priority="7543" stopIfTrue="1">
      <formula>OR($L$678="F/S",$L$678="")</formula>
    </cfRule>
    <cfRule type="cellIs" dxfId="3097" priority="7544" stopIfTrue="1" operator="notEqual">
      <formula>0</formula>
    </cfRule>
  </conditionalFormatting>
  <conditionalFormatting sqref="O678">
    <cfRule type="expression" dxfId="3096" priority="7545" stopIfTrue="1">
      <formula>OR($O$678="F/S",$O$678="")</formula>
    </cfRule>
    <cfRule type="cellIs" dxfId="3095" priority="7546" stopIfTrue="1" operator="notEqual">
      <formula>0</formula>
    </cfRule>
  </conditionalFormatting>
  <conditionalFormatting sqref="L688">
    <cfRule type="expression" dxfId="3094" priority="7547" stopIfTrue="1">
      <formula>OR($L$688="F/S",$L$688="")</formula>
    </cfRule>
    <cfRule type="cellIs" dxfId="3093" priority="7548" stopIfTrue="1" operator="notEqual">
      <formula>0</formula>
    </cfRule>
  </conditionalFormatting>
  <conditionalFormatting sqref="O688">
    <cfRule type="expression" dxfId="3092" priority="7549" stopIfTrue="1">
      <formula>OR($O$688="F/S",$O$688="")</formula>
    </cfRule>
    <cfRule type="cellIs" dxfId="3091" priority="7550" stopIfTrue="1" operator="notEqual">
      <formula>0</formula>
    </cfRule>
  </conditionalFormatting>
  <conditionalFormatting sqref="L698">
    <cfRule type="expression" dxfId="3090" priority="7555" stopIfTrue="1">
      <formula>OR($L$698="F/S",$L$698="")</formula>
    </cfRule>
    <cfRule type="cellIs" dxfId="3089" priority="7556" stopIfTrue="1" operator="notEqual">
      <formula>0</formula>
    </cfRule>
  </conditionalFormatting>
  <conditionalFormatting sqref="O698">
    <cfRule type="expression" dxfId="3088" priority="7557" stopIfTrue="1">
      <formula>OR($O$698="F/S",$O$698="")</formula>
    </cfRule>
    <cfRule type="cellIs" dxfId="3087" priority="7558" stopIfTrue="1" operator="notEqual">
      <formula>0</formula>
    </cfRule>
  </conditionalFormatting>
  <conditionalFormatting sqref="L706">
    <cfRule type="expression" dxfId="3086" priority="7559" stopIfTrue="1">
      <formula>OR($L$706="F/S",$L$706="")</formula>
    </cfRule>
    <cfRule type="cellIs" dxfId="3085" priority="7560" stopIfTrue="1" operator="notEqual">
      <formula>0</formula>
    </cfRule>
  </conditionalFormatting>
  <conditionalFormatting sqref="O706">
    <cfRule type="expression" dxfId="3084" priority="7561" stopIfTrue="1">
      <formula>OR($O$706="F/S",$O$706="")</formula>
    </cfRule>
    <cfRule type="cellIs" dxfId="3083" priority="7562" stopIfTrue="1" operator="notEqual">
      <formula>0</formula>
    </cfRule>
  </conditionalFormatting>
  <conditionalFormatting sqref="L721">
    <cfRule type="expression" dxfId="3082" priority="7563" stopIfTrue="1">
      <formula>OR($L$721="F/S",$L$721="")</formula>
    </cfRule>
    <cfRule type="cellIs" dxfId="3081" priority="7564" stopIfTrue="1" operator="notEqual">
      <formula>0</formula>
    </cfRule>
  </conditionalFormatting>
  <conditionalFormatting sqref="O721">
    <cfRule type="expression" dxfId="3080" priority="7565" stopIfTrue="1">
      <formula>OR($O$721="F/S",$O$721="")</formula>
    </cfRule>
    <cfRule type="cellIs" dxfId="3079" priority="7566" stopIfTrue="1" operator="notEqual">
      <formula>0</formula>
    </cfRule>
  </conditionalFormatting>
  <conditionalFormatting sqref="L740">
    <cfRule type="expression" dxfId="3078" priority="7567" stopIfTrue="1">
      <formula>OR($L$740="F/S",$L$740="")</formula>
    </cfRule>
    <cfRule type="cellIs" dxfId="3077" priority="7568" stopIfTrue="1" operator="notEqual">
      <formula>0</formula>
    </cfRule>
  </conditionalFormatting>
  <conditionalFormatting sqref="O740">
    <cfRule type="expression" dxfId="3076" priority="7569" stopIfTrue="1">
      <formula>OR($O$740="F/S",$O$740="")</formula>
    </cfRule>
    <cfRule type="cellIs" dxfId="3075" priority="7570" stopIfTrue="1" operator="notEqual">
      <formula>0</formula>
    </cfRule>
  </conditionalFormatting>
  <conditionalFormatting sqref="L848">
    <cfRule type="expression" dxfId="3074" priority="7571" stopIfTrue="1">
      <formula>OR($L$848="F/S",$L$848="")</formula>
    </cfRule>
    <cfRule type="cellIs" dxfId="3073" priority="7572" stopIfTrue="1" operator="notEqual">
      <formula>0</formula>
    </cfRule>
  </conditionalFormatting>
  <conditionalFormatting sqref="O848">
    <cfRule type="expression" dxfId="3072" priority="7573" stopIfTrue="1">
      <formula>OR($O$848="F/S",$O$848="")</formula>
    </cfRule>
    <cfRule type="cellIs" dxfId="3071" priority="7574" stopIfTrue="1" operator="notEqual">
      <formula>0</formula>
    </cfRule>
  </conditionalFormatting>
  <conditionalFormatting sqref="L859">
    <cfRule type="expression" dxfId="3070" priority="7575" stopIfTrue="1">
      <formula>OR($L$859="F/S",$L$859="")</formula>
    </cfRule>
    <cfRule type="cellIs" dxfId="3069" priority="7576" stopIfTrue="1" operator="notEqual">
      <formula>0</formula>
    </cfRule>
  </conditionalFormatting>
  <conditionalFormatting sqref="O859">
    <cfRule type="expression" dxfId="3068" priority="7577" stopIfTrue="1">
      <formula>OR($O$859="F/S",$O$859="")</formula>
    </cfRule>
    <cfRule type="cellIs" dxfId="3067" priority="7578" stopIfTrue="1" operator="notEqual">
      <formula>0</formula>
    </cfRule>
  </conditionalFormatting>
  <conditionalFormatting sqref="L871">
    <cfRule type="expression" dxfId="3066" priority="7579" stopIfTrue="1">
      <formula>OR($L$871="F/S",$L$871="")</formula>
    </cfRule>
    <cfRule type="cellIs" dxfId="3065" priority="7580" stopIfTrue="1" operator="notEqual">
      <formula>0</formula>
    </cfRule>
  </conditionalFormatting>
  <conditionalFormatting sqref="O871">
    <cfRule type="expression" dxfId="3064" priority="7581" stopIfTrue="1">
      <formula>OR($O$871="F/S",$O$871="")</formula>
    </cfRule>
    <cfRule type="cellIs" dxfId="3063" priority="7582" stopIfTrue="1" operator="notEqual">
      <formula>0</formula>
    </cfRule>
  </conditionalFormatting>
  <conditionalFormatting sqref="L890">
    <cfRule type="expression" dxfId="3062" priority="7583" stopIfTrue="1">
      <formula>OR($L$890="F/S",$L$890="")</formula>
    </cfRule>
    <cfRule type="cellIs" dxfId="3061" priority="7584" stopIfTrue="1" operator="notEqual">
      <formula>0</formula>
    </cfRule>
  </conditionalFormatting>
  <conditionalFormatting sqref="O890">
    <cfRule type="expression" dxfId="3060" priority="7585" stopIfTrue="1">
      <formula>OR($O$890="F/S",$O$890="")</formula>
    </cfRule>
    <cfRule type="cellIs" dxfId="3059" priority="7586" stopIfTrue="1" operator="notEqual">
      <formula>0</formula>
    </cfRule>
  </conditionalFormatting>
  <conditionalFormatting sqref="L910">
    <cfRule type="expression" dxfId="3058" priority="7591" stopIfTrue="1">
      <formula>OR($L$910="F/S",$L$910="")</formula>
    </cfRule>
    <cfRule type="cellIs" dxfId="3057" priority="7592" stopIfTrue="1" operator="notEqual">
      <formula>0</formula>
    </cfRule>
  </conditionalFormatting>
  <conditionalFormatting sqref="O910">
    <cfRule type="expression" dxfId="3056" priority="7593" stopIfTrue="1">
      <formula>OR($O$910="F/S",$O$910="")</formula>
    </cfRule>
    <cfRule type="cellIs" dxfId="3055" priority="7594" stopIfTrue="1" operator="notEqual">
      <formula>0</formula>
    </cfRule>
  </conditionalFormatting>
  <conditionalFormatting sqref="L900">
    <cfRule type="expression" dxfId="3054" priority="7595" stopIfTrue="1">
      <formula>OR($L$900="F/S",$L$900="")</formula>
    </cfRule>
    <cfRule type="cellIs" dxfId="3053" priority="7596" stopIfTrue="1" operator="notEqual">
      <formula>0</formula>
    </cfRule>
  </conditionalFormatting>
  <conditionalFormatting sqref="O900">
    <cfRule type="expression" dxfId="3052" priority="7597" stopIfTrue="1">
      <formula>OR($O$900="F/S",$O$900="")</formula>
    </cfRule>
    <cfRule type="cellIs" dxfId="3051" priority="7598" stopIfTrue="1" operator="notEqual">
      <formula>0</formula>
    </cfRule>
  </conditionalFormatting>
  <conditionalFormatting sqref="L934">
    <cfRule type="expression" dxfId="3050" priority="7603" stopIfTrue="1">
      <formula>OR($L$934="F/S",$L$934="")</formula>
    </cfRule>
    <cfRule type="cellIs" dxfId="3049" priority="7604" stopIfTrue="1" operator="notEqual">
      <formula>0</formula>
    </cfRule>
  </conditionalFormatting>
  <conditionalFormatting sqref="O934">
    <cfRule type="expression" dxfId="3048" priority="7605" stopIfTrue="1">
      <formula>OR($O$934="F/S",$O$934="")</formula>
    </cfRule>
    <cfRule type="cellIs" dxfId="3047" priority="7606" stopIfTrue="1" operator="notEqual">
      <formula>0</formula>
    </cfRule>
  </conditionalFormatting>
  <conditionalFormatting sqref="L944">
    <cfRule type="expression" dxfId="3046" priority="7607" stopIfTrue="1">
      <formula>OR($L$944="F/S",$L$944="")</formula>
    </cfRule>
    <cfRule type="cellIs" dxfId="3045" priority="7608" stopIfTrue="1" operator="notEqual">
      <formula>0</formula>
    </cfRule>
  </conditionalFormatting>
  <conditionalFormatting sqref="O944">
    <cfRule type="expression" dxfId="3044" priority="7609" stopIfTrue="1">
      <formula>OR($O$944="F/S",$O$944="")</formula>
    </cfRule>
    <cfRule type="cellIs" dxfId="3043" priority="7610" stopIfTrue="1" operator="notEqual">
      <formula>0</formula>
    </cfRule>
  </conditionalFormatting>
  <conditionalFormatting sqref="L956">
    <cfRule type="expression" dxfId="3042" priority="7611" stopIfTrue="1">
      <formula>OR($L$956="F/S",$L$956="")</formula>
    </cfRule>
    <cfRule type="cellIs" dxfId="3041" priority="7612" stopIfTrue="1" operator="notEqual">
      <formula>0</formula>
    </cfRule>
  </conditionalFormatting>
  <conditionalFormatting sqref="O956">
    <cfRule type="expression" dxfId="3040" priority="7613" stopIfTrue="1">
      <formula>OR($O$956="F/S",$O$956="")</formula>
    </cfRule>
    <cfRule type="cellIs" dxfId="3039" priority="7614" stopIfTrue="1" operator="notEqual">
      <formula>0</formula>
    </cfRule>
  </conditionalFormatting>
  <conditionalFormatting sqref="L967">
    <cfRule type="expression" dxfId="3038" priority="7615" stopIfTrue="1">
      <formula>OR($L$967="F/S",$L$967="")</formula>
    </cfRule>
    <cfRule type="cellIs" dxfId="3037" priority="7616" stopIfTrue="1" operator="notEqual">
      <formula>0</formula>
    </cfRule>
  </conditionalFormatting>
  <conditionalFormatting sqref="O967">
    <cfRule type="expression" dxfId="3036" priority="7617" stopIfTrue="1">
      <formula>OR($O$967="F/S",$O$967="")</formula>
    </cfRule>
    <cfRule type="cellIs" dxfId="3035" priority="7618" stopIfTrue="1" operator="notEqual">
      <formula>0</formula>
    </cfRule>
  </conditionalFormatting>
  <conditionalFormatting sqref="L977">
    <cfRule type="expression" dxfId="3034" priority="7619" stopIfTrue="1">
      <formula>OR($L$977="F/S",$L$977="")</formula>
    </cfRule>
    <cfRule type="cellIs" dxfId="3033" priority="7620" stopIfTrue="1" operator="notEqual">
      <formula>0</formula>
    </cfRule>
  </conditionalFormatting>
  <conditionalFormatting sqref="O977">
    <cfRule type="expression" dxfId="3032" priority="7621" stopIfTrue="1">
      <formula>OR($O$977="F/S",$O$977="")</formula>
    </cfRule>
    <cfRule type="cellIs" dxfId="3031" priority="7622" stopIfTrue="1" operator="notEqual">
      <formula>0</formula>
    </cfRule>
  </conditionalFormatting>
  <conditionalFormatting sqref="L988">
    <cfRule type="expression" dxfId="3030" priority="7623" stopIfTrue="1">
      <formula>OR($L$988="F/S",$L$988="")</formula>
    </cfRule>
    <cfRule type="cellIs" dxfId="3029" priority="7624" stopIfTrue="1" operator="notEqual">
      <formula>0</formula>
    </cfRule>
  </conditionalFormatting>
  <conditionalFormatting sqref="O988">
    <cfRule type="expression" dxfId="3028" priority="7625" stopIfTrue="1">
      <formula>OR($O$988="F/S",$O$988="")</formula>
    </cfRule>
    <cfRule type="cellIs" dxfId="3027" priority="7626" stopIfTrue="1" operator="notEqual">
      <formula>0</formula>
    </cfRule>
  </conditionalFormatting>
  <conditionalFormatting sqref="L1013">
    <cfRule type="expression" dxfId="3026" priority="7627" stopIfTrue="1">
      <formula>OR($L$1013="F/S",$L$1013="")</formula>
    </cfRule>
    <cfRule type="cellIs" dxfId="3025" priority="7628" stopIfTrue="1" operator="notEqual">
      <formula>0</formula>
    </cfRule>
  </conditionalFormatting>
  <conditionalFormatting sqref="O1013">
    <cfRule type="expression" dxfId="3024" priority="7629" stopIfTrue="1">
      <formula>OR($O$1013="F/S",$O$1013="")</formula>
    </cfRule>
    <cfRule type="cellIs" dxfId="3023" priority="7630" stopIfTrue="1" operator="notEqual">
      <formula>0</formula>
    </cfRule>
  </conditionalFormatting>
  <conditionalFormatting sqref="L1043">
    <cfRule type="expression" dxfId="3022" priority="7631" stopIfTrue="1">
      <formula>OR($L$1043="F/S",$L$1043="")</formula>
    </cfRule>
    <cfRule type="cellIs" dxfId="3021" priority="7632" stopIfTrue="1" operator="notEqual">
      <formula>0</formula>
    </cfRule>
  </conditionalFormatting>
  <conditionalFormatting sqref="O1043">
    <cfRule type="expression" dxfId="3020" priority="7633" stopIfTrue="1">
      <formula>OR($O$1043="F/S",$O$1043="")</formula>
    </cfRule>
    <cfRule type="cellIs" dxfId="3019" priority="7634" stopIfTrue="1" operator="notEqual">
      <formula>0</formula>
    </cfRule>
  </conditionalFormatting>
  <conditionalFormatting sqref="L1219">
    <cfRule type="expression" dxfId="3018" priority="7635" stopIfTrue="1">
      <formula>OR($L$1219="F/S",$L$1219="")</formula>
    </cfRule>
    <cfRule type="cellIs" dxfId="3017" priority="7636" stopIfTrue="1" operator="notEqual">
      <formula>0</formula>
    </cfRule>
  </conditionalFormatting>
  <conditionalFormatting sqref="O1219">
    <cfRule type="expression" dxfId="3016" priority="7637" stopIfTrue="1">
      <formula>OR($O$1219="F/S",$O$1219="")</formula>
    </cfRule>
    <cfRule type="cellIs" dxfId="3015" priority="7638" stopIfTrue="1" operator="notEqual">
      <formula>0</formula>
    </cfRule>
  </conditionalFormatting>
  <conditionalFormatting sqref="L1307">
    <cfRule type="expression" dxfId="3014" priority="7639" stopIfTrue="1">
      <formula>OR($L$1307="F/S",$L$1307="")</formula>
    </cfRule>
    <cfRule type="cellIs" dxfId="3013" priority="7640" stopIfTrue="1" operator="notEqual">
      <formula>0</formula>
    </cfRule>
  </conditionalFormatting>
  <conditionalFormatting sqref="O1307">
    <cfRule type="expression" dxfId="3012" priority="7641" stopIfTrue="1">
      <formula>OR($O$1307="F/S",$O$1307="")</formula>
    </cfRule>
    <cfRule type="cellIs" dxfId="3011" priority="7642" stopIfTrue="1" operator="notEqual">
      <formula>0</formula>
    </cfRule>
  </conditionalFormatting>
  <conditionalFormatting sqref="L1409">
    <cfRule type="expression" dxfId="3010" priority="7643" stopIfTrue="1">
      <formula>OR($L$1409="F/S",$L$1409="")</formula>
    </cfRule>
    <cfRule type="cellIs" dxfId="3009" priority="7644" stopIfTrue="1" operator="notEqual">
      <formula>0</formula>
    </cfRule>
  </conditionalFormatting>
  <conditionalFormatting sqref="O1409">
    <cfRule type="expression" dxfId="3008" priority="7645" stopIfTrue="1">
      <formula>OR($O$1409="F/S",$O$1409="")</formula>
    </cfRule>
    <cfRule type="cellIs" dxfId="3007" priority="7646" stopIfTrue="1" operator="notEqual">
      <formula>0</formula>
    </cfRule>
  </conditionalFormatting>
  <conditionalFormatting sqref="L1116">
    <cfRule type="expression" dxfId="3006" priority="7647" stopIfTrue="1">
      <formula>OR($L$1116="F/S",$L$1116="")</formula>
    </cfRule>
    <cfRule type="cellIs" dxfId="3005" priority="7648" stopIfTrue="1" operator="notEqual">
      <formula>0</formula>
    </cfRule>
  </conditionalFormatting>
  <conditionalFormatting sqref="O1116">
    <cfRule type="expression" dxfId="3004" priority="7649" stopIfTrue="1">
      <formula>OR($O$1116="F/S",$O$1116="")</formula>
    </cfRule>
    <cfRule type="cellIs" dxfId="3003" priority="7650" stopIfTrue="1" operator="notEqual">
      <formula>0</formula>
    </cfRule>
  </conditionalFormatting>
  <conditionalFormatting sqref="L1326">
    <cfRule type="expression" dxfId="3002" priority="7651" stopIfTrue="1">
      <formula>OR($L$1326="F/S",$L$1326="")</formula>
    </cfRule>
    <cfRule type="cellIs" dxfId="3001" priority="7652" stopIfTrue="1" operator="notEqual">
      <formula>0</formula>
    </cfRule>
  </conditionalFormatting>
  <conditionalFormatting sqref="O1326">
    <cfRule type="expression" dxfId="3000" priority="7653" stopIfTrue="1">
      <formula>OR($O$1326="F/S",$O$1326="")</formula>
    </cfRule>
    <cfRule type="cellIs" dxfId="2999" priority="7654" stopIfTrue="1" operator="notEqual">
      <formula>0</formula>
    </cfRule>
  </conditionalFormatting>
  <conditionalFormatting sqref="L1348">
    <cfRule type="expression" dxfId="2998" priority="7655" stopIfTrue="1">
      <formula>OR($L$1348="F/S",$L$1348="")</formula>
    </cfRule>
    <cfRule type="cellIs" dxfId="2997" priority="7656" stopIfTrue="1" operator="notEqual">
      <formula>0</formula>
    </cfRule>
  </conditionalFormatting>
  <conditionalFormatting sqref="O1348">
    <cfRule type="expression" dxfId="2996" priority="7657" stopIfTrue="1">
      <formula>OR($O$1348="F/S",$O$1348="")</formula>
    </cfRule>
    <cfRule type="cellIs" dxfId="2995" priority="7658" stopIfTrue="1" operator="notEqual">
      <formula>0</formula>
    </cfRule>
  </conditionalFormatting>
  <conditionalFormatting sqref="L1469">
    <cfRule type="expression" dxfId="2994" priority="7659" stopIfTrue="1">
      <formula>OR($L$1469="F/S",$L$1469="")</formula>
    </cfRule>
    <cfRule type="cellIs" dxfId="2993" priority="7660" stopIfTrue="1" operator="notEqual">
      <formula>0</formula>
    </cfRule>
  </conditionalFormatting>
  <conditionalFormatting sqref="O1469">
    <cfRule type="expression" dxfId="2992" priority="7661" stopIfTrue="1">
      <formula>OR($O$1469="F/S",$O$1469="")</formula>
    </cfRule>
    <cfRule type="cellIs" dxfId="2991" priority="7662" stopIfTrue="1" operator="notEqual">
      <formula>0</formula>
    </cfRule>
  </conditionalFormatting>
  <conditionalFormatting sqref="L1510">
    <cfRule type="expression" dxfId="2990" priority="7663" stopIfTrue="1">
      <formula>OR($L$1510="F/S",$L$1510="")</formula>
    </cfRule>
    <cfRule type="cellIs" dxfId="2989" priority="7664" stopIfTrue="1" operator="notEqual">
      <formula>0</formula>
    </cfRule>
  </conditionalFormatting>
  <conditionalFormatting sqref="O1510">
    <cfRule type="expression" dxfId="2988" priority="7665" stopIfTrue="1">
      <formula>OR($O$1510="F/S",$O$1510="")</formula>
    </cfRule>
    <cfRule type="cellIs" dxfId="2987" priority="7666" stopIfTrue="1" operator="notEqual">
      <formula>0</formula>
    </cfRule>
  </conditionalFormatting>
  <conditionalFormatting sqref="L1520">
    <cfRule type="expression" dxfId="2986" priority="7667" stopIfTrue="1">
      <formula>OR($L$1520="F/S",$L$1520="")</formula>
    </cfRule>
    <cfRule type="cellIs" dxfId="2985" priority="7668" stopIfTrue="1" operator="notEqual">
      <formula>0</formula>
    </cfRule>
  </conditionalFormatting>
  <conditionalFormatting sqref="O1520">
    <cfRule type="expression" dxfId="2984" priority="7669" stopIfTrue="1">
      <formula>OR($O$1520="F/S",$O$1520="")</formula>
    </cfRule>
    <cfRule type="cellIs" dxfId="2983" priority="7670" stopIfTrue="1" operator="notEqual">
      <formula>0</formula>
    </cfRule>
  </conditionalFormatting>
  <conditionalFormatting sqref="L1527">
    <cfRule type="expression" dxfId="2982" priority="7671" stopIfTrue="1">
      <formula>OR($L$1527="F/S",$L$1527="")</formula>
    </cfRule>
    <cfRule type="cellIs" dxfId="2981" priority="7672" stopIfTrue="1" operator="notEqual">
      <formula>0</formula>
    </cfRule>
  </conditionalFormatting>
  <conditionalFormatting sqref="O1527">
    <cfRule type="expression" dxfId="2980" priority="7673" stopIfTrue="1">
      <formula>OR($O$1527="F/S",$O$1527="")</formula>
    </cfRule>
    <cfRule type="cellIs" dxfId="2979" priority="7674" stopIfTrue="1" operator="notEqual">
      <formula>0</formula>
    </cfRule>
  </conditionalFormatting>
  <conditionalFormatting sqref="L1538">
    <cfRule type="expression" dxfId="2978" priority="7675" stopIfTrue="1">
      <formula>OR($L$1538="F/S",$L$1538="")</formula>
    </cfRule>
    <cfRule type="cellIs" dxfId="2977" priority="7676" stopIfTrue="1" operator="notEqual">
      <formula>0</formula>
    </cfRule>
  </conditionalFormatting>
  <conditionalFormatting sqref="O1538">
    <cfRule type="expression" dxfId="2976" priority="7677" stopIfTrue="1">
      <formula>OR($O$1538="F/S",$O$1538="")</formula>
    </cfRule>
    <cfRule type="cellIs" dxfId="2975" priority="7678" stopIfTrue="1" operator="notEqual">
      <formula>0</formula>
    </cfRule>
  </conditionalFormatting>
  <conditionalFormatting sqref="L1557">
    <cfRule type="expression" dxfId="2974" priority="7679" stopIfTrue="1">
      <formula>OR($L$1557="F/S",$L$1557="")</formula>
    </cfRule>
    <cfRule type="cellIs" dxfId="2973" priority="7680" stopIfTrue="1" operator="notEqual">
      <formula>0</formula>
    </cfRule>
  </conditionalFormatting>
  <conditionalFormatting sqref="O1557">
    <cfRule type="expression" dxfId="2972" priority="7681" stopIfTrue="1">
      <formula>OR($O$1557="F/S",$O$1557="")</formula>
    </cfRule>
    <cfRule type="cellIs" dxfId="2971" priority="7682" stopIfTrue="1" operator="notEqual">
      <formula>0</formula>
    </cfRule>
  </conditionalFormatting>
  <conditionalFormatting sqref="L1567">
    <cfRule type="expression" dxfId="2970" priority="7683" stopIfTrue="1">
      <formula>OR($L$1567="F/S",$L$1567="")</formula>
    </cfRule>
    <cfRule type="cellIs" dxfId="2969" priority="7684" stopIfTrue="1" operator="notEqual">
      <formula>0</formula>
    </cfRule>
  </conditionalFormatting>
  <conditionalFormatting sqref="O1567">
    <cfRule type="expression" dxfId="2968" priority="7685" stopIfTrue="1">
      <formula>OR($O$1567="F/S",$O$1567="")</formula>
    </cfRule>
    <cfRule type="cellIs" dxfId="2967" priority="7686" stopIfTrue="1" operator="notEqual">
      <formula>0</formula>
    </cfRule>
  </conditionalFormatting>
  <conditionalFormatting sqref="L1577">
    <cfRule type="expression" dxfId="2966" priority="7687" stopIfTrue="1">
      <formula>OR($L$1577="F/S",$L$1577="")</formula>
    </cfRule>
    <cfRule type="cellIs" dxfId="2965" priority="7688" stopIfTrue="1" operator="notEqual">
      <formula>0</formula>
    </cfRule>
  </conditionalFormatting>
  <conditionalFormatting sqref="O1577">
    <cfRule type="expression" dxfId="2964" priority="7689" stopIfTrue="1">
      <formula>OR($O$1577="F/S",$O$1577="")</formula>
    </cfRule>
    <cfRule type="cellIs" dxfId="2963" priority="7690" stopIfTrue="1" operator="notEqual">
      <formula>0</formula>
    </cfRule>
  </conditionalFormatting>
  <conditionalFormatting sqref="L1365">
    <cfRule type="expression" dxfId="2962" priority="7691" stopIfTrue="1">
      <formula>OR($L$1365="F/S",$L$1365="")</formula>
    </cfRule>
    <cfRule type="cellIs" dxfId="2961" priority="7692" stopIfTrue="1" operator="notEqual">
      <formula>0</formula>
    </cfRule>
  </conditionalFormatting>
  <conditionalFormatting sqref="O1365">
    <cfRule type="expression" dxfId="2960" priority="7693" stopIfTrue="1">
      <formula>OR($O$1365="F/S",$O$1365="")</formula>
    </cfRule>
    <cfRule type="cellIs" dxfId="2959" priority="7694" stopIfTrue="1" operator="notEqual">
      <formula>0</formula>
    </cfRule>
  </conditionalFormatting>
  <conditionalFormatting sqref="L1387">
    <cfRule type="expression" dxfId="2958" priority="7695" stopIfTrue="1">
      <formula>OR($L$1387="F/S",$L$1387="")</formula>
    </cfRule>
    <cfRule type="cellIs" dxfId="2957" priority="7696" stopIfTrue="1" operator="notEqual">
      <formula>0</formula>
    </cfRule>
  </conditionalFormatting>
  <conditionalFormatting sqref="O1387">
    <cfRule type="expression" dxfId="2956" priority="7697" stopIfTrue="1">
      <formula>OR($O$1387="F/S",$O$1387="")</formula>
    </cfRule>
    <cfRule type="cellIs" dxfId="2955" priority="7698" stopIfTrue="1" operator="notEqual">
      <formula>0</formula>
    </cfRule>
  </conditionalFormatting>
  <conditionalFormatting sqref="L1587">
    <cfRule type="expression" dxfId="2954" priority="7699" stopIfTrue="1">
      <formula>OR($L$1587="F/S",$L$1587="")</formula>
    </cfRule>
    <cfRule type="cellIs" dxfId="2953" priority="7700" stopIfTrue="1" operator="notEqual">
      <formula>0</formula>
    </cfRule>
  </conditionalFormatting>
  <conditionalFormatting sqref="O1587">
    <cfRule type="expression" dxfId="2952" priority="7701" stopIfTrue="1">
      <formula>OR($O$1587="F/S",$O$1587="")</formula>
    </cfRule>
    <cfRule type="cellIs" dxfId="2951" priority="7702" stopIfTrue="1" operator="notEqual">
      <formula>0</formula>
    </cfRule>
  </conditionalFormatting>
  <conditionalFormatting sqref="L1428">
    <cfRule type="expression" dxfId="2950" priority="7703" stopIfTrue="1">
      <formula>OR($L$1428="F/S",$L$1428="")</formula>
    </cfRule>
    <cfRule type="cellIs" dxfId="2949" priority="7704" stopIfTrue="1" operator="notEqual">
      <formula>0</formula>
    </cfRule>
  </conditionalFormatting>
  <conditionalFormatting sqref="O1428">
    <cfRule type="expression" dxfId="2948" priority="7705" stopIfTrue="1">
      <formula>OR($O$1428="F/S",$O$1428="")</formula>
    </cfRule>
    <cfRule type="cellIs" dxfId="2947" priority="7706" stopIfTrue="1" operator="notEqual">
      <formula>0</formula>
    </cfRule>
  </conditionalFormatting>
  <conditionalFormatting sqref="L1449">
    <cfRule type="expression" dxfId="2946" priority="7707" stopIfTrue="1">
      <formula>OR($L$1449="F/S",$L$1449="")</formula>
    </cfRule>
    <cfRule type="cellIs" dxfId="2945" priority="7708" stopIfTrue="1" operator="notEqual">
      <formula>0</formula>
    </cfRule>
  </conditionalFormatting>
  <conditionalFormatting sqref="O1449">
    <cfRule type="expression" dxfId="2944" priority="7709" stopIfTrue="1">
      <formula>OR($O$1449="F/S",$O$1449="")</formula>
    </cfRule>
    <cfRule type="cellIs" dxfId="2943" priority="7710" stopIfTrue="1" operator="notEqual">
      <formula>0</formula>
    </cfRule>
  </conditionalFormatting>
  <conditionalFormatting sqref="L1459">
    <cfRule type="expression" dxfId="2942" priority="7711" stopIfTrue="1">
      <formula>OR($L$1459="F/S",$L$1459="")</formula>
    </cfRule>
    <cfRule type="cellIs" dxfId="2941" priority="7712" stopIfTrue="1" operator="notEqual">
      <formula>0</formula>
    </cfRule>
  </conditionalFormatting>
  <conditionalFormatting sqref="O1459">
    <cfRule type="expression" dxfId="2940" priority="7713" stopIfTrue="1">
      <formula>OR($O$1459="F/S",$O$1459="")</formula>
    </cfRule>
    <cfRule type="cellIs" dxfId="2939" priority="7714" stopIfTrue="1" operator="notEqual">
      <formula>0</formula>
    </cfRule>
  </conditionalFormatting>
  <conditionalFormatting sqref="L1597">
    <cfRule type="expression" dxfId="2938" priority="7715" stopIfTrue="1">
      <formula>OR($L$1597="F/S",$L$1597="")</formula>
    </cfRule>
    <cfRule type="cellIs" dxfId="2937" priority="7716" stopIfTrue="1" operator="notEqual">
      <formula>0</formula>
    </cfRule>
  </conditionalFormatting>
  <conditionalFormatting sqref="O1597">
    <cfRule type="expression" dxfId="2936" priority="7717" stopIfTrue="1">
      <formula>OR($O$1597="F/S",$O$1597="")</formula>
    </cfRule>
    <cfRule type="cellIs" dxfId="2935" priority="7718" stopIfTrue="1" operator="notEqual">
      <formula>0</formula>
    </cfRule>
  </conditionalFormatting>
  <conditionalFormatting sqref="L1607">
    <cfRule type="expression" dxfId="2934" priority="7723" stopIfTrue="1">
      <formula>OR($L$1607="F/S",$L$1607="")</formula>
    </cfRule>
    <cfRule type="cellIs" dxfId="2933" priority="7724" stopIfTrue="1" operator="notEqual">
      <formula>0</formula>
    </cfRule>
  </conditionalFormatting>
  <conditionalFormatting sqref="O1607">
    <cfRule type="expression" dxfId="2932" priority="7725" stopIfTrue="1">
      <formula>OR($O$1607="F/S",$O$1607="")</formula>
    </cfRule>
    <cfRule type="cellIs" dxfId="2931" priority="7726" stopIfTrue="1" operator="notEqual">
      <formula>0</formula>
    </cfRule>
  </conditionalFormatting>
  <conditionalFormatting sqref="L1617">
    <cfRule type="expression" dxfId="2930" priority="7727" stopIfTrue="1">
      <formula>OR($L$1617="F/S",$L$1617="")</formula>
    </cfRule>
    <cfRule type="cellIs" dxfId="2929" priority="7728" stopIfTrue="1" operator="notEqual">
      <formula>0</formula>
    </cfRule>
  </conditionalFormatting>
  <conditionalFormatting sqref="O1617">
    <cfRule type="expression" dxfId="2928" priority="7729" stopIfTrue="1">
      <formula>OR($O$1617="F/S",$O$1617="")</formula>
    </cfRule>
    <cfRule type="cellIs" dxfId="2927" priority="7730" stopIfTrue="1" operator="notEqual">
      <formula>0</formula>
    </cfRule>
  </conditionalFormatting>
  <conditionalFormatting sqref="L1636">
    <cfRule type="expression" dxfId="2926" priority="7731" stopIfTrue="1">
      <formula>OR($L$1636="F/S",$L$1636="")</formula>
    </cfRule>
    <cfRule type="cellIs" dxfId="2925" priority="7732" stopIfTrue="1" operator="notEqual">
      <formula>0</formula>
    </cfRule>
  </conditionalFormatting>
  <conditionalFormatting sqref="O1636">
    <cfRule type="expression" dxfId="2924" priority="7733" stopIfTrue="1">
      <formula>OR($O$1636="F/S",$O$1636="")</formula>
    </cfRule>
    <cfRule type="cellIs" dxfId="2923" priority="7734" stopIfTrue="1" operator="notEqual">
      <formula>0</formula>
    </cfRule>
  </conditionalFormatting>
  <conditionalFormatting sqref="L1655">
    <cfRule type="expression" dxfId="2922" priority="7735" stopIfTrue="1">
      <formula>OR($L$1655="F/S",$L$1655="")</formula>
    </cfRule>
    <cfRule type="cellIs" dxfId="2921" priority="7736" stopIfTrue="1" operator="notEqual">
      <formula>0</formula>
    </cfRule>
  </conditionalFormatting>
  <conditionalFormatting sqref="O1655">
    <cfRule type="expression" dxfId="2920" priority="7737" stopIfTrue="1">
      <formula>OR($O$1655="F/S",$O$1655="")</formula>
    </cfRule>
    <cfRule type="cellIs" dxfId="2919" priority="7738" stopIfTrue="1" operator="notEqual">
      <formula>0</formula>
    </cfRule>
  </conditionalFormatting>
  <conditionalFormatting sqref="L1665">
    <cfRule type="expression" dxfId="2918" priority="7739" stopIfTrue="1">
      <formula>OR($L$1665="F/S",$L$1665="")</formula>
    </cfRule>
    <cfRule type="cellIs" dxfId="2917" priority="7740" stopIfTrue="1" operator="notEqual">
      <formula>0</formula>
    </cfRule>
  </conditionalFormatting>
  <conditionalFormatting sqref="O1665">
    <cfRule type="expression" dxfId="2916" priority="7741" stopIfTrue="1">
      <formula>OR($O$1665="F/S",$O$1665="")</formula>
    </cfRule>
    <cfRule type="cellIs" dxfId="2915" priority="7742" stopIfTrue="1" operator="notEqual">
      <formula>0</formula>
    </cfRule>
  </conditionalFormatting>
  <conditionalFormatting sqref="L1736">
    <cfRule type="expression" dxfId="2914" priority="7743" stopIfTrue="1">
      <formula>OR($L$1736="F/S",$L$1736="")</formula>
    </cfRule>
    <cfRule type="cellIs" dxfId="2913" priority="7744" stopIfTrue="1" operator="notEqual">
      <formula>0</formula>
    </cfRule>
  </conditionalFormatting>
  <conditionalFormatting sqref="O1736">
    <cfRule type="expression" dxfId="2912" priority="7745" stopIfTrue="1">
      <formula>OR($O$1736="F/S",$O$1736="")</formula>
    </cfRule>
    <cfRule type="cellIs" dxfId="2911" priority="7746" stopIfTrue="1" operator="notEqual">
      <formula>0</formula>
    </cfRule>
  </conditionalFormatting>
  <conditionalFormatting sqref="L1682">
    <cfRule type="expression" dxfId="2910" priority="7747" stopIfTrue="1">
      <formula>OR($L$1682="F/S",$L$1682="")</formula>
    </cfRule>
    <cfRule type="cellIs" dxfId="2909" priority="7748" stopIfTrue="1" operator="notEqual">
      <formula>0</formula>
    </cfRule>
  </conditionalFormatting>
  <conditionalFormatting sqref="O1682">
    <cfRule type="expression" dxfId="2908" priority="7749" stopIfTrue="1">
      <formula>OR($O$1682="F/S",$O$1682="")</formula>
    </cfRule>
    <cfRule type="cellIs" dxfId="2907" priority="7750" stopIfTrue="1" operator="notEqual">
      <formula>0</formula>
    </cfRule>
  </conditionalFormatting>
  <conditionalFormatting sqref="L1699">
    <cfRule type="expression" dxfId="2906" priority="7751" stopIfTrue="1">
      <formula>OR($L$1699="F/S",$L$1699="")</formula>
    </cfRule>
    <cfRule type="cellIs" dxfId="2905" priority="7752" stopIfTrue="1" operator="notEqual">
      <formula>0</formula>
    </cfRule>
  </conditionalFormatting>
  <conditionalFormatting sqref="O1699">
    <cfRule type="expression" dxfId="2904" priority="7753" stopIfTrue="1">
      <formula>OR($O$1699="F/S",$O$1699="")</formula>
    </cfRule>
    <cfRule type="cellIs" dxfId="2903" priority="7754" stopIfTrue="1" operator="notEqual">
      <formula>0</formula>
    </cfRule>
  </conditionalFormatting>
  <conditionalFormatting sqref="L1716">
    <cfRule type="expression" dxfId="2902" priority="7755" stopIfTrue="1">
      <formula>OR($L$1716="F/S",$L$1716="")</formula>
    </cfRule>
    <cfRule type="cellIs" dxfId="2901" priority="7756" stopIfTrue="1" operator="notEqual">
      <formula>0</formula>
    </cfRule>
  </conditionalFormatting>
  <conditionalFormatting sqref="O1716">
    <cfRule type="expression" dxfId="2900" priority="7757" stopIfTrue="1">
      <formula>OR($O$1716="F/S",$O$1716="")</formula>
    </cfRule>
    <cfRule type="cellIs" dxfId="2899" priority="7758" stopIfTrue="1" operator="notEqual">
      <formula>0</formula>
    </cfRule>
  </conditionalFormatting>
  <conditionalFormatting sqref="L1726">
    <cfRule type="expression" dxfId="2898" priority="7759" stopIfTrue="1">
      <formula>OR($L$1726="F/S",$L$1726="")</formula>
    </cfRule>
    <cfRule type="cellIs" dxfId="2897" priority="7760" stopIfTrue="1" operator="notEqual">
      <formula>0</formula>
    </cfRule>
  </conditionalFormatting>
  <conditionalFormatting sqref="O1726">
    <cfRule type="expression" dxfId="2896" priority="7761" stopIfTrue="1">
      <formula>OR($O$1726="F/S",$O$1726="")</formula>
    </cfRule>
    <cfRule type="cellIs" dxfId="2895" priority="7762" stopIfTrue="1" operator="notEqual">
      <formula>0</formula>
    </cfRule>
  </conditionalFormatting>
  <conditionalFormatting sqref="L1753">
    <cfRule type="expression" dxfId="2894" priority="7763" stopIfTrue="1">
      <formula>OR($L$1753="F/S",$L$1753="")</formula>
    </cfRule>
    <cfRule type="cellIs" dxfId="2893" priority="7764" stopIfTrue="1" operator="notEqual">
      <formula>0</formula>
    </cfRule>
  </conditionalFormatting>
  <conditionalFormatting sqref="O1753">
    <cfRule type="expression" dxfId="2892" priority="7765" stopIfTrue="1">
      <formula>OR($O$1753="F/S",$O$1753="")</formula>
    </cfRule>
    <cfRule type="cellIs" dxfId="2891" priority="7766" stopIfTrue="1" operator="notEqual">
      <formula>0</formula>
    </cfRule>
  </conditionalFormatting>
  <conditionalFormatting sqref="L1774">
    <cfRule type="expression" dxfId="2890" priority="7771" stopIfTrue="1">
      <formula>OR($L$1774="F/S",$L$1774="")</formula>
    </cfRule>
    <cfRule type="cellIs" dxfId="2889" priority="7772" stopIfTrue="1" operator="notEqual">
      <formula>0</formula>
    </cfRule>
  </conditionalFormatting>
  <conditionalFormatting sqref="O1774">
    <cfRule type="expression" dxfId="2888" priority="7773" stopIfTrue="1">
      <formula>OR($O$1774="F/S",$O$1774="")</formula>
    </cfRule>
    <cfRule type="cellIs" dxfId="2887" priority="7774" stopIfTrue="1" operator="notEqual">
      <formula>0</formula>
    </cfRule>
  </conditionalFormatting>
  <conditionalFormatting sqref="L1764">
    <cfRule type="expression" dxfId="2886" priority="7779" stopIfTrue="1">
      <formula>OR($L$1764="F/S",$L$1764="")</formula>
    </cfRule>
    <cfRule type="cellIs" dxfId="2885" priority="7780" stopIfTrue="1" operator="notEqual">
      <formula>0</formula>
    </cfRule>
  </conditionalFormatting>
  <conditionalFormatting sqref="O1764">
    <cfRule type="expression" dxfId="2884" priority="7781" stopIfTrue="1">
      <formula>OR($O$1764="F/S",$O$1764="")</formula>
    </cfRule>
    <cfRule type="cellIs" dxfId="2883" priority="7782" stopIfTrue="1" operator="notEqual">
      <formula>0</formula>
    </cfRule>
  </conditionalFormatting>
  <conditionalFormatting sqref="L1790">
    <cfRule type="expression" dxfId="2882" priority="7795" stopIfTrue="1">
      <formula>OR($L$1790="F/S",$L$1790="")</formula>
    </cfRule>
    <cfRule type="cellIs" dxfId="2881" priority="7796" stopIfTrue="1" operator="notEqual">
      <formula>0</formula>
    </cfRule>
  </conditionalFormatting>
  <conditionalFormatting sqref="O1790">
    <cfRule type="expression" dxfId="2880" priority="7797" stopIfTrue="1">
      <formula>OR($O$1790="F/S",$O$1790="")</formula>
    </cfRule>
    <cfRule type="cellIs" dxfId="2879" priority="7798" stopIfTrue="1" operator="notEqual">
      <formula>0</formula>
    </cfRule>
  </conditionalFormatting>
  <conditionalFormatting sqref="L1799">
    <cfRule type="expression" dxfId="2878" priority="7799" stopIfTrue="1">
      <formula>OR($L$1799="F/S",$L$1799="")</formula>
    </cfRule>
    <cfRule type="cellIs" dxfId="2877" priority="7800" stopIfTrue="1" operator="notEqual">
      <formula>0</formula>
    </cfRule>
  </conditionalFormatting>
  <conditionalFormatting sqref="O1799">
    <cfRule type="expression" dxfId="2876" priority="7801" stopIfTrue="1">
      <formula>OR($O$1799="F/S",$O$1799="")</formula>
    </cfRule>
    <cfRule type="cellIs" dxfId="2875" priority="7802" stopIfTrue="1" operator="notEqual">
      <formula>0</formula>
    </cfRule>
  </conditionalFormatting>
  <conditionalFormatting sqref="L1812">
    <cfRule type="expression" dxfId="2874" priority="7803" stopIfTrue="1">
      <formula>OR($L$1812="F/S",$L$1812="")</formula>
    </cfRule>
    <cfRule type="cellIs" dxfId="2873" priority="7804" stopIfTrue="1" operator="notEqual">
      <formula>0</formula>
    </cfRule>
  </conditionalFormatting>
  <conditionalFormatting sqref="O1812">
    <cfRule type="expression" dxfId="2872" priority="7805" stopIfTrue="1">
      <formula>OR($O$1812="F/S",$O$1812="")</formula>
    </cfRule>
    <cfRule type="cellIs" dxfId="2871" priority="7806" stopIfTrue="1" operator="notEqual">
      <formula>0</formula>
    </cfRule>
  </conditionalFormatting>
  <conditionalFormatting sqref="L1823">
    <cfRule type="expression" dxfId="2870" priority="7807" stopIfTrue="1">
      <formula>OR($L$1823="F/S",$L$1823="")</formula>
    </cfRule>
    <cfRule type="cellIs" dxfId="2869" priority="7808" stopIfTrue="1" operator="notEqual">
      <formula>0</formula>
    </cfRule>
  </conditionalFormatting>
  <conditionalFormatting sqref="O1823">
    <cfRule type="expression" dxfId="2868" priority="7809" stopIfTrue="1">
      <formula>OR($O$1823="F/S",$O$1823="")</formula>
    </cfRule>
    <cfRule type="cellIs" dxfId="2867" priority="7810" stopIfTrue="1" operator="notEqual">
      <formula>0</formula>
    </cfRule>
  </conditionalFormatting>
  <conditionalFormatting sqref="L1838">
    <cfRule type="expression" dxfId="2866" priority="7811" stopIfTrue="1">
      <formula>OR($L$1838="F/S",$L$1838="")</formula>
    </cfRule>
    <cfRule type="cellIs" dxfId="2865" priority="7812" stopIfTrue="1" operator="notEqual">
      <formula>0</formula>
    </cfRule>
  </conditionalFormatting>
  <conditionalFormatting sqref="O1838">
    <cfRule type="expression" dxfId="2864" priority="7813" stopIfTrue="1">
      <formula>OR($O$1838="F/S",$O$1838="")</formula>
    </cfRule>
    <cfRule type="cellIs" dxfId="2863" priority="7814" stopIfTrue="1" operator="notEqual">
      <formula>0</formula>
    </cfRule>
  </conditionalFormatting>
  <conditionalFormatting sqref="L1853">
    <cfRule type="expression" dxfId="2862" priority="7815" stopIfTrue="1">
      <formula>OR($L$1853="F/S",$L$1853="")</formula>
    </cfRule>
    <cfRule type="cellIs" dxfId="2861" priority="7816" stopIfTrue="1" operator="notEqual">
      <formula>0</formula>
    </cfRule>
  </conditionalFormatting>
  <conditionalFormatting sqref="O1853">
    <cfRule type="expression" dxfId="2860" priority="7817" stopIfTrue="1">
      <formula>OR($O$1853="F/S",$O$1853="")</formula>
    </cfRule>
    <cfRule type="cellIs" dxfId="2859" priority="7818" stopIfTrue="1" operator="notEqual">
      <formula>0</formula>
    </cfRule>
  </conditionalFormatting>
  <conditionalFormatting sqref="L1927">
    <cfRule type="expression" dxfId="2858" priority="7831" stopIfTrue="1">
      <formula>OR($L$1927="F/S",$L$1927="")</formula>
    </cfRule>
    <cfRule type="cellIs" dxfId="2857" priority="7832" stopIfTrue="1" operator="notEqual">
      <formula>0</formula>
    </cfRule>
  </conditionalFormatting>
  <conditionalFormatting sqref="O1927">
    <cfRule type="expression" dxfId="2856" priority="7833" stopIfTrue="1">
      <formula>OR($O$1927="F/S",$O$1927="")</formula>
    </cfRule>
    <cfRule type="cellIs" dxfId="2855" priority="7834" stopIfTrue="1" operator="notEqual">
      <formula>0</formula>
    </cfRule>
  </conditionalFormatting>
  <conditionalFormatting sqref="L1869">
    <cfRule type="expression" dxfId="2854" priority="7835" stopIfTrue="1">
      <formula>OR($L$1869="F/S",$L$1869="")</formula>
    </cfRule>
    <cfRule type="cellIs" dxfId="2853" priority="7836" stopIfTrue="1" operator="notEqual">
      <formula>0</formula>
    </cfRule>
  </conditionalFormatting>
  <conditionalFormatting sqref="O1869">
    <cfRule type="expression" dxfId="2852" priority="7837" stopIfTrue="1">
      <formula>OR($O$1869="F/S",$O$1869="")</formula>
    </cfRule>
    <cfRule type="cellIs" dxfId="2851" priority="7838" stopIfTrue="1" operator="notEqual">
      <formula>0</formula>
    </cfRule>
  </conditionalFormatting>
  <conditionalFormatting sqref="L1882">
    <cfRule type="expression" dxfId="2850" priority="7839" stopIfTrue="1">
      <formula>OR($L$1882="F/S",$L$1882="")</formula>
    </cfRule>
    <cfRule type="cellIs" dxfId="2849" priority="7840" stopIfTrue="1" operator="notEqual">
      <formula>0</formula>
    </cfRule>
  </conditionalFormatting>
  <conditionalFormatting sqref="O1882">
    <cfRule type="expression" dxfId="2848" priority="7841" stopIfTrue="1">
      <formula>OR($O$1882="F/S",$O$1882="")</formula>
    </cfRule>
    <cfRule type="cellIs" dxfId="2847" priority="7842" stopIfTrue="1" operator="notEqual">
      <formula>0</formula>
    </cfRule>
  </conditionalFormatting>
  <conditionalFormatting sqref="L1895">
    <cfRule type="expression" dxfId="2846" priority="7843" stopIfTrue="1">
      <formula>OR($L$1895="F/S",$L$1895="")</formula>
    </cfRule>
    <cfRule type="cellIs" dxfId="2845" priority="7844" stopIfTrue="1" operator="notEqual">
      <formula>0</formula>
    </cfRule>
  </conditionalFormatting>
  <conditionalFormatting sqref="O1895">
    <cfRule type="expression" dxfId="2844" priority="7845" stopIfTrue="1">
      <formula>OR($O$1895="F/S",$O$1895="")</formula>
    </cfRule>
    <cfRule type="cellIs" dxfId="2843" priority="7846" stopIfTrue="1" operator="notEqual">
      <formula>0</formula>
    </cfRule>
  </conditionalFormatting>
  <conditionalFormatting sqref="L1908">
    <cfRule type="expression" dxfId="2842" priority="7847" stopIfTrue="1">
      <formula>OR($L$1908="F/S",$L$1908="")</formula>
    </cfRule>
    <cfRule type="cellIs" dxfId="2841" priority="7848" stopIfTrue="1" operator="notEqual">
      <formula>0</formula>
    </cfRule>
  </conditionalFormatting>
  <conditionalFormatting sqref="O1908">
    <cfRule type="expression" dxfId="2840" priority="7849" stopIfTrue="1">
      <formula>OR($O$1908="F/S",$O$1908="")</formula>
    </cfRule>
    <cfRule type="cellIs" dxfId="2839" priority="7850" stopIfTrue="1" operator="notEqual">
      <formula>0</formula>
    </cfRule>
  </conditionalFormatting>
  <conditionalFormatting sqref="L1947">
    <cfRule type="expression" dxfId="2838" priority="7851" stopIfTrue="1">
      <formula>OR($L$1947="F/S",$L$1947="")</formula>
    </cfRule>
    <cfRule type="cellIs" dxfId="2837" priority="7852" stopIfTrue="1" operator="notEqual">
      <formula>0</formula>
    </cfRule>
  </conditionalFormatting>
  <conditionalFormatting sqref="O1947">
    <cfRule type="expression" dxfId="2836" priority="7853" stopIfTrue="1">
      <formula>OR($O$1947="F/S",$O$1947="")</formula>
    </cfRule>
    <cfRule type="cellIs" dxfId="2835" priority="7854" stopIfTrue="1" operator="notEqual">
      <formula>0</formula>
    </cfRule>
  </conditionalFormatting>
  <conditionalFormatting sqref="L1971">
    <cfRule type="expression" dxfId="2834" priority="7859" stopIfTrue="1">
      <formula>OR($L$1971="F/S",$L$1971="")</formula>
    </cfRule>
    <cfRule type="cellIs" dxfId="2833" priority="7860" stopIfTrue="1" operator="notEqual">
      <formula>0</formula>
    </cfRule>
  </conditionalFormatting>
  <conditionalFormatting sqref="O1971">
    <cfRule type="expression" dxfId="2832" priority="7861" stopIfTrue="1">
      <formula>OR($O$1971="F/S",$O$1971="")</formula>
    </cfRule>
    <cfRule type="cellIs" dxfId="2831" priority="7862" stopIfTrue="1" operator="notEqual">
      <formula>0</formula>
    </cfRule>
  </conditionalFormatting>
  <conditionalFormatting sqref="L1986">
    <cfRule type="expression" dxfId="2830" priority="7863" stopIfTrue="1">
      <formula>OR($L$1986="F/S",$L$1986="")</formula>
    </cfRule>
    <cfRule type="cellIs" dxfId="2829" priority="7864" stopIfTrue="1" operator="notEqual">
      <formula>0</formula>
    </cfRule>
  </conditionalFormatting>
  <conditionalFormatting sqref="O1986">
    <cfRule type="expression" dxfId="2828" priority="7865" stopIfTrue="1">
      <formula>OR($O$1986="F/S",$O$1986="")</formula>
    </cfRule>
    <cfRule type="cellIs" dxfId="2827" priority="7866" stopIfTrue="1" operator="notEqual">
      <formula>0</formula>
    </cfRule>
  </conditionalFormatting>
  <conditionalFormatting sqref="L2001">
    <cfRule type="expression" dxfId="2826" priority="7867" stopIfTrue="1">
      <formula>OR($L$2001="F/S",$L$2001="")</formula>
    </cfRule>
    <cfRule type="cellIs" dxfId="2825" priority="7868" stopIfTrue="1" operator="notEqual">
      <formula>0</formula>
    </cfRule>
  </conditionalFormatting>
  <conditionalFormatting sqref="O2001">
    <cfRule type="expression" dxfId="2824" priority="7869" stopIfTrue="1">
      <formula>OR($O$2001="F/S",$O$2001="")</formula>
    </cfRule>
    <cfRule type="cellIs" dxfId="2823" priority="7870" stopIfTrue="1" operator="notEqual">
      <formula>0</formula>
    </cfRule>
  </conditionalFormatting>
  <conditionalFormatting sqref="L2021">
    <cfRule type="expression" dxfId="2822" priority="7871" stopIfTrue="1">
      <formula>OR($L$2021="F/S",$L$2021="")</formula>
    </cfRule>
    <cfRule type="cellIs" dxfId="2821" priority="7872" stopIfTrue="1" operator="notEqual">
      <formula>0</formula>
    </cfRule>
  </conditionalFormatting>
  <conditionalFormatting sqref="O2021">
    <cfRule type="expression" dxfId="2820" priority="7873" stopIfTrue="1">
      <formula>OR($O$2021="F/S",$O$2021="")</formula>
    </cfRule>
    <cfRule type="cellIs" dxfId="2819" priority="7874" stopIfTrue="1" operator="notEqual">
      <formula>0</formula>
    </cfRule>
  </conditionalFormatting>
  <conditionalFormatting sqref="L1961">
    <cfRule type="expression" dxfId="2818" priority="7875" stopIfTrue="1">
      <formula>OR($L$1961="F/S",$L$1961="")</formula>
    </cfRule>
    <cfRule type="cellIs" dxfId="2817" priority="7876" stopIfTrue="1" operator="notEqual">
      <formula>0</formula>
    </cfRule>
  </conditionalFormatting>
  <conditionalFormatting sqref="O1961">
    <cfRule type="expression" dxfId="2816" priority="7877" stopIfTrue="1">
      <formula>OR($O$1961="F/S",$O$1961="")</formula>
    </cfRule>
    <cfRule type="cellIs" dxfId="2815" priority="7878" stopIfTrue="1" operator="notEqual">
      <formula>0</formula>
    </cfRule>
  </conditionalFormatting>
  <conditionalFormatting sqref="L2013">
    <cfRule type="expression" dxfId="2814" priority="7883" stopIfTrue="1">
      <formula>OR($L$2013="F/S",$L$2013="")</formula>
    </cfRule>
    <cfRule type="cellIs" dxfId="2813" priority="7884" stopIfTrue="1" operator="notEqual">
      <formula>0</formula>
    </cfRule>
  </conditionalFormatting>
  <conditionalFormatting sqref="O2013">
    <cfRule type="expression" dxfId="2812" priority="7885" stopIfTrue="1">
      <formula>OR($O$2013="F/S",$O$2013="")</formula>
    </cfRule>
    <cfRule type="cellIs" dxfId="2811" priority="7886" stopIfTrue="1" operator="notEqual">
      <formula>0</formula>
    </cfRule>
  </conditionalFormatting>
  <conditionalFormatting sqref="L2032">
    <cfRule type="expression" dxfId="2810" priority="7887" stopIfTrue="1">
      <formula>OR($L$2032="F/S",$L$2032="")</formula>
    </cfRule>
    <cfRule type="cellIs" dxfId="2809" priority="7888" stopIfTrue="1" operator="notEqual">
      <formula>0</formula>
    </cfRule>
  </conditionalFormatting>
  <conditionalFormatting sqref="O2032">
    <cfRule type="expression" dxfId="2808" priority="7889" stopIfTrue="1">
      <formula>OR($O$2032="F/S",$O$2032="")</formula>
    </cfRule>
    <cfRule type="cellIs" dxfId="2807" priority="7890" stopIfTrue="1" operator="notEqual">
      <formula>0</formula>
    </cfRule>
  </conditionalFormatting>
  <conditionalFormatting sqref="L2048">
    <cfRule type="expression" dxfId="2806" priority="7891" stopIfTrue="1">
      <formula>OR($L$2048="F/S",$L$2048="")</formula>
    </cfRule>
    <cfRule type="cellIs" dxfId="2805" priority="7892" stopIfTrue="1" operator="notEqual">
      <formula>0</formula>
    </cfRule>
  </conditionalFormatting>
  <conditionalFormatting sqref="O2048">
    <cfRule type="expression" dxfId="2804" priority="7893" stopIfTrue="1">
      <formula>OR($O$2048="F/S",$O$2048="")</formula>
    </cfRule>
    <cfRule type="cellIs" dxfId="2803" priority="7894" stopIfTrue="1" operator="notEqual">
      <formula>0</formula>
    </cfRule>
  </conditionalFormatting>
  <conditionalFormatting sqref="L2063">
    <cfRule type="expression" dxfId="2802" priority="7895" stopIfTrue="1">
      <formula>OR($L$2063="F/S",$L$2063="")</formula>
    </cfRule>
    <cfRule type="cellIs" dxfId="2801" priority="7896" stopIfTrue="1" operator="notEqual">
      <formula>0</formula>
    </cfRule>
  </conditionalFormatting>
  <conditionalFormatting sqref="O2063">
    <cfRule type="expression" dxfId="2800" priority="7897" stopIfTrue="1">
      <formula>OR($O$2063="F/S",$O$2063="")</formula>
    </cfRule>
    <cfRule type="cellIs" dxfId="2799" priority="7898" stopIfTrue="1" operator="notEqual">
      <formula>0</formula>
    </cfRule>
  </conditionalFormatting>
  <conditionalFormatting sqref="L2137">
    <cfRule type="expression" dxfId="2798" priority="7911" stopIfTrue="1">
      <formula>OR($L$2137="F/S",$L$2137="")</formula>
    </cfRule>
    <cfRule type="cellIs" dxfId="2797" priority="7912" stopIfTrue="1" operator="notEqual">
      <formula>0</formula>
    </cfRule>
  </conditionalFormatting>
  <conditionalFormatting sqref="O2137">
    <cfRule type="expression" dxfId="2796" priority="7913" stopIfTrue="1">
      <formula>OR($O$2137="F/S",$O$2137="")</formula>
    </cfRule>
    <cfRule type="cellIs" dxfId="2795" priority="7914" stopIfTrue="1" operator="notEqual">
      <formula>0</formula>
    </cfRule>
  </conditionalFormatting>
  <conditionalFormatting sqref="L2079">
    <cfRule type="expression" dxfId="2794" priority="7915" stopIfTrue="1">
      <formula>OR($L$2079="F/S",$L$2079="")</formula>
    </cfRule>
    <cfRule type="cellIs" dxfId="2793" priority="7916" stopIfTrue="1" operator="notEqual">
      <formula>0</formula>
    </cfRule>
  </conditionalFormatting>
  <conditionalFormatting sqref="O2079">
    <cfRule type="expression" dxfId="2792" priority="7917" stopIfTrue="1">
      <formula>OR($O$2079="F/S",$O$2079="")</formula>
    </cfRule>
    <cfRule type="cellIs" dxfId="2791" priority="7918" stopIfTrue="1" operator="notEqual">
      <formula>0</formula>
    </cfRule>
  </conditionalFormatting>
  <conditionalFormatting sqref="L2092">
    <cfRule type="expression" dxfId="2790" priority="7919" stopIfTrue="1">
      <formula>OR($L$2092="F/S",$L$2092="")</formula>
    </cfRule>
    <cfRule type="cellIs" dxfId="2789" priority="7920" stopIfTrue="1" operator="notEqual">
      <formula>0</formula>
    </cfRule>
  </conditionalFormatting>
  <conditionalFormatting sqref="O2092">
    <cfRule type="expression" dxfId="2788" priority="7921" stopIfTrue="1">
      <formula>OR($O$2092="F/S",$O$2092="")</formula>
    </cfRule>
    <cfRule type="cellIs" dxfId="2787" priority="7922" stopIfTrue="1" operator="notEqual">
      <formula>0</formula>
    </cfRule>
  </conditionalFormatting>
  <conditionalFormatting sqref="L2105">
    <cfRule type="expression" dxfId="2786" priority="7923" stopIfTrue="1">
      <formula>OR($L$2105="F/S",$L$2105="")</formula>
    </cfRule>
    <cfRule type="cellIs" dxfId="2785" priority="7924" stopIfTrue="1" operator="notEqual">
      <formula>0</formula>
    </cfRule>
  </conditionalFormatting>
  <conditionalFormatting sqref="O2105">
    <cfRule type="expression" dxfId="2784" priority="7925" stopIfTrue="1">
      <formula>OR($O$2105="F/S",$O$2105="")</formula>
    </cfRule>
    <cfRule type="cellIs" dxfId="2783" priority="7926" stopIfTrue="1" operator="notEqual">
      <formula>0</formula>
    </cfRule>
  </conditionalFormatting>
  <conditionalFormatting sqref="L2118">
    <cfRule type="expression" dxfId="2782" priority="7927" stopIfTrue="1">
      <formula>OR($L$2118="F/S",$L$2118="")</formula>
    </cfRule>
    <cfRule type="cellIs" dxfId="2781" priority="7928" stopIfTrue="1" operator="notEqual">
      <formula>0</formula>
    </cfRule>
  </conditionalFormatting>
  <conditionalFormatting sqref="O2118">
    <cfRule type="expression" dxfId="2780" priority="7929" stopIfTrue="1">
      <formula>OR($O$2118="F/S",$O$2118="")</formula>
    </cfRule>
    <cfRule type="cellIs" dxfId="2779" priority="7930" stopIfTrue="1" operator="notEqual">
      <formula>0</formula>
    </cfRule>
  </conditionalFormatting>
  <conditionalFormatting sqref="L2157">
    <cfRule type="expression" dxfId="2778" priority="7931" stopIfTrue="1">
      <formula>OR($L$2157="F/S",$L$2157="")</formula>
    </cfRule>
    <cfRule type="cellIs" dxfId="2777" priority="7932" stopIfTrue="1" operator="notEqual">
      <formula>0</formula>
    </cfRule>
  </conditionalFormatting>
  <conditionalFormatting sqref="O2157">
    <cfRule type="expression" dxfId="2776" priority="7933" stopIfTrue="1">
      <formula>OR($O$2157="F/S",$O$2157="")</formula>
    </cfRule>
    <cfRule type="cellIs" dxfId="2775" priority="7934" stopIfTrue="1" operator="notEqual">
      <formula>0</formula>
    </cfRule>
  </conditionalFormatting>
  <conditionalFormatting sqref="L2171">
    <cfRule type="expression" dxfId="2774" priority="7935" stopIfTrue="1">
      <formula>OR($L$2171="F/S",$L$2171="")</formula>
    </cfRule>
    <cfRule type="cellIs" dxfId="2773" priority="7936" stopIfTrue="1" operator="notEqual">
      <formula>0</formula>
    </cfRule>
  </conditionalFormatting>
  <conditionalFormatting sqref="O2171">
    <cfRule type="expression" dxfId="2772" priority="7937" stopIfTrue="1">
      <formula>OR($O$2171="F/S",$O$2171="")</formula>
    </cfRule>
    <cfRule type="cellIs" dxfId="2771" priority="7938" stopIfTrue="1" operator="notEqual">
      <formula>0</formula>
    </cfRule>
  </conditionalFormatting>
  <conditionalFormatting sqref="L2181">
    <cfRule type="expression" dxfId="2770" priority="7939" stopIfTrue="1">
      <formula>OR($L$2181="F/S",$L$2181="")</formula>
    </cfRule>
    <cfRule type="cellIs" dxfId="2769" priority="7940" stopIfTrue="1" operator="notEqual">
      <formula>0</formula>
    </cfRule>
  </conditionalFormatting>
  <conditionalFormatting sqref="O2181">
    <cfRule type="expression" dxfId="2768" priority="7941" stopIfTrue="1">
      <formula>OR($O$2181="F/S",$O$2181="")</formula>
    </cfRule>
    <cfRule type="cellIs" dxfId="2767" priority="7942" stopIfTrue="1" operator="notEqual">
      <formula>0</formula>
    </cfRule>
  </conditionalFormatting>
  <conditionalFormatting sqref="L2202">
    <cfRule type="expression" dxfId="2766" priority="7943" stopIfTrue="1">
      <formula>OR($L$2202="F/S",$L$2202="")</formula>
    </cfRule>
    <cfRule type="cellIs" dxfId="2765" priority="7944" stopIfTrue="1" operator="notEqual">
      <formula>0</formula>
    </cfRule>
  </conditionalFormatting>
  <conditionalFormatting sqref="O2202">
    <cfRule type="expression" dxfId="2764" priority="7945" stopIfTrue="1">
      <formula>OR($O$2202="F/S",$O$2202="")</formula>
    </cfRule>
    <cfRule type="cellIs" dxfId="2763" priority="7946" stopIfTrue="1" operator="notEqual">
      <formula>0</formula>
    </cfRule>
  </conditionalFormatting>
  <conditionalFormatting sqref="L2234">
    <cfRule type="expression" dxfId="2762" priority="7947" stopIfTrue="1">
      <formula>OR($L$2234="F/S",$L$2234="")</formula>
    </cfRule>
    <cfRule type="cellIs" dxfId="2761" priority="7948" stopIfTrue="1" operator="notEqual">
      <formula>0</formula>
    </cfRule>
  </conditionalFormatting>
  <conditionalFormatting sqref="O2234">
    <cfRule type="expression" dxfId="2760" priority="7949" stopIfTrue="1">
      <formula>OR($O$2234="F/S",$O$2234="")</formula>
    </cfRule>
    <cfRule type="cellIs" dxfId="2759" priority="7950" stopIfTrue="1" operator="notEqual">
      <formula>0</formula>
    </cfRule>
  </conditionalFormatting>
  <conditionalFormatting sqref="L2247">
    <cfRule type="expression" dxfId="2758" priority="7951" stopIfTrue="1">
      <formula>OR($L$2247="F/S",$L$2247="")</formula>
    </cfRule>
    <cfRule type="cellIs" dxfId="2757" priority="7952" stopIfTrue="1" operator="notEqual">
      <formula>0</formula>
    </cfRule>
  </conditionalFormatting>
  <conditionalFormatting sqref="O2247">
    <cfRule type="expression" dxfId="2756" priority="7953" stopIfTrue="1">
      <formula>OR($O$2247="F/S",$O$2247="")</formula>
    </cfRule>
    <cfRule type="cellIs" dxfId="2755" priority="7954" stopIfTrue="1" operator="notEqual">
      <formula>0</formula>
    </cfRule>
  </conditionalFormatting>
  <conditionalFormatting sqref="L2260">
    <cfRule type="expression" dxfId="2754" priority="7955" stopIfTrue="1">
      <formula>OR($L$2260="F/S",$L$2260="")</formula>
    </cfRule>
    <cfRule type="cellIs" dxfId="2753" priority="7956" stopIfTrue="1" operator="notEqual">
      <formula>0</formula>
    </cfRule>
  </conditionalFormatting>
  <conditionalFormatting sqref="O2260">
    <cfRule type="expression" dxfId="2752" priority="7957" stopIfTrue="1">
      <formula>OR($O$2260="F/S",$O$2260="")</formula>
    </cfRule>
    <cfRule type="cellIs" dxfId="2751" priority="7958" stopIfTrue="1" operator="notEqual">
      <formula>0</formula>
    </cfRule>
  </conditionalFormatting>
  <conditionalFormatting sqref="L2315">
    <cfRule type="expression" dxfId="2750" priority="7963" stopIfTrue="1">
      <formula>OR($L$2315="F/S",$L$2315="")</formula>
    </cfRule>
    <cfRule type="cellIs" dxfId="2749" priority="7964" stopIfTrue="1" operator="notEqual">
      <formula>0</formula>
    </cfRule>
  </conditionalFormatting>
  <conditionalFormatting sqref="O2315">
    <cfRule type="expression" dxfId="2748" priority="7965" stopIfTrue="1">
      <formula>OR($O$2315="F/S",$O$2315="")</formula>
    </cfRule>
    <cfRule type="cellIs" dxfId="2747" priority="7966" stopIfTrue="1" operator="notEqual">
      <formula>0</formula>
    </cfRule>
  </conditionalFormatting>
  <conditionalFormatting sqref="L2273">
    <cfRule type="expression" dxfId="2746" priority="7975" stopIfTrue="1">
      <formula>OR($L$2273="F/S",$L$2273="")</formula>
    </cfRule>
    <cfRule type="cellIs" dxfId="2745" priority="7976" stopIfTrue="1" operator="notEqual">
      <formula>0</formula>
    </cfRule>
  </conditionalFormatting>
  <conditionalFormatting sqref="O2273">
    <cfRule type="expression" dxfId="2744" priority="7977" stopIfTrue="1">
      <formula>OR($O$2273="F/S",$O$2273="")</formula>
    </cfRule>
    <cfRule type="cellIs" dxfId="2743" priority="7978" stopIfTrue="1" operator="notEqual">
      <formula>0</formula>
    </cfRule>
  </conditionalFormatting>
  <conditionalFormatting sqref="L2293">
    <cfRule type="expression" dxfId="2742" priority="7979" stopIfTrue="1">
      <formula>OR($L$2293="F/S",$L$2293="")</formula>
    </cfRule>
    <cfRule type="cellIs" dxfId="2741" priority="7980" stopIfTrue="1" operator="notEqual">
      <formula>0</formula>
    </cfRule>
  </conditionalFormatting>
  <conditionalFormatting sqref="O2293">
    <cfRule type="expression" dxfId="2740" priority="7981" stopIfTrue="1">
      <formula>OR($O$2293="F/S",$O$2293="")</formula>
    </cfRule>
    <cfRule type="cellIs" dxfId="2739" priority="7982" stopIfTrue="1" operator="notEqual">
      <formula>0</formula>
    </cfRule>
  </conditionalFormatting>
  <conditionalFormatting sqref="L2349">
    <cfRule type="expression" dxfId="2738" priority="7983" stopIfTrue="1">
      <formula>OR($L$2349="F/S",$L$2349="")</formula>
    </cfRule>
    <cfRule type="cellIs" dxfId="2737" priority="7984" stopIfTrue="1" operator="notEqual">
      <formula>0</formula>
    </cfRule>
  </conditionalFormatting>
  <conditionalFormatting sqref="O2349">
    <cfRule type="expression" dxfId="2736" priority="7985" stopIfTrue="1">
      <formula>OR($O$2349="F/S",$O$2349="")</formula>
    </cfRule>
    <cfRule type="cellIs" dxfId="2735" priority="7986" stopIfTrue="1" operator="notEqual">
      <formula>0</formula>
    </cfRule>
  </conditionalFormatting>
  <conditionalFormatting sqref="L2330">
    <cfRule type="expression" dxfId="2734" priority="7987" stopIfTrue="1">
      <formula>OR($L$2330="F/S",$L$2330="")</formula>
    </cfRule>
    <cfRule type="cellIs" dxfId="2733" priority="7988" stopIfTrue="1" operator="notEqual">
      <formula>0</formula>
    </cfRule>
  </conditionalFormatting>
  <conditionalFormatting sqref="O2330">
    <cfRule type="expression" dxfId="2732" priority="7989" stopIfTrue="1">
      <formula>OR($O$2330="F/S",$O$2330="")</formula>
    </cfRule>
    <cfRule type="cellIs" dxfId="2731" priority="7990" stopIfTrue="1" operator="notEqual">
      <formula>0</formula>
    </cfRule>
  </conditionalFormatting>
  <conditionalFormatting sqref="L2378">
    <cfRule type="expression" dxfId="2730" priority="7995" stopIfTrue="1">
      <formula>OR($L$2378="F/S",$L$2378="")</formula>
    </cfRule>
    <cfRule type="cellIs" dxfId="2729" priority="7996" stopIfTrue="1" operator="notEqual">
      <formula>0</formula>
    </cfRule>
  </conditionalFormatting>
  <conditionalFormatting sqref="O2378">
    <cfRule type="expression" dxfId="2728" priority="7997" stopIfTrue="1">
      <formula>OR($O$2378="F/S",$O$2378="")</formula>
    </cfRule>
    <cfRule type="cellIs" dxfId="2727" priority="7998" stopIfTrue="1" operator="notEqual">
      <formula>0</formula>
    </cfRule>
  </conditionalFormatting>
  <conditionalFormatting sqref="L2391">
    <cfRule type="expression" dxfId="2726" priority="8003" stopIfTrue="1">
      <formula>OR($L$2391="F/S",$L$2391="")</formula>
    </cfRule>
    <cfRule type="cellIs" dxfId="2725" priority="8004" stopIfTrue="1" operator="notEqual">
      <formula>0</formula>
    </cfRule>
  </conditionalFormatting>
  <conditionalFormatting sqref="O2391">
    <cfRule type="expression" dxfId="2724" priority="8005" stopIfTrue="1">
      <formula>OR($O$2391="F/S",$O$2391="")</formula>
    </cfRule>
    <cfRule type="cellIs" dxfId="2723" priority="8006" stopIfTrue="1" operator="notEqual">
      <formula>0</formula>
    </cfRule>
  </conditionalFormatting>
  <conditionalFormatting sqref="L2368">
    <cfRule type="expression" dxfId="2722" priority="8007" stopIfTrue="1">
      <formula>OR($L$2368="F/S",$L$2368="")</formula>
    </cfRule>
    <cfRule type="cellIs" dxfId="2721" priority="8008" stopIfTrue="1" operator="notEqual">
      <formula>0</formula>
    </cfRule>
  </conditionalFormatting>
  <conditionalFormatting sqref="O2368">
    <cfRule type="expression" dxfId="2720" priority="8009" stopIfTrue="1">
      <formula>OR($O$2368="F/S",$O$2368="")</formula>
    </cfRule>
    <cfRule type="cellIs" dxfId="2719" priority="8010" stopIfTrue="1" operator="notEqual">
      <formula>0</formula>
    </cfRule>
  </conditionalFormatting>
  <conditionalFormatting sqref="L2401">
    <cfRule type="expression" dxfId="2718" priority="8011" stopIfTrue="1">
      <formula>OR($L$2401="F/S",$L$2401="")</formula>
    </cfRule>
    <cfRule type="cellIs" dxfId="2717" priority="8012" stopIfTrue="1" operator="notEqual">
      <formula>0</formula>
    </cfRule>
  </conditionalFormatting>
  <conditionalFormatting sqref="O2401">
    <cfRule type="expression" dxfId="2716" priority="8013" stopIfTrue="1">
      <formula>OR($O$2401="F/S",$O$2401="")</formula>
    </cfRule>
    <cfRule type="cellIs" dxfId="2715" priority="8014" stopIfTrue="1" operator="notEqual">
      <formula>0</formula>
    </cfRule>
  </conditionalFormatting>
  <conditionalFormatting sqref="L2463">
    <cfRule type="expression" dxfId="2714" priority="8015" stopIfTrue="1">
      <formula>OR($L$2463="F/S",$L$2463="")</formula>
    </cfRule>
    <cfRule type="cellIs" dxfId="2713" priority="8016" stopIfTrue="1" operator="notEqual">
      <formula>0</formula>
    </cfRule>
  </conditionalFormatting>
  <conditionalFormatting sqref="O2463">
    <cfRule type="expression" dxfId="2712" priority="8017" stopIfTrue="1">
      <formula>OR($O$2463="F/S",$O$2463="")</formula>
    </cfRule>
    <cfRule type="cellIs" dxfId="2711" priority="8018" stopIfTrue="1" operator="notEqual">
      <formula>0</formula>
    </cfRule>
  </conditionalFormatting>
  <conditionalFormatting sqref="L2497">
    <cfRule type="expression" dxfId="2710" priority="8023" stopIfTrue="1">
      <formula>OR($L$2497="F/S",$L$2497="")</formula>
    </cfRule>
    <cfRule type="cellIs" dxfId="2709" priority="8024" stopIfTrue="1" operator="notEqual">
      <formula>0</formula>
    </cfRule>
  </conditionalFormatting>
  <conditionalFormatting sqref="O2497">
    <cfRule type="expression" dxfId="2708" priority="8025" stopIfTrue="1">
      <formula>OR($O$2497="F/S",$O$2497="")</formula>
    </cfRule>
    <cfRule type="cellIs" dxfId="2707" priority="8026" stopIfTrue="1" operator="notEqual">
      <formula>0</formula>
    </cfRule>
  </conditionalFormatting>
  <conditionalFormatting sqref="L2506">
    <cfRule type="expression" dxfId="2706" priority="8027" stopIfTrue="1">
      <formula>OR($L$2506="F/S",$L$2506="")</formula>
    </cfRule>
    <cfRule type="cellIs" dxfId="2705" priority="8028" stopIfTrue="1" operator="notEqual">
      <formula>0</formula>
    </cfRule>
  </conditionalFormatting>
  <conditionalFormatting sqref="O2506">
    <cfRule type="expression" dxfId="2704" priority="8029" stopIfTrue="1">
      <formula>OR($O$2506="F/S",$O$2506="")</formula>
    </cfRule>
    <cfRule type="cellIs" dxfId="2703" priority="8030" stopIfTrue="1" operator="notEqual">
      <formula>0</formula>
    </cfRule>
  </conditionalFormatting>
  <conditionalFormatting sqref="L2520">
    <cfRule type="expression" dxfId="2702" priority="8031" stopIfTrue="1">
      <formula>OR($L$2520="F/S",$L$2520="")</formula>
    </cfRule>
    <cfRule type="cellIs" dxfId="2701" priority="8032" stopIfTrue="1" operator="notEqual">
      <formula>0</formula>
    </cfRule>
  </conditionalFormatting>
  <conditionalFormatting sqref="O2520">
    <cfRule type="expression" dxfId="2700" priority="8033" stopIfTrue="1">
      <formula>OR($O$2520="F/S",$O$2520="")</formula>
    </cfRule>
    <cfRule type="cellIs" dxfId="2699" priority="8034" stopIfTrue="1" operator="notEqual">
      <formula>0</formula>
    </cfRule>
  </conditionalFormatting>
  <conditionalFormatting sqref="L2557">
    <cfRule type="expression" dxfId="2698" priority="8067" stopIfTrue="1">
      <formula>OR($L$2557="F/S",$L$2557="")</formula>
    </cfRule>
    <cfRule type="cellIs" dxfId="2697" priority="8068" stopIfTrue="1" operator="notEqual">
      <formula>0</formula>
    </cfRule>
  </conditionalFormatting>
  <conditionalFormatting sqref="O2557">
    <cfRule type="expression" dxfId="2696" priority="8069" stopIfTrue="1">
      <formula>OR($O$2557="F/S",$O$2557="")</formula>
    </cfRule>
    <cfRule type="cellIs" dxfId="2695" priority="8070" stopIfTrue="1" operator="notEqual">
      <formula>0</formula>
    </cfRule>
  </conditionalFormatting>
  <conditionalFormatting sqref="L2599">
    <cfRule type="expression" dxfId="2694" priority="8071" stopIfTrue="1">
      <formula>OR($L$2599="F/S",$L$2599="")</formula>
    </cfRule>
    <cfRule type="cellIs" dxfId="2693" priority="8072" stopIfTrue="1" operator="notEqual">
      <formula>0</formula>
    </cfRule>
  </conditionalFormatting>
  <conditionalFormatting sqref="O2599">
    <cfRule type="expression" dxfId="2692" priority="8073" stopIfTrue="1">
      <formula>OR($O$2599="F/S",$O$2599="")</formula>
    </cfRule>
    <cfRule type="cellIs" dxfId="2691" priority="8074" stopIfTrue="1" operator="notEqual">
      <formula>0</formula>
    </cfRule>
  </conditionalFormatting>
  <conditionalFormatting sqref="L2618">
    <cfRule type="expression" dxfId="2690" priority="8075" stopIfTrue="1">
      <formula>OR($L$2618="F/S",$L$2618="")</formula>
    </cfRule>
    <cfRule type="cellIs" dxfId="2689" priority="8076" stopIfTrue="1" operator="notEqual">
      <formula>0</formula>
    </cfRule>
  </conditionalFormatting>
  <conditionalFormatting sqref="O2618">
    <cfRule type="expression" dxfId="2688" priority="8077" stopIfTrue="1">
      <formula>OR($O$2618="F/S",$O$2618="")</formula>
    </cfRule>
    <cfRule type="cellIs" dxfId="2687" priority="8078" stopIfTrue="1" operator="notEqual">
      <formula>0</formula>
    </cfRule>
  </conditionalFormatting>
  <conditionalFormatting sqref="L2628">
    <cfRule type="expression" dxfId="2686" priority="8095" stopIfTrue="1">
      <formula>OR($L$2628="F/S",$L$2628="")</formula>
    </cfRule>
    <cfRule type="cellIs" dxfId="2685" priority="8096" stopIfTrue="1" operator="notEqual">
      <formula>0</formula>
    </cfRule>
  </conditionalFormatting>
  <conditionalFormatting sqref="O2628">
    <cfRule type="expression" dxfId="2684" priority="8097" stopIfTrue="1">
      <formula>OR($O$2628="F/S",$O$2628="")</formula>
    </cfRule>
    <cfRule type="cellIs" dxfId="2683" priority="8098" stopIfTrue="1" operator="notEqual">
      <formula>0</formula>
    </cfRule>
  </conditionalFormatting>
  <conditionalFormatting sqref="L2639">
    <cfRule type="expression" dxfId="2682" priority="8103" stopIfTrue="1">
      <formula>OR($L$2639="F/S",$L$2639="")</formula>
    </cfRule>
    <cfRule type="cellIs" dxfId="2681" priority="8104" stopIfTrue="1" operator="notEqual">
      <formula>0</formula>
    </cfRule>
  </conditionalFormatting>
  <conditionalFormatting sqref="O2639">
    <cfRule type="expression" dxfId="2680" priority="8105" stopIfTrue="1">
      <formula>OR($O$2639="F/S",$O$2639="")</formula>
    </cfRule>
    <cfRule type="cellIs" dxfId="2679" priority="8106" stopIfTrue="1" operator="notEqual">
      <formula>0</formula>
    </cfRule>
  </conditionalFormatting>
  <conditionalFormatting sqref="L2648">
    <cfRule type="expression" dxfId="2678" priority="8107" stopIfTrue="1">
      <formula>OR($L$2648="F/S",$L$2648="")</formula>
    </cfRule>
    <cfRule type="cellIs" dxfId="2677" priority="8108" stopIfTrue="1" operator="notEqual">
      <formula>0</formula>
    </cfRule>
  </conditionalFormatting>
  <conditionalFormatting sqref="O2648">
    <cfRule type="expression" dxfId="2676" priority="8109" stopIfTrue="1">
      <formula>OR($O$2648="F/S",$O$2648="")</formula>
    </cfRule>
    <cfRule type="cellIs" dxfId="2675" priority="8110" stopIfTrue="1" operator="notEqual">
      <formula>0</formula>
    </cfRule>
  </conditionalFormatting>
  <conditionalFormatting sqref="L2705">
    <cfRule type="expression" dxfId="2674" priority="8115" stopIfTrue="1">
      <formula>OR($L$2705="F/S",$L$2705="")</formula>
    </cfRule>
    <cfRule type="cellIs" dxfId="2673" priority="8116" stopIfTrue="1" operator="notEqual">
      <formula>0</formula>
    </cfRule>
  </conditionalFormatting>
  <conditionalFormatting sqref="O2705">
    <cfRule type="expression" dxfId="2672" priority="8117" stopIfTrue="1">
      <formula>OR($O$2705="F/S",$O$2705="")</formula>
    </cfRule>
    <cfRule type="cellIs" dxfId="2671" priority="8118" stopIfTrue="1" operator="notEqual">
      <formula>0</formula>
    </cfRule>
  </conditionalFormatting>
  <conditionalFormatting sqref="L2719">
    <cfRule type="expression" dxfId="2670" priority="8119" stopIfTrue="1">
      <formula>OR($L$2719="F/S",$L$2719="")</formula>
    </cfRule>
    <cfRule type="cellIs" dxfId="2669" priority="8120" stopIfTrue="1" operator="notEqual">
      <formula>0</formula>
    </cfRule>
  </conditionalFormatting>
  <conditionalFormatting sqref="O2719">
    <cfRule type="expression" dxfId="2668" priority="8121" stopIfTrue="1">
      <formula>OR($O$2719="F/S",$O$2719="")</formula>
    </cfRule>
    <cfRule type="cellIs" dxfId="2667" priority="8122" stopIfTrue="1" operator="notEqual">
      <formula>0</formula>
    </cfRule>
  </conditionalFormatting>
  <conditionalFormatting sqref="L2733">
    <cfRule type="expression" dxfId="2666" priority="8123" stopIfTrue="1">
      <formula>OR($L$2733="F/S",$L$2733="")</formula>
    </cfRule>
    <cfRule type="cellIs" dxfId="2665" priority="8124" stopIfTrue="1" operator="notEqual">
      <formula>0</formula>
    </cfRule>
  </conditionalFormatting>
  <conditionalFormatting sqref="O2733">
    <cfRule type="expression" dxfId="2664" priority="8125" stopIfTrue="1">
      <formula>OR($O$2733="F/S",$O$2733="")</formula>
    </cfRule>
    <cfRule type="cellIs" dxfId="2663" priority="8126" stopIfTrue="1" operator="notEqual">
      <formula>0</formula>
    </cfRule>
  </conditionalFormatting>
  <conditionalFormatting sqref="L2748">
    <cfRule type="expression" dxfId="2662" priority="8127" stopIfTrue="1">
      <formula>OR($L$2748="F/S",$L$2748="")</formula>
    </cfRule>
    <cfRule type="cellIs" dxfId="2661" priority="8128" stopIfTrue="1" operator="notEqual">
      <formula>0</formula>
    </cfRule>
  </conditionalFormatting>
  <conditionalFormatting sqref="O2748">
    <cfRule type="expression" dxfId="2660" priority="8129" stopIfTrue="1">
      <formula>OR($O$2748="F/S",$O$2748="")</formula>
    </cfRule>
    <cfRule type="cellIs" dxfId="2659" priority="8130" stopIfTrue="1" operator="notEqual">
      <formula>0</formula>
    </cfRule>
  </conditionalFormatting>
  <conditionalFormatting sqref="L2761">
    <cfRule type="expression" dxfId="2658" priority="8131" stopIfTrue="1">
      <formula>OR($L$2761="F/S",$L$2761="")</formula>
    </cfRule>
    <cfRule type="cellIs" dxfId="2657" priority="8132" stopIfTrue="1" operator="notEqual">
      <formula>0</formula>
    </cfRule>
  </conditionalFormatting>
  <conditionalFormatting sqref="O2761">
    <cfRule type="expression" dxfId="2656" priority="8133" stopIfTrue="1">
      <formula>OR($O$2761="F/S",$O$2761="")</formula>
    </cfRule>
    <cfRule type="cellIs" dxfId="2655" priority="8134" stopIfTrue="1" operator="notEqual">
      <formula>0</formula>
    </cfRule>
  </conditionalFormatting>
  <conditionalFormatting sqref="L2771">
    <cfRule type="expression" dxfId="2654" priority="8151" stopIfTrue="1">
      <formula>OR($L$2771="F/S",$L$2771="")</formula>
    </cfRule>
    <cfRule type="cellIs" dxfId="2653" priority="8152" stopIfTrue="1" operator="notEqual">
      <formula>0</formula>
    </cfRule>
  </conditionalFormatting>
  <conditionalFormatting sqref="O2771">
    <cfRule type="expression" dxfId="2652" priority="8153" stopIfTrue="1">
      <formula>OR($O$2771="F/S",$O$2771="")</formula>
    </cfRule>
    <cfRule type="cellIs" dxfId="2651" priority="8154" stopIfTrue="1" operator="notEqual">
      <formula>0</formula>
    </cfRule>
  </conditionalFormatting>
  <conditionalFormatting sqref="L2781">
    <cfRule type="expression" dxfId="2650" priority="8159" stopIfTrue="1">
      <formula>OR($L$2781="F/S",$L$2781="")</formula>
    </cfRule>
    <cfRule type="cellIs" dxfId="2649" priority="8160" stopIfTrue="1" operator="notEqual">
      <formula>0</formula>
    </cfRule>
  </conditionalFormatting>
  <conditionalFormatting sqref="O2781">
    <cfRule type="expression" dxfId="2648" priority="8161" stopIfTrue="1">
      <formula>OR($O$2781="F/S",$O$2781="")</formula>
    </cfRule>
    <cfRule type="cellIs" dxfId="2647" priority="8162" stopIfTrue="1" operator="notEqual">
      <formula>0</formula>
    </cfRule>
  </conditionalFormatting>
  <conditionalFormatting sqref="L2797">
    <cfRule type="expression" dxfId="2646" priority="8163" stopIfTrue="1">
      <formula>OR($L$2797="F/S",$L$2797="")</formula>
    </cfRule>
    <cfRule type="cellIs" dxfId="2645" priority="8164" stopIfTrue="1" operator="notEqual">
      <formula>0</formula>
    </cfRule>
  </conditionalFormatting>
  <conditionalFormatting sqref="O2797">
    <cfRule type="expression" dxfId="2644" priority="8165" stopIfTrue="1">
      <formula>OR($O$2797="F/S",$O$2797="")</formula>
    </cfRule>
    <cfRule type="cellIs" dxfId="2643" priority="8166" stopIfTrue="1" operator="notEqual">
      <formula>0</formula>
    </cfRule>
  </conditionalFormatting>
  <conditionalFormatting sqref="L2810">
    <cfRule type="expression" dxfId="2642" priority="8167" stopIfTrue="1">
      <formula>OR($L$2810="F/S",$L$2810="")</formula>
    </cfRule>
    <cfRule type="cellIs" dxfId="2641" priority="8168" stopIfTrue="1" operator="notEqual">
      <formula>0</formula>
    </cfRule>
  </conditionalFormatting>
  <conditionalFormatting sqref="O2810">
    <cfRule type="expression" dxfId="2640" priority="8169" stopIfTrue="1">
      <formula>OR($O$2810="F/S",$O$2810="")</formula>
    </cfRule>
    <cfRule type="cellIs" dxfId="2639" priority="8170" stopIfTrue="1" operator="notEqual">
      <formula>0</formula>
    </cfRule>
  </conditionalFormatting>
  <conditionalFormatting sqref="L2821">
    <cfRule type="expression" dxfId="2638" priority="8171" stopIfTrue="1">
      <formula>OR($L$2821="F/S",$L$2821="")</formula>
    </cfRule>
    <cfRule type="cellIs" dxfId="2637" priority="8172" stopIfTrue="1" operator="notEqual">
      <formula>0</formula>
    </cfRule>
  </conditionalFormatting>
  <conditionalFormatting sqref="O2821">
    <cfRule type="expression" dxfId="2636" priority="8173" stopIfTrue="1">
      <formula>OR($O$2821="F/S",$O$2821="")</formula>
    </cfRule>
    <cfRule type="cellIs" dxfId="2635" priority="8174" stopIfTrue="1" operator="notEqual">
      <formula>0</formula>
    </cfRule>
  </conditionalFormatting>
  <conditionalFormatting sqref="L2830">
    <cfRule type="expression" dxfId="2634" priority="8175" stopIfTrue="1">
      <formula>OR($L$2830="F/S",$L$2830="")</formula>
    </cfRule>
    <cfRule type="cellIs" dxfId="2633" priority="8176" stopIfTrue="1" operator="notEqual">
      <formula>0</formula>
    </cfRule>
  </conditionalFormatting>
  <conditionalFormatting sqref="O2830">
    <cfRule type="expression" dxfId="2632" priority="8177" stopIfTrue="1">
      <formula>OR($O$2830="F/S",$O$2830="")</formula>
    </cfRule>
    <cfRule type="cellIs" dxfId="2631" priority="8178" stopIfTrue="1" operator="notEqual">
      <formula>0</formula>
    </cfRule>
  </conditionalFormatting>
  <conditionalFormatting sqref="L2877">
    <cfRule type="expression" dxfId="2630" priority="8187" stopIfTrue="1">
      <formula>OR($L$2877="F/S",$L$2877="")</formula>
    </cfRule>
    <cfRule type="cellIs" dxfId="2629" priority="8188" stopIfTrue="1" operator="notEqual">
      <formula>0</formula>
    </cfRule>
  </conditionalFormatting>
  <conditionalFormatting sqref="O2877">
    <cfRule type="expression" dxfId="2628" priority="8189" stopIfTrue="1">
      <formula>OR($O$2877="F/S",$O$2877="")</formula>
    </cfRule>
    <cfRule type="cellIs" dxfId="2627" priority="8190" stopIfTrue="1" operator="notEqual">
      <formula>0</formula>
    </cfRule>
  </conditionalFormatting>
  <conditionalFormatting sqref="L2847">
    <cfRule type="expression" dxfId="2626" priority="8191" stopIfTrue="1">
      <formula>OR($L$2847="F/S",$L$2847="")</formula>
    </cfRule>
    <cfRule type="cellIs" dxfId="2625" priority="8192" stopIfTrue="1" operator="notEqual">
      <formula>0</formula>
    </cfRule>
  </conditionalFormatting>
  <conditionalFormatting sqref="O2847">
    <cfRule type="expression" dxfId="2624" priority="8193" stopIfTrue="1">
      <formula>OR($O$2847="F/S",$O$2847="")</formula>
    </cfRule>
    <cfRule type="cellIs" dxfId="2623" priority="8194" stopIfTrue="1" operator="notEqual">
      <formula>0</formula>
    </cfRule>
  </conditionalFormatting>
  <conditionalFormatting sqref="L2862">
    <cfRule type="expression" dxfId="2622" priority="8195" stopIfTrue="1">
      <formula>OR($L$2862="F/S",$L$2862="")</formula>
    </cfRule>
    <cfRule type="cellIs" dxfId="2621" priority="8196" stopIfTrue="1" operator="notEqual">
      <formula>0</formula>
    </cfRule>
  </conditionalFormatting>
  <conditionalFormatting sqref="O2862">
    <cfRule type="expression" dxfId="2620" priority="8197" stopIfTrue="1">
      <formula>OR($O$2862="F/S",$O$2862="")</formula>
    </cfRule>
    <cfRule type="cellIs" dxfId="2619" priority="8198" stopIfTrue="1" operator="notEqual">
      <formula>0</formula>
    </cfRule>
  </conditionalFormatting>
  <conditionalFormatting sqref="L2897">
    <cfRule type="expression" dxfId="2618" priority="8199" stopIfTrue="1">
      <formula>OR($L$2897="F/S",$L$2897="")</formula>
    </cfRule>
    <cfRule type="cellIs" dxfId="2617" priority="8200" stopIfTrue="1" operator="notEqual">
      <formula>0</formula>
    </cfRule>
  </conditionalFormatting>
  <conditionalFormatting sqref="O2897">
    <cfRule type="expression" dxfId="2616" priority="8201" stopIfTrue="1">
      <formula>OR($O$2897="F/S",$O$2897="")</formula>
    </cfRule>
    <cfRule type="cellIs" dxfId="2615" priority="8202" stopIfTrue="1" operator="notEqual">
      <formula>0</formula>
    </cfRule>
  </conditionalFormatting>
  <conditionalFormatting sqref="L2908">
    <cfRule type="expression" dxfId="2614" priority="8207" stopIfTrue="1">
      <formula>OR($L$2908="F/S",$L$2908="")</formula>
    </cfRule>
    <cfRule type="cellIs" dxfId="2613" priority="8208" stopIfTrue="1" operator="notEqual">
      <formula>0</formula>
    </cfRule>
  </conditionalFormatting>
  <conditionalFormatting sqref="O2908">
    <cfRule type="expression" dxfId="2612" priority="8209" stopIfTrue="1">
      <formula>OR($O$2908="F/S",$O$2908="")</formula>
    </cfRule>
    <cfRule type="cellIs" dxfId="2611" priority="8210" stopIfTrue="1" operator="notEqual">
      <formula>0</formula>
    </cfRule>
  </conditionalFormatting>
  <conditionalFormatting sqref="L2920">
    <cfRule type="expression" dxfId="2610" priority="8211" stopIfTrue="1">
      <formula>OR($L$2920="F/S",$L$2920="")</formula>
    </cfRule>
    <cfRule type="cellIs" dxfId="2609" priority="8212" stopIfTrue="1" operator="notEqual">
      <formula>0</formula>
    </cfRule>
  </conditionalFormatting>
  <conditionalFormatting sqref="O2920">
    <cfRule type="expression" dxfId="2608" priority="8213" stopIfTrue="1">
      <formula>OR($O$2920="F/S",$O$2920="")</formula>
    </cfRule>
    <cfRule type="cellIs" dxfId="2607" priority="8214" stopIfTrue="1" operator="notEqual">
      <formula>0</formula>
    </cfRule>
  </conditionalFormatting>
  <conditionalFormatting sqref="L2982">
    <cfRule type="expression" dxfId="2606" priority="8227" stopIfTrue="1">
      <formula>OR($L$2982="F/S",$L$2982="")</formula>
    </cfRule>
    <cfRule type="cellIs" dxfId="2605" priority="8228" stopIfTrue="1" operator="notEqual">
      <formula>0</formula>
    </cfRule>
  </conditionalFormatting>
  <conditionalFormatting sqref="O2982">
    <cfRule type="expression" dxfId="2604" priority="8229" stopIfTrue="1">
      <formula>OR($O$2982="F/S",$O$2982="")</formula>
    </cfRule>
    <cfRule type="cellIs" dxfId="2603" priority="8230" stopIfTrue="1" operator="notEqual">
      <formula>0</formula>
    </cfRule>
  </conditionalFormatting>
  <conditionalFormatting sqref="L3006">
    <cfRule type="expression" dxfId="2602" priority="8235" stopIfTrue="1">
      <formula>OR($L$3006="F/S",$L$3006="")</formula>
    </cfRule>
    <cfRule type="cellIs" dxfId="2601" priority="8236" stopIfTrue="1" operator="notEqual">
      <formula>0</formula>
    </cfRule>
  </conditionalFormatting>
  <conditionalFormatting sqref="O3006">
    <cfRule type="expression" dxfId="2600" priority="8237" stopIfTrue="1">
      <formula>OR($O$3006="F/S",$O$3006="")</formula>
    </cfRule>
    <cfRule type="cellIs" dxfId="2599" priority="8238" stopIfTrue="1" operator="notEqual">
      <formula>0</formula>
    </cfRule>
  </conditionalFormatting>
  <conditionalFormatting sqref="L3043">
    <cfRule type="expression" dxfId="2598" priority="8243" stopIfTrue="1">
      <formula>OR($L$3043="F/S",$L$3043="")</formula>
    </cfRule>
    <cfRule type="cellIs" dxfId="2597" priority="8244" stopIfTrue="1" operator="notEqual">
      <formula>0</formula>
    </cfRule>
  </conditionalFormatting>
  <conditionalFormatting sqref="O3043">
    <cfRule type="expression" dxfId="2596" priority="8245" stopIfTrue="1">
      <formula>OR($O$3043="F/S",$O$3043="")</formula>
    </cfRule>
    <cfRule type="cellIs" dxfId="2595" priority="8246" stopIfTrue="1" operator="notEqual">
      <formula>0</formula>
    </cfRule>
  </conditionalFormatting>
  <conditionalFormatting sqref="L3113">
    <cfRule type="expression" dxfId="2594" priority="8259" stopIfTrue="1">
      <formula>OR($L$3113="F/S",$L$3113="")</formula>
    </cfRule>
    <cfRule type="cellIs" dxfId="2593" priority="8260" stopIfTrue="1" operator="notEqual">
      <formula>0</formula>
    </cfRule>
  </conditionalFormatting>
  <conditionalFormatting sqref="O3113">
    <cfRule type="expression" dxfId="2592" priority="8261" stopIfTrue="1">
      <formula>OR($O$3113="F/S",$O$3113="")</formula>
    </cfRule>
    <cfRule type="cellIs" dxfId="2591" priority="8262" stopIfTrue="1" operator="notEqual">
      <formula>0</formula>
    </cfRule>
  </conditionalFormatting>
  <conditionalFormatting sqref="L3126">
    <cfRule type="expression" dxfId="2590" priority="8263" stopIfTrue="1">
      <formula>OR($L$3126="F/S",$L$3126="")</formula>
    </cfRule>
    <cfRule type="cellIs" dxfId="2589" priority="8264" stopIfTrue="1" operator="notEqual">
      <formula>0</formula>
    </cfRule>
  </conditionalFormatting>
  <conditionalFormatting sqref="O3126">
    <cfRule type="expression" dxfId="2588" priority="8265" stopIfTrue="1">
      <formula>OR($O$3126="F/S",$O$3126="")</formula>
    </cfRule>
    <cfRule type="cellIs" dxfId="2587" priority="8266" stopIfTrue="1" operator="notEqual">
      <formula>0</formula>
    </cfRule>
  </conditionalFormatting>
  <conditionalFormatting sqref="L3162">
    <cfRule type="expression" dxfId="2586" priority="8267" stopIfTrue="1">
      <formula>OR($L$3162="F/S",$L$3162="")</formula>
    </cfRule>
    <cfRule type="cellIs" dxfId="2585" priority="8268" stopIfTrue="1" operator="notEqual">
      <formula>0</formula>
    </cfRule>
  </conditionalFormatting>
  <conditionalFormatting sqref="O3162">
    <cfRule type="expression" dxfId="2584" priority="8269" stopIfTrue="1">
      <formula>OR($O$3162="F/S",$O$3162="")</formula>
    </cfRule>
    <cfRule type="cellIs" dxfId="2583" priority="8270" stopIfTrue="1" operator="notEqual">
      <formula>0</formula>
    </cfRule>
  </conditionalFormatting>
  <conditionalFormatting sqref="L3175">
    <cfRule type="expression" dxfId="2582" priority="8279" stopIfTrue="1">
      <formula>OR($L$3175="F/S",$L$3175="")</formula>
    </cfRule>
    <cfRule type="cellIs" dxfId="2581" priority="8280" stopIfTrue="1" operator="notEqual">
      <formula>0</formula>
    </cfRule>
  </conditionalFormatting>
  <conditionalFormatting sqref="O3175">
    <cfRule type="expression" dxfId="2580" priority="8281" stopIfTrue="1">
      <formula>OR($O$3175="F/S",$O$3175="")</formula>
    </cfRule>
    <cfRule type="cellIs" dxfId="2579" priority="8282" stopIfTrue="1" operator="notEqual">
      <formula>0</formula>
    </cfRule>
  </conditionalFormatting>
  <conditionalFormatting sqref="L3188">
    <cfRule type="expression" dxfId="2578" priority="8283" stopIfTrue="1">
      <formula>OR($L$3188="F/S",$L$3188="")</formula>
    </cfRule>
    <cfRule type="cellIs" dxfId="2577" priority="8284" stopIfTrue="1" operator="notEqual">
      <formula>0</formula>
    </cfRule>
  </conditionalFormatting>
  <conditionalFormatting sqref="O3188">
    <cfRule type="expression" dxfId="2576" priority="8285" stopIfTrue="1">
      <formula>OR($O$3188="F/S",$O$3188="")</formula>
    </cfRule>
    <cfRule type="cellIs" dxfId="2575" priority="8286" stopIfTrue="1" operator="notEqual">
      <formula>0</formula>
    </cfRule>
  </conditionalFormatting>
  <conditionalFormatting sqref="L3200">
    <cfRule type="expression" dxfId="2574" priority="8287" stopIfTrue="1">
      <formula>OR($L$3200="F/S",$L$3200="")</formula>
    </cfRule>
    <cfRule type="cellIs" dxfId="2573" priority="8288" stopIfTrue="1" operator="notEqual">
      <formula>0</formula>
    </cfRule>
  </conditionalFormatting>
  <conditionalFormatting sqref="O3200">
    <cfRule type="expression" dxfId="2572" priority="8289" stopIfTrue="1">
      <formula>OR($O$3200="F/S",$O$3200="")</formula>
    </cfRule>
    <cfRule type="cellIs" dxfId="2571" priority="8290" stopIfTrue="1" operator="notEqual">
      <formula>0</formula>
    </cfRule>
  </conditionalFormatting>
  <conditionalFormatting sqref="L3213">
    <cfRule type="expression" dxfId="2570" priority="8291" stopIfTrue="1">
      <formula>OR($L$3213="F/S",$L$3213="")</formula>
    </cfRule>
    <cfRule type="cellIs" dxfId="2569" priority="8292" stopIfTrue="1" operator="notEqual">
      <formula>0</formula>
    </cfRule>
  </conditionalFormatting>
  <conditionalFormatting sqref="O3213">
    <cfRule type="expression" dxfId="2568" priority="8293" stopIfTrue="1">
      <formula>OR($O$3213="F/S",$O$3213="")</formula>
    </cfRule>
    <cfRule type="cellIs" dxfId="2567" priority="8294" stopIfTrue="1" operator="notEqual">
      <formula>0</formula>
    </cfRule>
  </conditionalFormatting>
  <conditionalFormatting sqref="L3225">
    <cfRule type="expression" dxfId="2566" priority="8295" stopIfTrue="1">
      <formula>OR($L$3225="F/S",$L$3225="")</formula>
    </cfRule>
    <cfRule type="cellIs" dxfId="2565" priority="8296" stopIfTrue="1" operator="notEqual">
      <formula>0</formula>
    </cfRule>
  </conditionalFormatting>
  <conditionalFormatting sqref="O3225">
    <cfRule type="expression" dxfId="2564" priority="8297" stopIfTrue="1">
      <formula>OR($O$3225="F/S",$O$3225="")</formula>
    </cfRule>
    <cfRule type="cellIs" dxfId="2563" priority="8298" stopIfTrue="1" operator="notEqual">
      <formula>0</formula>
    </cfRule>
  </conditionalFormatting>
  <conditionalFormatting sqref="L3240">
    <cfRule type="expression" dxfId="2562" priority="8299" stopIfTrue="1">
      <formula>OR($L$3240="F/S",$L$3240="")</formula>
    </cfRule>
    <cfRule type="cellIs" dxfId="2561" priority="8300" stopIfTrue="1" operator="notEqual">
      <formula>0</formula>
    </cfRule>
  </conditionalFormatting>
  <conditionalFormatting sqref="O3240">
    <cfRule type="expression" dxfId="2560" priority="8301" stopIfTrue="1">
      <formula>OR($O$3240="F/S",$O$3240="")</formula>
    </cfRule>
    <cfRule type="cellIs" dxfId="2559" priority="8302" stopIfTrue="1" operator="notEqual">
      <formula>0</formula>
    </cfRule>
  </conditionalFormatting>
  <conditionalFormatting sqref="L3256">
    <cfRule type="expression" dxfId="2558" priority="8303" stopIfTrue="1">
      <formula>OR($L$3256="F/S",$L$3256="")</formula>
    </cfRule>
    <cfRule type="cellIs" dxfId="2557" priority="8304" stopIfTrue="1" operator="notEqual">
      <formula>0</formula>
    </cfRule>
  </conditionalFormatting>
  <conditionalFormatting sqref="O3256">
    <cfRule type="expression" dxfId="2556" priority="8305" stopIfTrue="1">
      <formula>OR($O$3256="F/S",$O$3256="")</formula>
    </cfRule>
    <cfRule type="cellIs" dxfId="2555" priority="8306" stopIfTrue="1" operator="notEqual">
      <formula>0</formula>
    </cfRule>
  </conditionalFormatting>
  <conditionalFormatting sqref="L3269">
    <cfRule type="expression" dxfId="2554" priority="8307" stopIfTrue="1">
      <formula>OR($L$3269="F/S",$L$3269="")</formula>
    </cfRule>
    <cfRule type="cellIs" dxfId="2553" priority="8308" stopIfTrue="1" operator="notEqual">
      <formula>0</formula>
    </cfRule>
  </conditionalFormatting>
  <conditionalFormatting sqref="O3269">
    <cfRule type="expression" dxfId="2552" priority="8309" stopIfTrue="1">
      <formula>OR($O$3269="F/S",$O$3269="")</formula>
    </cfRule>
    <cfRule type="cellIs" dxfId="2551" priority="8310" stopIfTrue="1" operator="notEqual">
      <formula>0</formula>
    </cfRule>
  </conditionalFormatting>
  <conditionalFormatting sqref="L3276">
    <cfRule type="expression" dxfId="2550" priority="8311" stopIfTrue="1">
      <formula>OR($L$3276="F/S",$L$3276="")</formula>
    </cfRule>
    <cfRule type="cellIs" dxfId="2549" priority="8312" stopIfTrue="1" operator="notEqual">
      <formula>0</formula>
    </cfRule>
  </conditionalFormatting>
  <conditionalFormatting sqref="O3276">
    <cfRule type="expression" dxfId="2548" priority="8313" stopIfTrue="1">
      <formula>OR($O$3276="F/S",$O$3276="")</formula>
    </cfRule>
    <cfRule type="cellIs" dxfId="2547" priority="8314" stopIfTrue="1" operator="notEqual">
      <formula>0</formula>
    </cfRule>
  </conditionalFormatting>
  <conditionalFormatting sqref="L3286">
    <cfRule type="expression" dxfId="2546" priority="8315" stopIfTrue="1">
      <formula>OR($L$3286="F/S",$L$3286="")</formula>
    </cfRule>
    <cfRule type="cellIs" dxfId="2545" priority="8316" stopIfTrue="1" operator="notEqual">
      <formula>0</formula>
    </cfRule>
  </conditionalFormatting>
  <conditionalFormatting sqref="O3286">
    <cfRule type="expression" dxfId="2544" priority="8317" stopIfTrue="1">
      <formula>OR($O$3286="F/S",$O$3286="")</formula>
    </cfRule>
    <cfRule type="cellIs" dxfId="2543" priority="8318" stopIfTrue="1" operator="notEqual">
      <formula>0</formula>
    </cfRule>
  </conditionalFormatting>
  <conditionalFormatting sqref="L3306">
    <cfRule type="expression" dxfId="2542" priority="8319" stopIfTrue="1">
      <formula>OR($L$3306="F/S",$L$3306="")</formula>
    </cfRule>
    <cfRule type="cellIs" dxfId="2541" priority="8320" stopIfTrue="1" operator="notEqual">
      <formula>0</formula>
    </cfRule>
  </conditionalFormatting>
  <conditionalFormatting sqref="O3306">
    <cfRule type="expression" dxfId="2540" priority="8321" stopIfTrue="1">
      <formula>OR($O$3306="F/S",$O$3306="")</formula>
    </cfRule>
    <cfRule type="cellIs" dxfId="2539" priority="8322" stopIfTrue="1" operator="notEqual">
      <formula>0</formula>
    </cfRule>
  </conditionalFormatting>
  <conditionalFormatting sqref="L5209">
    <cfRule type="expression" dxfId="2538" priority="8323" stopIfTrue="1">
      <formula>OR($L$5209="F/S",$L$5209="")</formula>
    </cfRule>
    <cfRule type="cellIs" dxfId="2537" priority="8324" stopIfTrue="1" operator="notEqual">
      <formula>0</formula>
    </cfRule>
  </conditionalFormatting>
  <conditionalFormatting sqref="O5209">
    <cfRule type="expression" dxfId="2536" priority="8325" stopIfTrue="1">
      <formula>OR($O$5209="F/S",$O$5209="")</formula>
    </cfRule>
    <cfRule type="cellIs" dxfId="2535" priority="8326" stopIfTrue="1" operator="notEqual">
      <formula>0</formula>
    </cfRule>
  </conditionalFormatting>
  <conditionalFormatting sqref="L5195">
    <cfRule type="expression" dxfId="2534" priority="8327" stopIfTrue="1">
      <formula>OR($L$5195="F/S",$L$5195="")</formula>
    </cfRule>
    <cfRule type="cellIs" dxfId="2533" priority="8328" stopIfTrue="1" operator="notEqual">
      <formula>0</formula>
    </cfRule>
  </conditionalFormatting>
  <conditionalFormatting sqref="O5195">
    <cfRule type="expression" dxfId="2532" priority="8329" stopIfTrue="1">
      <formula>OR($O$5195="F/S",$O$5195="")</formula>
    </cfRule>
    <cfRule type="cellIs" dxfId="2531" priority="8330" stopIfTrue="1" operator="notEqual">
      <formula>0</formula>
    </cfRule>
  </conditionalFormatting>
  <conditionalFormatting sqref="L3319">
    <cfRule type="expression" dxfId="2530" priority="8331" stopIfTrue="1">
      <formula>OR($L$3319="F/S",$L$3319="")</formula>
    </cfRule>
    <cfRule type="cellIs" dxfId="2529" priority="8332" stopIfTrue="1" operator="notEqual">
      <formula>0</formula>
    </cfRule>
  </conditionalFormatting>
  <conditionalFormatting sqref="O3319">
    <cfRule type="expression" dxfId="2528" priority="8333" stopIfTrue="1">
      <formula>OR($O$3319="F/S",$O$3319="")</formula>
    </cfRule>
    <cfRule type="cellIs" dxfId="2527" priority="8334" stopIfTrue="1" operator="notEqual">
      <formula>0</formula>
    </cfRule>
  </conditionalFormatting>
  <conditionalFormatting sqref="L3359">
    <cfRule type="expression" dxfId="2526" priority="8335" stopIfTrue="1">
      <formula>OR($L$3359="F/S",$L$3359="")</formula>
    </cfRule>
    <cfRule type="cellIs" dxfId="2525" priority="8336" stopIfTrue="1" operator="notEqual">
      <formula>0</formula>
    </cfRule>
  </conditionalFormatting>
  <conditionalFormatting sqref="O3359">
    <cfRule type="expression" dxfId="2524" priority="8337" stopIfTrue="1">
      <formula>OR($O$3359="F/S",$O$3359="")</formula>
    </cfRule>
    <cfRule type="cellIs" dxfId="2523" priority="8338" stopIfTrue="1" operator="notEqual">
      <formula>0</formula>
    </cfRule>
  </conditionalFormatting>
  <conditionalFormatting sqref="L3329">
    <cfRule type="expression" dxfId="2522" priority="8339" stopIfTrue="1">
      <formula>OR($L$3329="F/S",$L$3329="")</formula>
    </cfRule>
    <cfRule type="cellIs" dxfId="2521" priority="8340" stopIfTrue="1" operator="notEqual">
      <formula>0</formula>
    </cfRule>
  </conditionalFormatting>
  <conditionalFormatting sqref="O3329">
    <cfRule type="expression" dxfId="2520" priority="8341" stopIfTrue="1">
      <formula>OR($O$3329="F/S",$O$3329="")</formula>
    </cfRule>
    <cfRule type="cellIs" dxfId="2519" priority="8342" stopIfTrue="1" operator="notEqual">
      <formula>0</formula>
    </cfRule>
  </conditionalFormatting>
  <conditionalFormatting sqref="L3339">
    <cfRule type="expression" dxfId="2518" priority="8343" stopIfTrue="1">
      <formula>OR($L$3339="F/S",$L$3339="")</formula>
    </cfRule>
    <cfRule type="cellIs" dxfId="2517" priority="8344" stopIfTrue="1" operator="notEqual">
      <formula>0</formula>
    </cfRule>
  </conditionalFormatting>
  <conditionalFormatting sqref="O3339">
    <cfRule type="expression" dxfId="2516" priority="8345" stopIfTrue="1">
      <formula>OR($O$3339="F/S",$O$3339="")</formula>
    </cfRule>
    <cfRule type="cellIs" dxfId="2515" priority="8346" stopIfTrue="1" operator="notEqual">
      <formula>0</formula>
    </cfRule>
  </conditionalFormatting>
  <conditionalFormatting sqref="L3349">
    <cfRule type="expression" dxfId="2514" priority="8347" stopIfTrue="1">
      <formula>OR($L$3349="F/S",$L$3349="")</formula>
    </cfRule>
    <cfRule type="cellIs" dxfId="2513" priority="8348" stopIfTrue="1" operator="notEqual">
      <formula>0</formula>
    </cfRule>
  </conditionalFormatting>
  <conditionalFormatting sqref="O3349">
    <cfRule type="expression" dxfId="2512" priority="8349" stopIfTrue="1">
      <formula>OR($O$3349="F/S",$O$3349="")</formula>
    </cfRule>
    <cfRule type="cellIs" dxfId="2511" priority="8350" stopIfTrue="1" operator="notEqual">
      <formula>0</formula>
    </cfRule>
  </conditionalFormatting>
  <conditionalFormatting sqref="L3370">
    <cfRule type="expression" dxfId="2510" priority="8351" stopIfTrue="1">
      <formula>OR($L$3370="F/S",$L$3370="")</formula>
    </cfRule>
    <cfRule type="cellIs" dxfId="2509" priority="8352" stopIfTrue="1" operator="notEqual">
      <formula>0</formula>
    </cfRule>
  </conditionalFormatting>
  <conditionalFormatting sqref="O3370">
    <cfRule type="expression" dxfId="2508" priority="8353" stopIfTrue="1">
      <formula>OR($O$3370="F/S",$O$3370="")</formula>
    </cfRule>
    <cfRule type="cellIs" dxfId="2507" priority="8354" stopIfTrue="1" operator="notEqual">
      <formula>0</formula>
    </cfRule>
  </conditionalFormatting>
  <conditionalFormatting sqref="L3409">
    <cfRule type="expression" dxfId="2506" priority="8355" stopIfTrue="1">
      <formula>OR($L$3409="F/S",$L$3409="")</formula>
    </cfRule>
    <cfRule type="cellIs" dxfId="2505" priority="8356" stopIfTrue="1" operator="notEqual">
      <formula>0</formula>
    </cfRule>
  </conditionalFormatting>
  <conditionalFormatting sqref="O3409">
    <cfRule type="expression" dxfId="2504" priority="8357" stopIfTrue="1">
      <formula>OR($O$3409="F/S",$O$3409="")</formula>
    </cfRule>
    <cfRule type="cellIs" dxfId="2503" priority="8358" stopIfTrue="1" operator="notEqual">
      <formula>0</formula>
    </cfRule>
  </conditionalFormatting>
  <conditionalFormatting sqref="L3381">
    <cfRule type="expression" dxfId="2502" priority="8359" stopIfTrue="1">
      <formula>OR($L$3381="F/S",$L$3381="")</formula>
    </cfRule>
    <cfRule type="cellIs" dxfId="2501" priority="8360" stopIfTrue="1" operator="notEqual">
      <formula>0</formula>
    </cfRule>
  </conditionalFormatting>
  <conditionalFormatting sqref="O3381">
    <cfRule type="expression" dxfId="2500" priority="8361" stopIfTrue="1">
      <formula>OR($O$3381="F/S",$O$3381="")</formula>
    </cfRule>
    <cfRule type="cellIs" dxfId="2499" priority="8362" stopIfTrue="1" operator="notEqual">
      <formula>0</formula>
    </cfRule>
  </conditionalFormatting>
  <conditionalFormatting sqref="L3394">
    <cfRule type="expression" dxfId="2498" priority="8363" stopIfTrue="1">
      <formula>OR($L$3394="F/S",$L$3394="")</formula>
    </cfRule>
    <cfRule type="cellIs" dxfId="2497" priority="8364" stopIfTrue="1" operator="notEqual">
      <formula>0</formula>
    </cfRule>
  </conditionalFormatting>
  <conditionalFormatting sqref="O3394">
    <cfRule type="expression" dxfId="2496" priority="8365" stopIfTrue="1">
      <formula>OR($O$3394="F/S",$O$3394="")</formula>
    </cfRule>
    <cfRule type="cellIs" dxfId="2495" priority="8366" stopIfTrue="1" operator="notEqual">
      <formula>0</formula>
    </cfRule>
  </conditionalFormatting>
  <conditionalFormatting sqref="L3421">
    <cfRule type="expression" dxfId="2494" priority="8367" stopIfTrue="1">
      <formula>OR($L$3421="F/S",$L$3421="")</formula>
    </cfRule>
    <cfRule type="cellIs" dxfId="2493" priority="8368" stopIfTrue="1" operator="notEqual">
      <formula>0</formula>
    </cfRule>
  </conditionalFormatting>
  <conditionalFormatting sqref="O3421">
    <cfRule type="expression" dxfId="2492" priority="8369" stopIfTrue="1">
      <formula>OR($O$3421="F/S",$O$3421="")</formula>
    </cfRule>
    <cfRule type="cellIs" dxfId="2491" priority="8370" stopIfTrue="1" operator="notEqual">
      <formula>0</formula>
    </cfRule>
  </conditionalFormatting>
  <conditionalFormatting sqref="L3432">
    <cfRule type="expression" dxfId="2490" priority="8371" stopIfTrue="1">
      <formula>OR($L$3432="F/S",$L$3432="")</formula>
    </cfRule>
    <cfRule type="cellIs" dxfId="2489" priority="8372" stopIfTrue="1" operator="notEqual">
      <formula>0</formula>
    </cfRule>
  </conditionalFormatting>
  <conditionalFormatting sqref="O3432">
    <cfRule type="expression" dxfId="2488" priority="8373" stopIfTrue="1">
      <formula>OR($O$3432="F/S",$O$3432="")</formula>
    </cfRule>
    <cfRule type="cellIs" dxfId="2487" priority="8374" stopIfTrue="1" operator="notEqual">
      <formula>0</formula>
    </cfRule>
  </conditionalFormatting>
  <conditionalFormatting sqref="L3443">
    <cfRule type="expression" dxfId="2486" priority="8375" stopIfTrue="1">
      <formula>OR($L$3443="F/S",$L$3443="")</formula>
    </cfRule>
    <cfRule type="cellIs" dxfId="2485" priority="8376" stopIfTrue="1" operator="notEqual">
      <formula>0</formula>
    </cfRule>
  </conditionalFormatting>
  <conditionalFormatting sqref="O3443">
    <cfRule type="expression" dxfId="2484" priority="8377" stopIfTrue="1">
      <formula>OR($O$3443="F/S",$O$3443="")</formula>
    </cfRule>
    <cfRule type="cellIs" dxfId="2483" priority="8378" stopIfTrue="1" operator="notEqual">
      <formula>0</formula>
    </cfRule>
  </conditionalFormatting>
  <conditionalFormatting sqref="L3471">
    <cfRule type="expression" dxfId="2482" priority="8379" stopIfTrue="1">
      <formula>OR($L$3471="F/S",$L$3471="")</formula>
    </cfRule>
    <cfRule type="cellIs" dxfId="2481" priority="8380" stopIfTrue="1" operator="notEqual">
      <formula>0</formula>
    </cfRule>
  </conditionalFormatting>
  <conditionalFormatting sqref="O3471">
    <cfRule type="expression" dxfId="2480" priority="8381" stopIfTrue="1">
      <formula>OR($O$3471="F/S",$O$3471="")</formula>
    </cfRule>
    <cfRule type="cellIs" dxfId="2479" priority="8382" stopIfTrue="1" operator="notEqual">
      <formula>0</formula>
    </cfRule>
  </conditionalFormatting>
  <conditionalFormatting sqref="L3454">
    <cfRule type="expression" dxfId="2478" priority="8383" stopIfTrue="1">
      <formula>OR($L$3454="F/S",$L$3454="")</formula>
    </cfRule>
    <cfRule type="cellIs" dxfId="2477" priority="8384" stopIfTrue="1" operator="notEqual">
      <formula>0</formula>
    </cfRule>
  </conditionalFormatting>
  <conditionalFormatting sqref="O3454">
    <cfRule type="expression" dxfId="2476" priority="8385" stopIfTrue="1">
      <formula>OR($O$3454="F/S",$O$3454="")</formula>
    </cfRule>
    <cfRule type="cellIs" dxfId="2475" priority="8386" stopIfTrue="1" operator="notEqual">
      <formula>0</formula>
    </cfRule>
  </conditionalFormatting>
  <conditionalFormatting sqref="L3491">
    <cfRule type="expression" dxfId="2474" priority="8387" stopIfTrue="1">
      <formula>OR($L$3491="F/S",$L$3491="")</formula>
    </cfRule>
    <cfRule type="cellIs" dxfId="2473" priority="8388" stopIfTrue="1" operator="notEqual">
      <formula>0</formula>
    </cfRule>
  </conditionalFormatting>
  <conditionalFormatting sqref="O3491">
    <cfRule type="expression" dxfId="2472" priority="8389" stopIfTrue="1">
      <formula>OR($O$3491="F/S",$O$3491="")</formula>
    </cfRule>
    <cfRule type="cellIs" dxfId="2471" priority="8390" stopIfTrue="1" operator="notEqual">
      <formula>0</formula>
    </cfRule>
  </conditionalFormatting>
  <conditionalFormatting sqref="L3481">
    <cfRule type="expression" dxfId="2470" priority="8391" stopIfTrue="1">
      <formula>OR($L$3481="F/S",$L$3481="")</formula>
    </cfRule>
    <cfRule type="cellIs" dxfId="2469" priority="8392" stopIfTrue="1" operator="notEqual">
      <formula>0</formula>
    </cfRule>
  </conditionalFormatting>
  <conditionalFormatting sqref="O3481">
    <cfRule type="expression" dxfId="2468" priority="8393" stopIfTrue="1">
      <formula>OR($O$3481="F/S",$O$3481="")</formula>
    </cfRule>
    <cfRule type="cellIs" dxfId="2467" priority="8394" stopIfTrue="1" operator="notEqual">
      <formula>0</formula>
    </cfRule>
  </conditionalFormatting>
  <conditionalFormatting sqref="L3501">
    <cfRule type="expression" dxfId="2466" priority="8395" stopIfTrue="1">
      <formula>OR($L$3501="F/S",$L$3501="")</formula>
    </cfRule>
    <cfRule type="cellIs" dxfId="2465" priority="8396" stopIfTrue="1" operator="notEqual">
      <formula>0</formula>
    </cfRule>
  </conditionalFormatting>
  <conditionalFormatting sqref="O3501">
    <cfRule type="expression" dxfId="2464" priority="8397" stopIfTrue="1">
      <formula>OR($O$3501="F/S",$O$3501="")</formula>
    </cfRule>
    <cfRule type="cellIs" dxfId="2463" priority="8398" stopIfTrue="1" operator="notEqual">
      <formula>0</formula>
    </cfRule>
  </conditionalFormatting>
  <conditionalFormatting sqref="L3511">
    <cfRule type="expression" dxfId="2462" priority="8399" stopIfTrue="1">
      <formula>OR($L$3511="F/S",$L$3511="")</formula>
    </cfRule>
    <cfRule type="cellIs" dxfId="2461" priority="8400" stopIfTrue="1" operator="notEqual">
      <formula>0</formula>
    </cfRule>
  </conditionalFormatting>
  <conditionalFormatting sqref="O3511">
    <cfRule type="expression" dxfId="2460" priority="8401" stopIfTrue="1">
      <formula>OR($O$3511="F/S",$O$3511="")</formula>
    </cfRule>
    <cfRule type="cellIs" dxfId="2459" priority="8402" stopIfTrue="1" operator="notEqual">
      <formula>0</formula>
    </cfRule>
  </conditionalFormatting>
  <conditionalFormatting sqref="L3531">
    <cfRule type="expression" dxfId="2458" priority="8407" stopIfTrue="1">
      <formula>OR($L$3531="F/S",$L$3531="")</formula>
    </cfRule>
    <cfRule type="cellIs" dxfId="2457" priority="8408" stopIfTrue="1" operator="notEqual">
      <formula>0</formula>
    </cfRule>
  </conditionalFormatting>
  <conditionalFormatting sqref="O3531">
    <cfRule type="expression" dxfId="2456" priority="8409" stopIfTrue="1">
      <formula>OR($O$3531="F/S",$O$3531="")</formula>
    </cfRule>
    <cfRule type="cellIs" dxfId="2455" priority="8410" stopIfTrue="1" operator="notEqual">
      <formula>0</formula>
    </cfRule>
  </conditionalFormatting>
  <conditionalFormatting sqref="L3558">
    <cfRule type="expression" dxfId="2454" priority="8411" stopIfTrue="1">
      <formula>OR($L$3558="F/S",$L$3558="")</formula>
    </cfRule>
    <cfRule type="cellIs" dxfId="2453" priority="8412" stopIfTrue="1" operator="notEqual">
      <formula>0</formula>
    </cfRule>
  </conditionalFormatting>
  <conditionalFormatting sqref="O3558">
    <cfRule type="expression" dxfId="2452" priority="8413" stopIfTrue="1">
      <formula>OR($O$3558="F/S",$O$3558="")</formula>
    </cfRule>
    <cfRule type="cellIs" dxfId="2451" priority="8414" stopIfTrue="1" operator="notEqual">
      <formula>0</formula>
    </cfRule>
  </conditionalFormatting>
  <conditionalFormatting sqref="L3568">
    <cfRule type="expression" dxfId="2450" priority="8415" stopIfTrue="1">
      <formula>OR($L$3568="F/S",$L$3568="")</formula>
    </cfRule>
    <cfRule type="cellIs" dxfId="2449" priority="8416" stopIfTrue="1" operator="notEqual">
      <formula>0</formula>
    </cfRule>
  </conditionalFormatting>
  <conditionalFormatting sqref="O3568">
    <cfRule type="expression" dxfId="2448" priority="8417" stopIfTrue="1">
      <formula>OR($O$3568="F/S",$O$3568="")</formula>
    </cfRule>
    <cfRule type="cellIs" dxfId="2447" priority="8418" stopIfTrue="1" operator="notEqual">
      <formula>0</formula>
    </cfRule>
  </conditionalFormatting>
  <conditionalFormatting sqref="L3588">
    <cfRule type="expression" dxfId="2446" priority="8419" stopIfTrue="1">
      <formula>OR($L$3588="F/S",$L$3588="")</formula>
    </cfRule>
    <cfRule type="cellIs" dxfId="2445" priority="8420" stopIfTrue="1" operator="notEqual">
      <formula>0</formula>
    </cfRule>
  </conditionalFormatting>
  <conditionalFormatting sqref="O3588">
    <cfRule type="expression" dxfId="2444" priority="8421" stopIfTrue="1">
      <formula>OR($O$3588="F/S",$O$3588="")</formula>
    </cfRule>
    <cfRule type="cellIs" dxfId="2443" priority="8422" stopIfTrue="1" operator="notEqual">
      <formula>0</formula>
    </cfRule>
  </conditionalFormatting>
  <conditionalFormatting sqref="L3578">
    <cfRule type="expression" dxfId="2442" priority="8427" stopIfTrue="1">
      <formula>OR($L$3578="F/S",$L$3578="")</formula>
    </cfRule>
    <cfRule type="cellIs" dxfId="2441" priority="8428" stopIfTrue="1" operator="notEqual">
      <formula>0</formula>
    </cfRule>
  </conditionalFormatting>
  <conditionalFormatting sqref="O3578">
    <cfRule type="expression" dxfId="2440" priority="8429" stopIfTrue="1">
      <formula>OR($O$3578="F/S",$O$3578="")</formula>
    </cfRule>
    <cfRule type="cellIs" dxfId="2439" priority="8430" stopIfTrue="1" operator="notEqual">
      <formula>0</formula>
    </cfRule>
  </conditionalFormatting>
  <conditionalFormatting sqref="L3541">
    <cfRule type="expression" dxfId="2438" priority="8431" stopIfTrue="1">
      <formula>OR($L$3541="F/S",$L$3541="")</formula>
    </cfRule>
    <cfRule type="cellIs" dxfId="2437" priority="8432" stopIfTrue="1" operator="notEqual">
      <formula>0</formula>
    </cfRule>
  </conditionalFormatting>
  <conditionalFormatting sqref="O3541">
    <cfRule type="expression" dxfId="2436" priority="8433" stopIfTrue="1">
      <formula>OR($O$3541="F/S",$O$3541="")</formula>
    </cfRule>
    <cfRule type="cellIs" dxfId="2435" priority="8434" stopIfTrue="1" operator="notEqual">
      <formula>0</formula>
    </cfRule>
  </conditionalFormatting>
  <conditionalFormatting sqref="L3598">
    <cfRule type="expression" dxfId="2434" priority="8435" stopIfTrue="1">
      <formula>OR($L$3598="F/S",$L$3598="")</formula>
    </cfRule>
    <cfRule type="cellIs" dxfId="2433" priority="8436" stopIfTrue="1" operator="notEqual">
      <formula>0</formula>
    </cfRule>
  </conditionalFormatting>
  <conditionalFormatting sqref="O3598">
    <cfRule type="expression" dxfId="2432" priority="8437" stopIfTrue="1">
      <formula>OR($O$3598="F/S",$O$3598="")</formula>
    </cfRule>
    <cfRule type="cellIs" dxfId="2431" priority="8438" stopIfTrue="1" operator="notEqual">
      <formula>0</formula>
    </cfRule>
  </conditionalFormatting>
  <conditionalFormatting sqref="L3618">
    <cfRule type="expression" dxfId="2430" priority="8439" stopIfTrue="1">
      <formula>OR($L$3618="F/S",$L$3618="")</formula>
    </cfRule>
    <cfRule type="cellIs" dxfId="2429" priority="8440" stopIfTrue="1" operator="notEqual">
      <formula>0</formula>
    </cfRule>
  </conditionalFormatting>
  <conditionalFormatting sqref="O3618">
    <cfRule type="expression" dxfId="2428" priority="8441" stopIfTrue="1">
      <formula>OR($O$3618="F/S",$O$3618="")</formula>
    </cfRule>
    <cfRule type="cellIs" dxfId="2427" priority="8442" stopIfTrue="1" operator="notEqual">
      <formula>0</formula>
    </cfRule>
  </conditionalFormatting>
  <conditionalFormatting sqref="L3628">
    <cfRule type="expression" dxfId="2426" priority="8443" stopIfTrue="1">
      <formula>OR($L$3628="F/S",$L$3628="")</formula>
    </cfRule>
    <cfRule type="cellIs" dxfId="2425" priority="8444" stopIfTrue="1" operator="notEqual">
      <formula>0</formula>
    </cfRule>
  </conditionalFormatting>
  <conditionalFormatting sqref="O3628">
    <cfRule type="expression" dxfId="2424" priority="8445" stopIfTrue="1">
      <formula>OR($O$3628="F/S",$O$3628="")</formula>
    </cfRule>
    <cfRule type="cellIs" dxfId="2423" priority="8446" stopIfTrue="1" operator="notEqual">
      <formula>0</formula>
    </cfRule>
  </conditionalFormatting>
  <conditionalFormatting sqref="L3657">
    <cfRule type="expression" dxfId="2422" priority="8447" stopIfTrue="1">
      <formula>OR($L$3657="F/S",$L$3657="")</formula>
    </cfRule>
    <cfRule type="cellIs" dxfId="2421" priority="8448" stopIfTrue="1" operator="notEqual">
      <formula>0</formula>
    </cfRule>
  </conditionalFormatting>
  <conditionalFormatting sqref="O3657">
    <cfRule type="expression" dxfId="2420" priority="8449" stopIfTrue="1">
      <formula>OR($O$3657="F/S",$O$3657="")</formula>
    </cfRule>
    <cfRule type="cellIs" dxfId="2419" priority="8450" stopIfTrue="1" operator="notEqual">
      <formula>0</formula>
    </cfRule>
  </conditionalFormatting>
  <conditionalFormatting sqref="L3681">
    <cfRule type="expression" dxfId="2418" priority="8451" stopIfTrue="1">
      <formula>OR($L$3681="F/S",$L$3681="")</formula>
    </cfRule>
    <cfRule type="cellIs" dxfId="2417" priority="8452" stopIfTrue="1" operator="notEqual">
      <formula>0</formula>
    </cfRule>
  </conditionalFormatting>
  <conditionalFormatting sqref="O3681">
    <cfRule type="expression" dxfId="2416" priority="8453" stopIfTrue="1">
      <formula>OR($O$3681="F/S",$O$3681="")</formula>
    </cfRule>
    <cfRule type="cellIs" dxfId="2415" priority="8454" stopIfTrue="1" operator="notEqual">
      <formula>0</formula>
    </cfRule>
  </conditionalFormatting>
  <conditionalFormatting sqref="L3713">
    <cfRule type="expression" dxfId="2414" priority="8455" stopIfTrue="1">
      <formula>OR($L$3713="F/S",$L$3713="")</formula>
    </cfRule>
    <cfRule type="cellIs" dxfId="2413" priority="8456" stopIfTrue="1" operator="notEqual">
      <formula>0</formula>
    </cfRule>
  </conditionalFormatting>
  <conditionalFormatting sqref="O3713">
    <cfRule type="expression" dxfId="2412" priority="8457" stopIfTrue="1">
      <formula>OR($O$3713="F/S",$O$3713="")</formula>
    </cfRule>
    <cfRule type="cellIs" dxfId="2411" priority="8458" stopIfTrue="1" operator="notEqual">
      <formula>0</formula>
    </cfRule>
  </conditionalFormatting>
  <conditionalFormatting sqref="L3727">
    <cfRule type="expression" dxfId="2410" priority="8463" stopIfTrue="1">
      <formula>OR($L$3727="F/S",$L$3727="")</formula>
    </cfRule>
    <cfRule type="cellIs" dxfId="2409" priority="8464" stopIfTrue="1" operator="notEqual">
      <formula>0</formula>
    </cfRule>
  </conditionalFormatting>
  <conditionalFormatting sqref="O3727">
    <cfRule type="expression" dxfId="2408" priority="8465" stopIfTrue="1">
      <formula>OR($O$3727="F/S",$O$3727="")</formula>
    </cfRule>
    <cfRule type="cellIs" dxfId="2407" priority="8466" stopIfTrue="1" operator="notEqual">
      <formula>0</formula>
    </cfRule>
  </conditionalFormatting>
  <conditionalFormatting sqref="L3746">
    <cfRule type="expression" dxfId="2406" priority="8467" stopIfTrue="1">
      <formula>OR($L$3746="F/S",$L$3746="")</formula>
    </cfRule>
    <cfRule type="cellIs" dxfId="2405" priority="8468" stopIfTrue="1" operator="notEqual">
      <formula>0</formula>
    </cfRule>
  </conditionalFormatting>
  <conditionalFormatting sqref="O3746">
    <cfRule type="expression" dxfId="2404" priority="8469" stopIfTrue="1">
      <formula>OR($O$3746="F/S",$O$3746="")</formula>
    </cfRule>
    <cfRule type="cellIs" dxfId="2403" priority="8470" stopIfTrue="1" operator="notEqual">
      <formula>0</formula>
    </cfRule>
  </conditionalFormatting>
  <conditionalFormatting sqref="L3770">
    <cfRule type="expression" dxfId="2402" priority="8471" stopIfTrue="1">
      <formula>OR($L$3770="F/S",$L$3770="")</formula>
    </cfRule>
    <cfRule type="cellIs" dxfId="2401" priority="8472" stopIfTrue="1" operator="notEqual">
      <formula>0</formula>
    </cfRule>
  </conditionalFormatting>
  <conditionalFormatting sqref="O3770">
    <cfRule type="expression" dxfId="2400" priority="8473" stopIfTrue="1">
      <formula>OR($O$3770="F/S",$O$3770="")</formula>
    </cfRule>
    <cfRule type="cellIs" dxfId="2399" priority="8474" stopIfTrue="1" operator="notEqual">
      <formula>0</formula>
    </cfRule>
  </conditionalFormatting>
  <conditionalFormatting sqref="L3790">
    <cfRule type="expression" dxfId="2398" priority="8475" stopIfTrue="1">
      <formula>OR($L$3790="F/S",$L$3790="")</formula>
    </cfRule>
    <cfRule type="cellIs" dxfId="2397" priority="8476" stopIfTrue="1" operator="notEqual">
      <formula>0</formula>
    </cfRule>
  </conditionalFormatting>
  <conditionalFormatting sqref="O3790">
    <cfRule type="expression" dxfId="2396" priority="8477" stopIfTrue="1">
      <formula>OR($O$3790="F/S",$O$3790="")</formula>
    </cfRule>
    <cfRule type="cellIs" dxfId="2395" priority="8478" stopIfTrue="1" operator="notEqual">
      <formula>0</formula>
    </cfRule>
  </conditionalFormatting>
  <conditionalFormatting sqref="L3801">
    <cfRule type="expression" dxfId="2394" priority="8479" stopIfTrue="1">
      <formula>OR($L$3801="F/S",$L$3801="")</formula>
    </cfRule>
    <cfRule type="cellIs" dxfId="2393" priority="8480" stopIfTrue="1" operator="notEqual">
      <formula>0</formula>
    </cfRule>
  </conditionalFormatting>
  <conditionalFormatting sqref="O3801">
    <cfRule type="expression" dxfId="2392" priority="8481" stopIfTrue="1">
      <formula>OR($O$3801="F/S",$O$3801="")</formula>
    </cfRule>
    <cfRule type="cellIs" dxfId="2391" priority="8482" stopIfTrue="1" operator="notEqual">
      <formula>0</formula>
    </cfRule>
  </conditionalFormatting>
  <conditionalFormatting sqref="L3818">
    <cfRule type="expression" dxfId="2390" priority="8483" stopIfTrue="1">
      <formula>OR($L$3818="F/S",$L$3818="")</formula>
    </cfRule>
    <cfRule type="cellIs" dxfId="2389" priority="8484" stopIfTrue="1" operator="notEqual">
      <formula>0</formula>
    </cfRule>
  </conditionalFormatting>
  <conditionalFormatting sqref="O3818">
    <cfRule type="expression" dxfId="2388" priority="8485" stopIfTrue="1">
      <formula>OR($O$3818="F/S",$O$3818="")</formula>
    </cfRule>
    <cfRule type="cellIs" dxfId="2387" priority="8486" stopIfTrue="1" operator="notEqual">
      <formula>0</formula>
    </cfRule>
  </conditionalFormatting>
  <conditionalFormatting sqref="L3829">
    <cfRule type="expression" dxfId="2386" priority="8487" stopIfTrue="1">
      <formula>OR($L$3829="F/S",$L$3829="")</formula>
    </cfRule>
    <cfRule type="cellIs" dxfId="2385" priority="8488" stopIfTrue="1" operator="notEqual">
      <formula>0</formula>
    </cfRule>
  </conditionalFormatting>
  <conditionalFormatting sqref="O3829">
    <cfRule type="expression" dxfId="2384" priority="8489" stopIfTrue="1">
      <formula>OR($O$3829="F/S",$O$3829="")</formula>
    </cfRule>
    <cfRule type="cellIs" dxfId="2383" priority="8490" stopIfTrue="1" operator="notEqual">
      <formula>0</formula>
    </cfRule>
  </conditionalFormatting>
  <conditionalFormatting sqref="L3856">
    <cfRule type="expression" dxfId="2382" priority="8491" stopIfTrue="1">
      <formula>OR($L$3856="F/S",$L$3856="")</formula>
    </cfRule>
    <cfRule type="cellIs" dxfId="2381" priority="8492" stopIfTrue="1" operator="notEqual">
      <formula>0</formula>
    </cfRule>
  </conditionalFormatting>
  <conditionalFormatting sqref="O3856">
    <cfRule type="expression" dxfId="2380" priority="8493" stopIfTrue="1">
      <formula>OR($O$3856="F/S",$O$3856="")</formula>
    </cfRule>
    <cfRule type="cellIs" dxfId="2379" priority="8494" stopIfTrue="1" operator="notEqual">
      <formula>0</formula>
    </cfRule>
  </conditionalFormatting>
  <conditionalFormatting sqref="L3839">
    <cfRule type="expression" dxfId="2378" priority="8495" stopIfTrue="1">
      <formula>OR($L$3839="F/S",$L$3839="")</formula>
    </cfRule>
    <cfRule type="cellIs" dxfId="2377" priority="8496" stopIfTrue="1" operator="notEqual">
      <formula>0</formula>
    </cfRule>
  </conditionalFormatting>
  <conditionalFormatting sqref="O3839">
    <cfRule type="expression" dxfId="2376" priority="8497" stopIfTrue="1">
      <formula>OR($O$3839="F/S",$O$3839="")</formula>
    </cfRule>
    <cfRule type="cellIs" dxfId="2375" priority="8498" stopIfTrue="1" operator="notEqual">
      <formula>0</formula>
    </cfRule>
  </conditionalFormatting>
  <conditionalFormatting sqref="L3886">
    <cfRule type="expression" dxfId="2374" priority="8499" stopIfTrue="1">
      <formula>OR($L$3886="F/S",$L$3886="")</formula>
    </cfRule>
    <cfRule type="cellIs" dxfId="2373" priority="8500" stopIfTrue="1" operator="notEqual">
      <formula>0</formula>
    </cfRule>
  </conditionalFormatting>
  <conditionalFormatting sqref="O3886">
    <cfRule type="expression" dxfId="2372" priority="8501" stopIfTrue="1">
      <formula>OR($O$3886="F/S",$O$3886="")</formula>
    </cfRule>
    <cfRule type="cellIs" dxfId="2371" priority="8502" stopIfTrue="1" operator="notEqual">
      <formula>0</formula>
    </cfRule>
  </conditionalFormatting>
  <conditionalFormatting sqref="L3866">
    <cfRule type="expression" dxfId="2370" priority="8503" stopIfTrue="1">
      <formula>OR($L$3866="F/S",$L$3866="")</formula>
    </cfRule>
    <cfRule type="cellIs" dxfId="2369" priority="8504" stopIfTrue="1" operator="notEqual">
      <formula>0</formula>
    </cfRule>
  </conditionalFormatting>
  <conditionalFormatting sqref="O3866">
    <cfRule type="expression" dxfId="2368" priority="8505" stopIfTrue="1">
      <formula>OR($O$3866="F/S",$O$3866="")</formula>
    </cfRule>
    <cfRule type="cellIs" dxfId="2367" priority="8506" stopIfTrue="1" operator="notEqual">
      <formula>0</formula>
    </cfRule>
  </conditionalFormatting>
  <conditionalFormatting sqref="L3876">
    <cfRule type="expression" dxfId="2366" priority="8507" stopIfTrue="1">
      <formula>OR($L$3876="F/S",$L$3876="")</formula>
    </cfRule>
    <cfRule type="cellIs" dxfId="2365" priority="8508" stopIfTrue="1" operator="notEqual">
      <formula>0</formula>
    </cfRule>
  </conditionalFormatting>
  <conditionalFormatting sqref="O3876">
    <cfRule type="expression" dxfId="2364" priority="8509" stopIfTrue="1">
      <formula>OR($O$3876="F/S",$O$3876="")</formula>
    </cfRule>
    <cfRule type="cellIs" dxfId="2363" priority="8510" stopIfTrue="1" operator="notEqual">
      <formula>0</formula>
    </cfRule>
  </conditionalFormatting>
  <conditionalFormatting sqref="L3896">
    <cfRule type="expression" dxfId="2362" priority="8511" stopIfTrue="1">
      <formula>OR($L$3896="F/S",$L$3896="")</formula>
    </cfRule>
    <cfRule type="cellIs" dxfId="2361" priority="8512" stopIfTrue="1" operator="notEqual">
      <formula>0</formula>
    </cfRule>
  </conditionalFormatting>
  <conditionalFormatting sqref="O3896">
    <cfRule type="expression" dxfId="2360" priority="8513" stopIfTrue="1">
      <formula>OR($O$3896="F/S",$O$3896="")</formula>
    </cfRule>
    <cfRule type="cellIs" dxfId="2359" priority="8514" stopIfTrue="1" operator="notEqual">
      <formula>0</formula>
    </cfRule>
  </conditionalFormatting>
  <conditionalFormatting sqref="L3760">
    <cfRule type="expression" dxfId="2358" priority="8515" stopIfTrue="1">
      <formula>OR($L$3760="F/S",$L$3760="")</formula>
    </cfRule>
    <cfRule type="cellIs" dxfId="2357" priority="8516" stopIfTrue="1" operator="notEqual">
      <formula>0</formula>
    </cfRule>
  </conditionalFormatting>
  <conditionalFormatting sqref="O3760">
    <cfRule type="expression" dxfId="2356" priority="8517" stopIfTrue="1">
      <formula>OR($O$3760="F/S",$O$3760="")</formula>
    </cfRule>
    <cfRule type="cellIs" dxfId="2355" priority="8518" stopIfTrue="1" operator="notEqual">
      <formula>0</formula>
    </cfRule>
  </conditionalFormatting>
  <conditionalFormatting sqref="L3916">
    <cfRule type="expression" dxfId="2354" priority="8519" stopIfTrue="1">
      <formula>OR($L$3916="F/S",$L$3916="")</formula>
    </cfRule>
    <cfRule type="cellIs" dxfId="2353" priority="8520" stopIfTrue="1" operator="notEqual">
      <formula>0</formula>
    </cfRule>
  </conditionalFormatting>
  <conditionalFormatting sqref="O3916">
    <cfRule type="expression" dxfId="2352" priority="8521" stopIfTrue="1">
      <formula>OR($O$3916="F/S",$O$3916="")</formula>
    </cfRule>
    <cfRule type="cellIs" dxfId="2351" priority="8522" stopIfTrue="1" operator="notEqual">
      <formula>0</formula>
    </cfRule>
  </conditionalFormatting>
  <conditionalFormatting sqref="L3927">
    <cfRule type="expression" dxfId="2350" priority="8523" stopIfTrue="1">
      <formula>OR($L$3927="F/S",$L$3927="")</formula>
    </cfRule>
    <cfRule type="cellIs" dxfId="2349" priority="8524" stopIfTrue="1" operator="notEqual">
      <formula>0</formula>
    </cfRule>
  </conditionalFormatting>
  <conditionalFormatting sqref="O3927">
    <cfRule type="expression" dxfId="2348" priority="8525" stopIfTrue="1">
      <formula>OR($O$3927="F/S",$O$3927="")</formula>
    </cfRule>
    <cfRule type="cellIs" dxfId="2347" priority="8526" stopIfTrue="1" operator="notEqual">
      <formula>0</formula>
    </cfRule>
  </conditionalFormatting>
  <conditionalFormatting sqref="L3937">
    <cfRule type="expression" dxfId="2346" priority="8527" stopIfTrue="1">
      <formula>OR($L$3937="F/S",$L$3937="")</formula>
    </cfRule>
    <cfRule type="cellIs" dxfId="2345" priority="8528" stopIfTrue="1" operator="notEqual">
      <formula>0</formula>
    </cfRule>
  </conditionalFormatting>
  <conditionalFormatting sqref="O3937">
    <cfRule type="expression" dxfId="2344" priority="8529" stopIfTrue="1">
      <formula>OR($O$3937="F/S",$O$3937="")</formula>
    </cfRule>
    <cfRule type="cellIs" dxfId="2343" priority="8530" stopIfTrue="1" operator="notEqual">
      <formula>0</formula>
    </cfRule>
  </conditionalFormatting>
  <conditionalFormatting sqref="L3947">
    <cfRule type="expression" dxfId="2342" priority="8531" stopIfTrue="1">
      <formula>OR($L$3947="F/S",$L$3947="")</formula>
    </cfRule>
    <cfRule type="cellIs" dxfId="2341" priority="8532" stopIfTrue="1" operator="notEqual">
      <formula>0</formula>
    </cfRule>
  </conditionalFormatting>
  <conditionalFormatting sqref="O3947">
    <cfRule type="expression" dxfId="2340" priority="8533" stopIfTrue="1">
      <formula>OR($O$3947="F/S",$O$3947="")</formula>
    </cfRule>
    <cfRule type="cellIs" dxfId="2339" priority="8534" stopIfTrue="1" operator="notEqual">
      <formula>0</formula>
    </cfRule>
  </conditionalFormatting>
  <conditionalFormatting sqref="L3957">
    <cfRule type="expression" dxfId="2338" priority="8535" stopIfTrue="1">
      <formula>OR($L$3957="F/S",$L$3957="")</formula>
    </cfRule>
    <cfRule type="cellIs" dxfId="2337" priority="8536" stopIfTrue="1" operator="notEqual">
      <formula>0</formula>
    </cfRule>
  </conditionalFormatting>
  <conditionalFormatting sqref="O3957">
    <cfRule type="expression" dxfId="2336" priority="8537" stopIfTrue="1">
      <formula>OR($O$3957="F/S",$O$3957="")</formula>
    </cfRule>
    <cfRule type="cellIs" dxfId="2335" priority="8538" stopIfTrue="1" operator="notEqual">
      <formula>0</formula>
    </cfRule>
  </conditionalFormatting>
  <conditionalFormatting sqref="L3968">
    <cfRule type="expression" dxfId="2334" priority="8539" stopIfTrue="1">
      <formula>OR($L$3968="F/S",$L$3968="")</formula>
    </cfRule>
    <cfRule type="cellIs" dxfId="2333" priority="8540" stopIfTrue="1" operator="notEqual">
      <formula>0</formula>
    </cfRule>
  </conditionalFormatting>
  <conditionalFormatting sqref="O3968">
    <cfRule type="expression" dxfId="2332" priority="8541" stopIfTrue="1">
      <formula>OR($O$3968="F/S",$O$3968="")</formula>
    </cfRule>
    <cfRule type="cellIs" dxfId="2331" priority="8542" stopIfTrue="1" operator="notEqual">
      <formula>0</formula>
    </cfRule>
  </conditionalFormatting>
  <conditionalFormatting sqref="L3979">
    <cfRule type="expression" dxfId="2330" priority="8543" stopIfTrue="1">
      <formula>OR($L$3979="F/S",$L$3979="")</formula>
    </cfRule>
    <cfRule type="cellIs" dxfId="2329" priority="8544" stopIfTrue="1" operator="notEqual">
      <formula>0</formula>
    </cfRule>
  </conditionalFormatting>
  <conditionalFormatting sqref="O3979">
    <cfRule type="expression" dxfId="2328" priority="8545" stopIfTrue="1">
      <formula>OR($O$3979="F/S",$O$3979="")</formula>
    </cfRule>
    <cfRule type="cellIs" dxfId="2327" priority="8546" stopIfTrue="1" operator="notEqual">
      <formula>0</formula>
    </cfRule>
  </conditionalFormatting>
  <conditionalFormatting sqref="L3997">
    <cfRule type="expression" dxfId="2326" priority="8551" stopIfTrue="1">
      <formula>OR($L$3997="F/S",$L$3997="")</formula>
    </cfRule>
    <cfRule type="cellIs" dxfId="2325" priority="8552" stopIfTrue="1" operator="notEqual">
      <formula>0</formula>
    </cfRule>
  </conditionalFormatting>
  <conditionalFormatting sqref="O3997">
    <cfRule type="expression" dxfId="2324" priority="8553" stopIfTrue="1">
      <formula>OR($O$3997="F/S",$O$3997="")</formula>
    </cfRule>
    <cfRule type="cellIs" dxfId="2323" priority="8554" stopIfTrue="1" operator="notEqual">
      <formula>0</formula>
    </cfRule>
  </conditionalFormatting>
  <conditionalFormatting sqref="L4010">
    <cfRule type="expression" dxfId="2322" priority="8555" stopIfTrue="1">
      <formula>OR($L$4010="F/S",$L$4010="")</formula>
    </cfRule>
    <cfRule type="cellIs" dxfId="2321" priority="8556" stopIfTrue="1" operator="notEqual">
      <formula>0</formula>
    </cfRule>
  </conditionalFormatting>
  <conditionalFormatting sqref="O4010">
    <cfRule type="expression" dxfId="2320" priority="8557" stopIfTrue="1">
      <formula>OR($O$4010="F/S",$O$4010="")</formula>
    </cfRule>
    <cfRule type="cellIs" dxfId="2319" priority="8558" stopIfTrue="1" operator="notEqual">
      <formula>0</formula>
    </cfRule>
  </conditionalFormatting>
  <conditionalFormatting sqref="L4020">
    <cfRule type="expression" dxfId="2318" priority="8559" stopIfTrue="1">
      <formula>OR($L$4020="F/S",$L$4020="")</formula>
    </cfRule>
    <cfRule type="cellIs" dxfId="2317" priority="8560" stopIfTrue="1" operator="notEqual">
      <formula>0</formula>
    </cfRule>
  </conditionalFormatting>
  <conditionalFormatting sqref="O4020">
    <cfRule type="expression" dxfId="2316" priority="8561" stopIfTrue="1">
      <formula>OR($O$4020="F/S",$O$4020="")</formula>
    </cfRule>
    <cfRule type="cellIs" dxfId="2315" priority="8562" stopIfTrue="1" operator="notEqual">
      <formula>0</formula>
    </cfRule>
  </conditionalFormatting>
  <conditionalFormatting sqref="L4030">
    <cfRule type="expression" dxfId="2314" priority="8563" stopIfTrue="1">
      <formula>OR($L$4030="F/S",$L$4030="")</formula>
    </cfRule>
    <cfRule type="cellIs" dxfId="2313" priority="8564" stopIfTrue="1" operator="notEqual">
      <formula>0</formula>
    </cfRule>
  </conditionalFormatting>
  <conditionalFormatting sqref="O4030">
    <cfRule type="expression" dxfId="2312" priority="8565" stopIfTrue="1">
      <formula>OR($O$4030="F/S",$O$4030="")</formula>
    </cfRule>
    <cfRule type="cellIs" dxfId="2311" priority="8566" stopIfTrue="1" operator="notEqual">
      <formula>0</formula>
    </cfRule>
  </conditionalFormatting>
  <conditionalFormatting sqref="L4040">
    <cfRule type="expression" dxfId="2310" priority="8567" stopIfTrue="1">
      <formula>OR($L$4040="F/S",$L$4040="")</formula>
    </cfRule>
    <cfRule type="cellIs" dxfId="2309" priority="8568" stopIfTrue="1" operator="notEqual">
      <formula>0</formula>
    </cfRule>
  </conditionalFormatting>
  <conditionalFormatting sqref="O4040">
    <cfRule type="expression" dxfId="2308" priority="8569" stopIfTrue="1">
      <formula>OR($O$4040="F/S",$O$4040="")</formula>
    </cfRule>
    <cfRule type="cellIs" dxfId="2307" priority="8570" stopIfTrue="1" operator="notEqual">
      <formula>0</formula>
    </cfRule>
  </conditionalFormatting>
  <conditionalFormatting sqref="L4051">
    <cfRule type="expression" dxfId="2306" priority="8571" stopIfTrue="1">
      <formula>OR($L$4051="F/S",$L$4051="")</formula>
    </cfRule>
    <cfRule type="cellIs" dxfId="2305" priority="8572" stopIfTrue="1" operator="notEqual">
      <formula>0</formula>
    </cfRule>
  </conditionalFormatting>
  <conditionalFormatting sqref="O4051">
    <cfRule type="expression" dxfId="2304" priority="8573" stopIfTrue="1">
      <formula>OR($O$4051="F/S",$O$4051="")</formula>
    </cfRule>
    <cfRule type="cellIs" dxfId="2303" priority="8574" stopIfTrue="1" operator="notEqual">
      <formula>0</formula>
    </cfRule>
  </conditionalFormatting>
  <conditionalFormatting sqref="L4061">
    <cfRule type="expression" dxfId="2302" priority="8575" stopIfTrue="1">
      <formula>OR($L$4061="F/S",$L$4061="")</formula>
    </cfRule>
    <cfRule type="cellIs" dxfId="2301" priority="8576" stopIfTrue="1" operator="notEqual">
      <formula>0</formula>
    </cfRule>
  </conditionalFormatting>
  <conditionalFormatting sqref="O4061">
    <cfRule type="expression" dxfId="2300" priority="8577" stopIfTrue="1">
      <formula>OR($O$4061="F/S",$O$4061="")</formula>
    </cfRule>
    <cfRule type="cellIs" dxfId="2299" priority="8578" stopIfTrue="1" operator="notEqual">
      <formula>0</formula>
    </cfRule>
  </conditionalFormatting>
  <conditionalFormatting sqref="L4074">
    <cfRule type="expression" dxfId="2298" priority="8579" stopIfTrue="1">
      <formula>OR($L$4074="F/S",$L$4074="")</formula>
    </cfRule>
    <cfRule type="cellIs" dxfId="2297" priority="8580" stopIfTrue="1" operator="notEqual">
      <formula>0</formula>
    </cfRule>
  </conditionalFormatting>
  <conditionalFormatting sqref="O4074">
    <cfRule type="expression" dxfId="2296" priority="8581" stopIfTrue="1">
      <formula>OR($O$4074="F/S",$O$4074="")</formula>
    </cfRule>
    <cfRule type="cellIs" dxfId="2295" priority="8582" stopIfTrue="1" operator="notEqual">
      <formula>0</formula>
    </cfRule>
  </conditionalFormatting>
  <conditionalFormatting sqref="L4084">
    <cfRule type="expression" dxfId="2294" priority="8583" stopIfTrue="1">
      <formula>OR($L$4084="F/S",$L$4084="")</formula>
    </cfRule>
    <cfRule type="cellIs" dxfId="2293" priority="8584" stopIfTrue="1" operator="notEqual">
      <formula>0</formula>
    </cfRule>
  </conditionalFormatting>
  <conditionalFormatting sqref="O4084">
    <cfRule type="expression" dxfId="2292" priority="8585" stopIfTrue="1">
      <formula>OR($O$4084="F/S",$O$4084="")</formula>
    </cfRule>
    <cfRule type="cellIs" dxfId="2291" priority="8586" stopIfTrue="1" operator="notEqual">
      <formula>0</formula>
    </cfRule>
  </conditionalFormatting>
  <conditionalFormatting sqref="L4107">
    <cfRule type="expression" dxfId="2290" priority="8587" stopIfTrue="1">
      <formula>OR($L$4107="F/S",$L$4107="")</formula>
    </cfRule>
    <cfRule type="cellIs" dxfId="2289" priority="8588" stopIfTrue="1" operator="notEqual">
      <formula>0</formula>
    </cfRule>
  </conditionalFormatting>
  <conditionalFormatting sqref="O4107">
    <cfRule type="expression" dxfId="2288" priority="8589" stopIfTrue="1">
      <formula>OR($O$4107="F/S",$O$4107="")</formula>
    </cfRule>
    <cfRule type="cellIs" dxfId="2287" priority="8590" stopIfTrue="1" operator="notEqual">
      <formula>0</formula>
    </cfRule>
  </conditionalFormatting>
  <conditionalFormatting sqref="L4118">
    <cfRule type="expression" dxfId="2286" priority="8591" stopIfTrue="1">
      <formula>OR($L$4118="F/S",$L$4118="")</formula>
    </cfRule>
    <cfRule type="cellIs" dxfId="2285" priority="8592" stopIfTrue="1" operator="notEqual">
      <formula>0</formula>
    </cfRule>
  </conditionalFormatting>
  <conditionalFormatting sqref="O4118">
    <cfRule type="expression" dxfId="2284" priority="8593" stopIfTrue="1">
      <formula>OR($O$4118="F/S",$O$4118="")</formula>
    </cfRule>
    <cfRule type="cellIs" dxfId="2283" priority="8594" stopIfTrue="1" operator="notEqual">
      <formula>0</formula>
    </cfRule>
  </conditionalFormatting>
  <conditionalFormatting sqref="L4136">
    <cfRule type="expression" dxfId="2282" priority="8595" stopIfTrue="1">
      <formula>OR($L$4136="F/S",$L$4136="")</formula>
    </cfRule>
    <cfRule type="cellIs" dxfId="2281" priority="8596" stopIfTrue="1" operator="notEqual">
      <formula>0</formula>
    </cfRule>
  </conditionalFormatting>
  <conditionalFormatting sqref="O4136">
    <cfRule type="expression" dxfId="2280" priority="8597" stopIfTrue="1">
      <formula>OR($O$4136="F/S",$O$4136="")</formula>
    </cfRule>
    <cfRule type="cellIs" dxfId="2279" priority="8598" stopIfTrue="1" operator="notEqual">
      <formula>0</formula>
    </cfRule>
  </conditionalFormatting>
  <conditionalFormatting sqref="L4147">
    <cfRule type="expression" dxfId="2278" priority="8599" stopIfTrue="1">
      <formula>OR($L$4147="F/S",$L$4147="")</formula>
    </cfRule>
    <cfRule type="cellIs" dxfId="2277" priority="8600" stopIfTrue="1" operator="notEqual">
      <formula>0</formula>
    </cfRule>
  </conditionalFormatting>
  <conditionalFormatting sqref="O4147">
    <cfRule type="expression" dxfId="2276" priority="8601" stopIfTrue="1">
      <formula>OR($O$4147="F/S",$O$4147="")</formula>
    </cfRule>
    <cfRule type="cellIs" dxfId="2275" priority="8602" stopIfTrue="1" operator="notEqual">
      <formula>0</formula>
    </cfRule>
  </conditionalFormatting>
  <conditionalFormatting sqref="L4157">
    <cfRule type="expression" dxfId="2274" priority="8603" stopIfTrue="1">
      <formula>OR($L$4157="F/S",$L$4157="")</formula>
    </cfRule>
    <cfRule type="cellIs" dxfId="2273" priority="8604" stopIfTrue="1" operator="notEqual">
      <formula>0</formula>
    </cfRule>
  </conditionalFormatting>
  <conditionalFormatting sqref="O4157">
    <cfRule type="expression" dxfId="2272" priority="8605" stopIfTrue="1">
      <formula>OR($O$4157="F/S",$O$4157="")</formula>
    </cfRule>
    <cfRule type="cellIs" dxfId="2271" priority="8606" stopIfTrue="1" operator="notEqual">
      <formula>0</formula>
    </cfRule>
  </conditionalFormatting>
  <conditionalFormatting sqref="L4168">
    <cfRule type="expression" dxfId="2270" priority="8607" stopIfTrue="1">
      <formula>OR($L$4168="F/S",$L$4168="")</formula>
    </cfRule>
    <cfRule type="cellIs" dxfId="2269" priority="8608" stopIfTrue="1" operator="notEqual">
      <formula>0</formula>
    </cfRule>
  </conditionalFormatting>
  <conditionalFormatting sqref="O4168">
    <cfRule type="expression" dxfId="2268" priority="8609" stopIfTrue="1">
      <formula>OR($O$4168="F/S",$O$4168="")</formula>
    </cfRule>
    <cfRule type="cellIs" dxfId="2267" priority="8610" stopIfTrue="1" operator="notEqual">
      <formula>0</formula>
    </cfRule>
  </conditionalFormatting>
  <conditionalFormatting sqref="L4178">
    <cfRule type="expression" dxfId="2266" priority="8611" stopIfTrue="1">
      <formula>OR($L$4178="F/S",$L$4178="")</formula>
    </cfRule>
    <cfRule type="cellIs" dxfId="2265" priority="8612" stopIfTrue="1" operator="notEqual">
      <formula>0</formula>
    </cfRule>
  </conditionalFormatting>
  <conditionalFormatting sqref="O4178">
    <cfRule type="expression" dxfId="2264" priority="8613" stopIfTrue="1">
      <formula>OR($O$4178="F/S",$O$4178="")</formula>
    </cfRule>
    <cfRule type="cellIs" dxfId="2263" priority="8614" stopIfTrue="1" operator="notEqual">
      <formula>0</formula>
    </cfRule>
  </conditionalFormatting>
  <conditionalFormatting sqref="L4198">
    <cfRule type="expression" dxfId="2262" priority="8615" stopIfTrue="1">
      <formula>OR($L$4198="F/S",$L$4198="")</formula>
    </cfRule>
    <cfRule type="cellIs" dxfId="2261" priority="8616" stopIfTrue="1" operator="notEqual">
      <formula>0</formula>
    </cfRule>
  </conditionalFormatting>
  <conditionalFormatting sqref="O4198">
    <cfRule type="expression" dxfId="2260" priority="8617" stopIfTrue="1">
      <formula>OR($O$4198="F/S",$O$4198="")</formula>
    </cfRule>
    <cfRule type="cellIs" dxfId="2259" priority="8618" stopIfTrue="1" operator="notEqual">
      <formula>0</formula>
    </cfRule>
  </conditionalFormatting>
  <conditionalFormatting sqref="L4213">
    <cfRule type="expression" dxfId="2258" priority="8619" stopIfTrue="1">
      <formula>OR($L$4213="F/S",$L$4213="")</formula>
    </cfRule>
    <cfRule type="cellIs" dxfId="2257" priority="8620" stopIfTrue="1" operator="notEqual">
      <formula>0</formula>
    </cfRule>
  </conditionalFormatting>
  <conditionalFormatting sqref="O4213">
    <cfRule type="expression" dxfId="2256" priority="8621" stopIfTrue="1">
      <formula>OR($O$4213="F/S",$O$4213="")</formula>
    </cfRule>
    <cfRule type="cellIs" dxfId="2255" priority="8622" stopIfTrue="1" operator="notEqual">
      <formula>0</formula>
    </cfRule>
  </conditionalFormatting>
  <conditionalFormatting sqref="L4222">
    <cfRule type="expression" dxfId="2254" priority="8631" stopIfTrue="1">
      <formula>OR($L$4222="F/S",$L$4222="")</formula>
    </cfRule>
    <cfRule type="cellIs" dxfId="2253" priority="8632" stopIfTrue="1" operator="notEqual">
      <formula>0</formula>
    </cfRule>
  </conditionalFormatting>
  <conditionalFormatting sqref="O4222">
    <cfRule type="expression" dxfId="2252" priority="8633" stopIfTrue="1">
      <formula>OR($O$4222="F/S",$O$4222="")</formula>
    </cfRule>
    <cfRule type="cellIs" dxfId="2251" priority="8634" stopIfTrue="1" operator="notEqual">
      <formula>0</formula>
    </cfRule>
  </conditionalFormatting>
  <conditionalFormatting sqref="L4233">
    <cfRule type="expression" dxfId="2250" priority="8635" stopIfTrue="1">
      <formula>OR($L$4233="F/S",$L$4233="")</formula>
    </cfRule>
    <cfRule type="cellIs" dxfId="2249" priority="8636" stopIfTrue="1" operator="notEqual">
      <formula>0</formula>
    </cfRule>
  </conditionalFormatting>
  <conditionalFormatting sqref="O4233">
    <cfRule type="expression" dxfId="2248" priority="8637" stopIfTrue="1">
      <formula>OR($O$4233="F/S",$O$4233="")</formula>
    </cfRule>
    <cfRule type="cellIs" dxfId="2247" priority="8638" stopIfTrue="1" operator="notEqual">
      <formula>0</formula>
    </cfRule>
  </conditionalFormatting>
  <conditionalFormatting sqref="L4247">
    <cfRule type="expression" dxfId="2246" priority="8639" stopIfTrue="1">
      <formula>OR($L$4247="F/S",$L$4247="")</formula>
    </cfRule>
    <cfRule type="cellIs" dxfId="2245" priority="8640" stopIfTrue="1" operator="notEqual">
      <formula>0</formula>
    </cfRule>
  </conditionalFormatting>
  <conditionalFormatting sqref="O4247">
    <cfRule type="expression" dxfId="2244" priority="8641" stopIfTrue="1">
      <formula>OR($O$4247="F/S",$O$4247="")</formula>
    </cfRule>
    <cfRule type="cellIs" dxfId="2243" priority="8642" stopIfTrue="1" operator="notEqual">
      <formula>0</formula>
    </cfRule>
  </conditionalFormatting>
  <conditionalFormatting sqref="L4261">
    <cfRule type="expression" dxfId="2242" priority="8643" stopIfTrue="1">
      <formula>OR($L$4261="F/S",$L$4261="")</formula>
    </cfRule>
    <cfRule type="cellIs" dxfId="2241" priority="8644" stopIfTrue="1" operator="notEqual">
      <formula>0</formula>
    </cfRule>
  </conditionalFormatting>
  <conditionalFormatting sqref="O4261">
    <cfRule type="expression" dxfId="2240" priority="8645" stopIfTrue="1">
      <formula>OR($O$4261="F/S",$O$4261="")</formula>
    </cfRule>
    <cfRule type="cellIs" dxfId="2239" priority="8646" stopIfTrue="1" operator="notEqual">
      <formula>0</formula>
    </cfRule>
  </conditionalFormatting>
  <conditionalFormatting sqref="L4269">
    <cfRule type="expression" dxfId="2238" priority="8647" stopIfTrue="1">
      <formula>OR($L$4269="F/S",$L$4269="")</formula>
    </cfRule>
    <cfRule type="cellIs" dxfId="2237" priority="8648" stopIfTrue="1" operator="notEqual">
      <formula>0</formula>
    </cfRule>
  </conditionalFormatting>
  <conditionalFormatting sqref="O4269">
    <cfRule type="expression" dxfId="2236" priority="8649" stopIfTrue="1">
      <formula>OR($O$4269="F/S",$O$4269="")</formula>
    </cfRule>
    <cfRule type="cellIs" dxfId="2235" priority="8650" stopIfTrue="1" operator="notEqual">
      <formula>0</formula>
    </cfRule>
  </conditionalFormatting>
  <conditionalFormatting sqref="L4287 L4297">
    <cfRule type="expression" dxfId="2234" priority="8651" stopIfTrue="1">
      <formula>OR($L$4287="F/S",$L$4287="")</formula>
    </cfRule>
    <cfRule type="cellIs" dxfId="2233" priority="8652" stopIfTrue="1" operator="notEqual">
      <formula>0</formula>
    </cfRule>
  </conditionalFormatting>
  <conditionalFormatting sqref="O4287 O4297">
    <cfRule type="expression" dxfId="2232" priority="8653" stopIfTrue="1">
      <formula>OR($O$4287="F/S",$O$4287="")</formula>
    </cfRule>
    <cfRule type="cellIs" dxfId="2231" priority="8654" stopIfTrue="1" operator="notEqual">
      <formula>0</formula>
    </cfRule>
  </conditionalFormatting>
  <conditionalFormatting sqref="L4297">
    <cfRule type="expression" dxfId="2230" priority="8655" stopIfTrue="1">
      <formula>OR($L$4297="F/S",$L$4297="")</formula>
    </cfRule>
    <cfRule type="cellIs" dxfId="2229" priority="8656" stopIfTrue="1" operator="notEqual">
      <formula>0</formula>
    </cfRule>
  </conditionalFormatting>
  <conditionalFormatting sqref="O4297">
    <cfRule type="expression" dxfId="2228" priority="8657" stopIfTrue="1">
      <formula>OR($O$4297="F/S",$O$4297="")</formula>
    </cfRule>
    <cfRule type="cellIs" dxfId="2227" priority="8658" stopIfTrue="1" operator="notEqual">
      <formula>0</formula>
    </cfRule>
  </conditionalFormatting>
  <conditionalFormatting sqref="L4308">
    <cfRule type="expression" dxfId="2226" priority="8659" stopIfTrue="1">
      <formula>OR($L$4308="F/S",$L$4308="")</formula>
    </cfRule>
    <cfRule type="cellIs" dxfId="2225" priority="8660" stopIfTrue="1" operator="notEqual">
      <formula>0</formula>
    </cfRule>
  </conditionalFormatting>
  <conditionalFormatting sqref="O4308">
    <cfRule type="expression" dxfId="2224" priority="8661" stopIfTrue="1">
      <formula>OR($O$4308="F/S",$O$4308="")</formula>
    </cfRule>
    <cfRule type="cellIs" dxfId="2223" priority="8662" stopIfTrue="1" operator="notEqual">
      <formula>0</formula>
    </cfRule>
  </conditionalFormatting>
  <conditionalFormatting sqref="L4317">
    <cfRule type="expression" dxfId="2222" priority="8663" stopIfTrue="1">
      <formula>OR($L$4317="F/S",$L$4317="")</formula>
    </cfRule>
    <cfRule type="cellIs" dxfId="2221" priority="8664" stopIfTrue="1" operator="notEqual">
      <formula>0</formula>
    </cfRule>
  </conditionalFormatting>
  <conditionalFormatting sqref="O4317">
    <cfRule type="expression" dxfId="2220" priority="8665" stopIfTrue="1">
      <formula>OR($O$4317="F/S",$O$4317="")</formula>
    </cfRule>
    <cfRule type="cellIs" dxfId="2219" priority="8666" stopIfTrue="1" operator="notEqual">
      <formula>0</formula>
    </cfRule>
  </conditionalFormatting>
  <conditionalFormatting sqref="L4351">
    <cfRule type="expression" dxfId="2218" priority="8667" stopIfTrue="1">
      <formula>OR($L$4351="F/S",$L$4351="")</formula>
    </cfRule>
    <cfRule type="cellIs" dxfId="2217" priority="8668" stopIfTrue="1" operator="notEqual">
      <formula>0</formula>
    </cfRule>
  </conditionalFormatting>
  <conditionalFormatting sqref="O4351">
    <cfRule type="expression" dxfId="2216" priority="8669" stopIfTrue="1">
      <formula>OR($O$4351="F/S",$O$4351="")</formula>
    </cfRule>
    <cfRule type="cellIs" dxfId="2215" priority="8670" stopIfTrue="1" operator="notEqual">
      <formula>0</formula>
    </cfRule>
  </conditionalFormatting>
  <conditionalFormatting sqref="L4330">
    <cfRule type="expression" dxfId="2214" priority="8671" stopIfTrue="1">
      <formula>OR($L$4330="F/S",$L$4330="")</formula>
    </cfRule>
    <cfRule type="cellIs" dxfId="2213" priority="8672" stopIfTrue="1" operator="notEqual">
      <formula>0</formula>
    </cfRule>
  </conditionalFormatting>
  <conditionalFormatting sqref="O4330">
    <cfRule type="expression" dxfId="2212" priority="8673" stopIfTrue="1">
      <formula>OR($O$4330="F/S",$O$4330="")</formula>
    </cfRule>
    <cfRule type="cellIs" dxfId="2211" priority="8674" stopIfTrue="1" operator="notEqual">
      <formula>0</formula>
    </cfRule>
  </conditionalFormatting>
  <conditionalFormatting sqref="L4340">
    <cfRule type="expression" dxfId="2210" priority="8675" stopIfTrue="1">
      <formula>OR($L$4340="F/S",$L$4340="")</formula>
    </cfRule>
    <cfRule type="cellIs" dxfId="2209" priority="8676" stopIfTrue="1" operator="notEqual">
      <formula>0</formula>
    </cfRule>
  </conditionalFormatting>
  <conditionalFormatting sqref="O4340">
    <cfRule type="expression" dxfId="2208" priority="8677" stopIfTrue="1">
      <formula>OR($O$4340="F/S",$O$4340="")</formula>
    </cfRule>
    <cfRule type="cellIs" dxfId="2207" priority="8678" stopIfTrue="1" operator="notEqual">
      <formula>0</formula>
    </cfRule>
  </conditionalFormatting>
  <conditionalFormatting sqref="L4424">
    <cfRule type="expression" dxfId="2206" priority="8683" stopIfTrue="1">
      <formula>OR($L$4424="F/S",$L$4424="")</formula>
    </cfRule>
    <cfRule type="cellIs" dxfId="2205" priority="8684" stopIfTrue="1" operator="notEqual">
      <formula>0</formula>
    </cfRule>
  </conditionalFormatting>
  <conditionalFormatting sqref="O4424">
    <cfRule type="expression" dxfId="2204" priority="8685" stopIfTrue="1">
      <formula>OR($O$4424="F/S",$O$4424="")</formula>
    </cfRule>
    <cfRule type="cellIs" dxfId="2203" priority="8686" stopIfTrue="1" operator="notEqual">
      <formula>0</formula>
    </cfRule>
  </conditionalFormatting>
  <conditionalFormatting sqref="L4437">
    <cfRule type="expression" dxfId="2202" priority="8687" stopIfTrue="1">
      <formula>OR($L$4437="F/S",$L$4437="")</formula>
    </cfRule>
    <cfRule type="cellIs" dxfId="2201" priority="8688" stopIfTrue="1" operator="notEqual">
      <formula>0</formula>
    </cfRule>
  </conditionalFormatting>
  <conditionalFormatting sqref="O4437">
    <cfRule type="expression" dxfId="2200" priority="8689" stopIfTrue="1">
      <formula>OR($O$4437="F/S",$O$4437="")</formula>
    </cfRule>
    <cfRule type="cellIs" dxfId="2199" priority="8690" stopIfTrue="1" operator="notEqual">
      <formula>0</formula>
    </cfRule>
  </conditionalFormatting>
  <conditionalFormatting sqref="L4449">
    <cfRule type="expression" dxfId="2198" priority="8691" stopIfTrue="1">
      <formula>OR($L$4449="F/S",$L$4449="")</formula>
    </cfRule>
    <cfRule type="cellIs" dxfId="2197" priority="8692" stopIfTrue="1" operator="notEqual">
      <formula>0</formula>
    </cfRule>
  </conditionalFormatting>
  <conditionalFormatting sqref="O4449">
    <cfRule type="expression" dxfId="2196" priority="8693" stopIfTrue="1">
      <formula>OR($O$4449="F/S",$O$4449="")</formula>
    </cfRule>
    <cfRule type="cellIs" dxfId="2195" priority="8694" stopIfTrue="1" operator="notEqual">
      <formula>0</formula>
    </cfRule>
  </conditionalFormatting>
  <conditionalFormatting sqref="L4457">
    <cfRule type="expression" dxfId="2194" priority="8695" stopIfTrue="1">
      <formula>OR($L$4457="F/S",$L$4457="")</formula>
    </cfRule>
    <cfRule type="cellIs" dxfId="2193" priority="8696" stopIfTrue="1" operator="notEqual">
      <formula>0</formula>
    </cfRule>
  </conditionalFormatting>
  <conditionalFormatting sqref="O4457">
    <cfRule type="expression" dxfId="2192" priority="8697" stopIfTrue="1">
      <formula>OR($O$4457="F/S",$O$4457="")</formula>
    </cfRule>
    <cfRule type="cellIs" dxfId="2191" priority="8698" stopIfTrue="1" operator="notEqual">
      <formula>0</formula>
    </cfRule>
  </conditionalFormatting>
  <conditionalFormatting sqref="L4474">
    <cfRule type="expression" dxfId="2190" priority="8699" stopIfTrue="1">
      <formula>OR($L$4474="F/S",$L$4474="")</formula>
    </cfRule>
    <cfRule type="cellIs" dxfId="2189" priority="8700" stopIfTrue="1" operator="notEqual">
      <formula>0</formula>
    </cfRule>
  </conditionalFormatting>
  <conditionalFormatting sqref="O4474">
    <cfRule type="expression" dxfId="2188" priority="8701" stopIfTrue="1">
      <formula>OR($O$4474="F/S",$O$4474="")</formula>
    </cfRule>
    <cfRule type="cellIs" dxfId="2187" priority="8702" stopIfTrue="1" operator="notEqual">
      <formula>0</formula>
    </cfRule>
  </conditionalFormatting>
  <conditionalFormatting sqref="L4360">
    <cfRule type="expression" dxfId="2186" priority="8703" stopIfTrue="1">
      <formula>OR($L$4360="F/S",$L$4360="")</formula>
    </cfRule>
    <cfRule type="cellIs" dxfId="2185" priority="8704" stopIfTrue="1" operator="notEqual">
      <formula>0</formula>
    </cfRule>
  </conditionalFormatting>
  <conditionalFormatting sqref="O4360">
    <cfRule type="expression" dxfId="2184" priority="8705" stopIfTrue="1">
      <formula>OR($O$4360="F/S",$O$4360="")</formula>
    </cfRule>
    <cfRule type="cellIs" dxfId="2183" priority="8706" stopIfTrue="1" operator="notEqual">
      <formula>0</formula>
    </cfRule>
  </conditionalFormatting>
  <conditionalFormatting sqref="L4367">
    <cfRule type="expression" dxfId="2182" priority="8707" stopIfTrue="1">
      <formula>OR($L$4367="F/S",$L$4367="")</formula>
    </cfRule>
    <cfRule type="cellIs" dxfId="2181" priority="8708" stopIfTrue="1" operator="notEqual">
      <formula>0</formula>
    </cfRule>
  </conditionalFormatting>
  <conditionalFormatting sqref="O4367">
    <cfRule type="expression" dxfId="2180" priority="8709" stopIfTrue="1">
      <formula>OR($O$4367="F/S",$O$4367="")</formula>
    </cfRule>
    <cfRule type="cellIs" dxfId="2179" priority="8710" stopIfTrue="1" operator="notEqual">
      <formula>0</formula>
    </cfRule>
  </conditionalFormatting>
  <conditionalFormatting sqref="L4392">
    <cfRule type="expression" dxfId="2178" priority="8711" stopIfTrue="1">
      <formula>OR($L$4392="F/S",$L$4392="")</formula>
    </cfRule>
    <cfRule type="cellIs" dxfId="2177" priority="8712" stopIfTrue="1" operator="notEqual">
      <formula>0</formula>
    </cfRule>
  </conditionalFormatting>
  <conditionalFormatting sqref="O4392">
    <cfRule type="expression" dxfId="2176" priority="8713" stopIfTrue="1">
      <formula>OR($O$4392="F/S",$O$4392="")</formula>
    </cfRule>
    <cfRule type="cellIs" dxfId="2175" priority="8714" stopIfTrue="1" operator="notEqual">
      <formula>0</formula>
    </cfRule>
  </conditionalFormatting>
  <conditionalFormatting sqref="L4413">
    <cfRule type="expression" dxfId="2174" priority="8715" stopIfTrue="1">
      <formula>OR($L$4413="F/S",$L$4413="")</formula>
    </cfRule>
    <cfRule type="cellIs" dxfId="2173" priority="8716" stopIfTrue="1" operator="notEqual">
      <formula>0</formula>
    </cfRule>
  </conditionalFormatting>
  <conditionalFormatting sqref="O4413">
    <cfRule type="expression" dxfId="2172" priority="8717" stopIfTrue="1">
      <formula>OR($O$4413="F/S",$O$4413="")</formula>
    </cfRule>
    <cfRule type="cellIs" dxfId="2171" priority="8718" stopIfTrue="1" operator="notEqual">
      <formula>0</formula>
    </cfRule>
  </conditionalFormatting>
  <conditionalFormatting sqref="L4612">
    <cfRule type="expression" dxfId="2170" priority="8719" stopIfTrue="1">
      <formula>OR($L$4612="F/S",$L$4612="")</formula>
    </cfRule>
    <cfRule type="cellIs" dxfId="2169" priority="8720" stopIfTrue="1" operator="notEqual">
      <formula>0</formula>
    </cfRule>
  </conditionalFormatting>
  <conditionalFormatting sqref="O4612">
    <cfRule type="expression" dxfId="2168" priority="8721" stopIfTrue="1">
      <formula>OR($O$4612="F/S",$O$4612="")</formula>
    </cfRule>
    <cfRule type="cellIs" dxfId="2167" priority="8722" stopIfTrue="1" operator="notEqual">
      <formula>0</formula>
    </cfRule>
  </conditionalFormatting>
  <conditionalFormatting sqref="L4488">
    <cfRule type="expression" dxfId="2166" priority="8723" stopIfTrue="1">
      <formula>OR($L$4488="F/S",$L$4488="")</formula>
    </cfRule>
    <cfRule type="cellIs" dxfId="2165" priority="8724" stopIfTrue="1" operator="notEqual">
      <formula>0</formula>
    </cfRule>
  </conditionalFormatting>
  <conditionalFormatting sqref="O4488">
    <cfRule type="expression" dxfId="2164" priority="8725" stopIfTrue="1">
      <formula>OR($O$4488="F/S",$O$4488="")</formula>
    </cfRule>
    <cfRule type="cellIs" dxfId="2163" priority="8726" stopIfTrue="1" operator="notEqual">
      <formula>0</formula>
    </cfRule>
  </conditionalFormatting>
  <conditionalFormatting sqref="L4498">
    <cfRule type="expression" dxfId="2162" priority="8727" stopIfTrue="1">
      <formula>OR($L$4498="F/S",$L$4498="")</formula>
    </cfRule>
    <cfRule type="cellIs" dxfId="2161" priority="8728" stopIfTrue="1" operator="notEqual">
      <formula>0</formula>
    </cfRule>
  </conditionalFormatting>
  <conditionalFormatting sqref="O4498">
    <cfRule type="expression" dxfId="2160" priority="8729" stopIfTrue="1">
      <formula>OR($O$4498="F/S",$O$4498="")</formula>
    </cfRule>
    <cfRule type="cellIs" dxfId="2159" priority="8730" stopIfTrue="1" operator="notEqual">
      <formula>0</formula>
    </cfRule>
  </conditionalFormatting>
  <conditionalFormatting sqref="L4507">
    <cfRule type="expression" dxfId="2158" priority="8731" stopIfTrue="1">
      <formula>OR($L$4507="F/S",$L$4507="")</formula>
    </cfRule>
    <cfRule type="cellIs" dxfId="2157" priority="8732" stopIfTrue="1" operator="notEqual">
      <formula>0</formula>
    </cfRule>
  </conditionalFormatting>
  <conditionalFormatting sqref="O4507">
    <cfRule type="expression" dxfId="2156" priority="8733" stopIfTrue="1">
      <formula>OR($O$4507="F/S",$O$4507="")</formula>
    </cfRule>
    <cfRule type="cellIs" dxfId="2155" priority="8734" stopIfTrue="1" operator="notEqual">
      <formula>0</formula>
    </cfRule>
  </conditionalFormatting>
  <conditionalFormatting sqref="L4516">
    <cfRule type="expression" dxfId="2154" priority="8735" stopIfTrue="1">
      <formula>OR($L$4516="F/S",$L$4516="")</formula>
    </cfRule>
    <cfRule type="cellIs" dxfId="2153" priority="8736" stopIfTrue="1" operator="notEqual">
      <formula>0</formula>
    </cfRule>
  </conditionalFormatting>
  <conditionalFormatting sqref="O4516">
    <cfRule type="expression" dxfId="2152" priority="8737" stopIfTrue="1">
      <formula>OR($O$4516="F/S",$O$4516="")</formula>
    </cfRule>
    <cfRule type="cellIs" dxfId="2151" priority="8738" stopIfTrue="1" operator="notEqual">
      <formula>0</formula>
    </cfRule>
  </conditionalFormatting>
  <conditionalFormatting sqref="L4540">
    <cfRule type="expression" dxfId="2150" priority="8739" stopIfTrue="1">
      <formula>OR($L$4540="F/S",$L$4540="")</formula>
    </cfRule>
    <cfRule type="cellIs" dxfId="2149" priority="8740" stopIfTrue="1" operator="notEqual">
      <formula>0</formula>
    </cfRule>
  </conditionalFormatting>
  <conditionalFormatting sqref="O4540">
    <cfRule type="expression" dxfId="2148" priority="8741" stopIfTrue="1">
      <formula>OR($O$4540="F/S",$O$4540="")</formula>
    </cfRule>
    <cfRule type="cellIs" dxfId="2147" priority="8742" stopIfTrue="1" operator="notEqual">
      <formula>0</formula>
    </cfRule>
  </conditionalFormatting>
  <conditionalFormatting sqref="L4563">
    <cfRule type="expression" dxfId="2146" priority="8743" stopIfTrue="1">
      <formula>OR($L$4563="F/S",$L$4563="")</formula>
    </cfRule>
    <cfRule type="cellIs" dxfId="2145" priority="8744" stopIfTrue="1" operator="notEqual">
      <formula>0</formula>
    </cfRule>
  </conditionalFormatting>
  <conditionalFormatting sqref="O4563">
    <cfRule type="expression" dxfId="2144" priority="8745" stopIfTrue="1">
      <formula>OR($O$4563="F/S",$O$4563="")</formula>
    </cfRule>
    <cfRule type="cellIs" dxfId="2143" priority="8746" stopIfTrue="1" operator="notEqual">
      <formula>0</formula>
    </cfRule>
  </conditionalFormatting>
  <conditionalFormatting sqref="L4582">
    <cfRule type="expression" dxfId="2142" priority="8747" stopIfTrue="1">
      <formula>OR($L$4582="F/S",$L$4582="")</formula>
    </cfRule>
    <cfRule type="cellIs" dxfId="2141" priority="8748" stopIfTrue="1" operator="notEqual">
      <formula>0</formula>
    </cfRule>
  </conditionalFormatting>
  <conditionalFormatting sqref="O4582">
    <cfRule type="expression" dxfId="2140" priority="8749" stopIfTrue="1">
      <formula>OR($O$4582="F/S",$O$4582="")</formula>
    </cfRule>
    <cfRule type="cellIs" dxfId="2139" priority="8750" stopIfTrue="1" operator="notEqual">
      <formula>0</formula>
    </cfRule>
  </conditionalFormatting>
  <conditionalFormatting sqref="L4597">
    <cfRule type="expression" dxfId="2138" priority="8751" stopIfTrue="1">
      <formula>OR($L$4597="F/S",$L$4597="")</formula>
    </cfRule>
    <cfRule type="cellIs" dxfId="2137" priority="8752" stopIfTrue="1" operator="notEqual">
      <formula>0</formula>
    </cfRule>
  </conditionalFormatting>
  <conditionalFormatting sqref="O4597">
    <cfRule type="expression" dxfId="2136" priority="8753" stopIfTrue="1">
      <formula>OR($O$4597="F/S",$O$4597="")</formula>
    </cfRule>
    <cfRule type="cellIs" dxfId="2135" priority="8754" stopIfTrue="1" operator="notEqual">
      <formula>0</formula>
    </cfRule>
  </conditionalFormatting>
  <conditionalFormatting sqref="L4849">
    <cfRule type="expression" dxfId="2134" priority="8755" stopIfTrue="1">
      <formula>OR($L$4849="F/S",$L$4849="")</formula>
    </cfRule>
    <cfRule type="cellIs" dxfId="2133" priority="8756" stopIfTrue="1" operator="notEqual">
      <formula>0</formula>
    </cfRule>
  </conditionalFormatting>
  <conditionalFormatting sqref="O4849">
    <cfRule type="expression" dxfId="2132" priority="8757" stopIfTrue="1">
      <formula>OR($O$4849="F/S",$O$4849="")</formula>
    </cfRule>
    <cfRule type="cellIs" dxfId="2131" priority="8758" stopIfTrue="1" operator="notEqual">
      <formula>0</formula>
    </cfRule>
  </conditionalFormatting>
  <conditionalFormatting sqref="L4822">
    <cfRule type="expression" dxfId="2130" priority="8759" stopIfTrue="1">
      <formula>OR($L$4822="F/S",$L$4822="")</formula>
    </cfRule>
    <cfRule type="cellIs" dxfId="2129" priority="8760" stopIfTrue="1" operator="notEqual">
      <formula>0</formula>
    </cfRule>
  </conditionalFormatting>
  <conditionalFormatting sqref="O4822">
    <cfRule type="expression" dxfId="2128" priority="8761" stopIfTrue="1">
      <formula>OR($O$4822="F/S",$O$4822="")</formula>
    </cfRule>
    <cfRule type="cellIs" dxfId="2127" priority="8762" stopIfTrue="1" operator="notEqual">
      <formula>0</formula>
    </cfRule>
  </conditionalFormatting>
  <conditionalFormatting sqref="L4799">
    <cfRule type="expression" dxfId="2126" priority="8763" stopIfTrue="1">
      <formula>OR($L$4799="F/S",$L$4799="")</formula>
    </cfRule>
    <cfRule type="cellIs" dxfId="2125" priority="8764" stopIfTrue="1" operator="notEqual">
      <formula>0</formula>
    </cfRule>
  </conditionalFormatting>
  <conditionalFormatting sqref="O4799">
    <cfRule type="expression" dxfId="2124" priority="8765" stopIfTrue="1">
      <formula>OR($O$4799="F/S",$O$4799="")</formula>
    </cfRule>
    <cfRule type="cellIs" dxfId="2123" priority="8766" stopIfTrue="1" operator="notEqual">
      <formula>0</formula>
    </cfRule>
  </conditionalFormatting>
  <conditionalFormatting sqref="L4899">
    <cfRule type="expression" dxfId="2122" priority="8767" stopIfTrue="1">
      <formula>OR($L$4899="F/S",$L$4899="")</formula>
    </cfRule>
    <cfRule type="cellIs" dxfId="2121" priority="8768" stopIfTrue="1" operator="notEqual">
      <formula>0</formula>
    </cfRule>
  </conditionalFormatting>
  <conditionalFormatting sqref="O4899">
    <cfRule type="expression" dxfId="2120" priority="8769" stopIfTrue="1">
      <formula>OR($O$4899="F/S",$O$4899="")</formula>
    </cfRule>
    <cfRule type="cellIs" dxfId="2119" priority="8770" stopIfTrue="1" operator="notEqual">
      <formula>0</formula>
    </cfRule>
  </conditionalFormatting>
  <conditionalFormatting sqref="L4776">
    <cfRule type="expression" dxfId="2118" priority="8771" stopIfTrue="1">
      <formula>OR($L$4776="F/S",$L$4776="")</formula>
    </cfRule>
    <cfRule type="cellIs" dxfId="2117" priority="8772" stopIfTrue="1" operator="notEqual">
      <formula>0</formula>
    </cfRule>
  </conditionalFormatting>
  <conditionalFormatting sqref="O4776">
    <cfRule type="expression" dxfId="2116" priority="8773" stopIfTrue="1">
      <formula>OR($O$4776="F/S",$O$4776="")</formula>
    </cfRule>
    <cfRule type="cellIs" dxfId="2115" priority="8774" stopIfTrue="1" operator="notEqual">
      <formula>0</formula>
    </cfRule>
  </conditionalFormatting>
  <conditionalFormatting sqref="L4622">
    <cfRule type="expression" dxfId="2114" priority="8775" stopIfTrue="1">
      <formula>OR($L$4622="F/S",$L$4622="")</formula>
    </cfRule>
    <cfRule type="cellIs" dxfId="2113" priority="8776" stopIfTrue="1" operator="notEqual">
      <formula>0</formula>
    </cfRule>
  </conditionalFormatting>
  <conditionalFormatting sqref="O4622">
    <cfRule type="expression" dxfId="2112" priority="8777" stopIfTrue="1">
      <formula>OR($O$4622="F/S",$O$4622="")</formula>
    </cfRule>
    <cfRule type="cellIs" dxfId="2111" priority="8778" stopIfTrue="1" operator="notEqual">
      <formula>0</formula>
    </cfRule>
  </conditionalFormatting>
  <conditionalFormatting sqref="L4633">
    <cfRule type="expression" dxfId="2110" priority="8779" stopIfTrue="1">
      <formula>OR($L$4633="F/S",$L$4633="")</formula>
    </cfRule>
    <cfRule type="cellIs" dxfId="2109" priority="8780" stopIfTrue="1" operator="notEqual">
      <formula>0</formula>
    </cfRule>
  </conditionalFormatting>
  <conditionalFormatting sqref="O4633">
    <cfRule type="expression" dxfId="2108" priority="8781" stopIfTrue="1">
      <formula>OR($O$4633="F/S",$O$4633="")</formula>
    </cfRule>
    <cfRule type="cellIs" dxfId="2107" priority="8782" stopIfTrue="1" operator="notEqual">
      <formula>0</formula>
    </cfRule>
  </conditionalFormatting>
  <conditionalFormatting sqref="L4652">
    <cfRule type="expression" dxfId="2106" priority="8783" stopIfTrue="1">
      <formula>OR($L$4652="F/S",$L$4652="")</formula>
    </cfRule>
    <cfRule type="cellIs" dxfId="2105" priority="8784" stopIfTrue="1" operator="notEqual">
      <formula>0</formula>
    </cfRule>
  </conditionalFormatting>
  <conditionalFormatting sqref="O4652">
    <cfRule type="expression" dxfId="2104" priority="8785" stopIfTrue="1">
      <formula>OR($O$4652="F/S",$O$4652="")</formula>
    </cfRule>
    <cfRule type="cellIs" dxfId="2103" priority="8786" stopIfTrue="1" operator="notEqual">
      <formula>0</formula>
    </cfRule>
  </conditionalFormatting>
  <conditionalFormatting sqref="L4663">
    <cfRule type="expression" dxfId="2102" priority="8787" stopIfTrue="1">
      <formula>OR($L$4663="F/S",$L$4663="")</formula>
    </cfRule>
    <cfRule type="cellIs" dxfId="2101" priority="8788" stopIfTrue="1" operator="notEqual">
      <formula>0</formula>
    </cfRule>
  </conditionalFormatting>
  <conditionalFormatting sqref="O4663">
    <cfRule type="expression" dxfId="2100" priority="8789" stopIfTrue="1">
      <formula>OR($O$4663="F/S",$O$4663="")</formula>
    </cfRule>
    <cfRule type="cellIs" dxfId="2099" priority="8790" stopIfTrue="1" operator="notEqual">
      <formula>0</formula>
    </cfRule>
  </conditionalFormatting>
  <conditionalFormatting sqref="L4683">
    <cfRule type="expression" dxfId="2098" priority="8791" stopIfTrue="1">
      <formula>OR($L$4683="F/S",$L$4683="")</formula>
    </cfRule>
    <cfRule type="cellIs" dxfId="2097" priority="8792" stopIfTrue="1" operator="notEqual">
      <formula>0</formula>
    </cfRule>
  </conditionalFormatting>
  <conditionalFormatting sqref="O4683">
    <cfRule type="expression" dxfId="2096" priority="8793" stopIfTrue="1">
      <formula>OR($O$4683="F/S",$O$4683="")</formula>
    </cfRule>
    <cfRule type="cellIs" dxfId="2095" priority="8794" stopIfTrue="1" operator="notEqual">
      <formula>0</formula>
    </cfRule>
  </conditionalFormatting>
  <conditionalFormatting sqref="L4694">
    <cfRule type="expression" dxfId="2094" priority="8795" stopIfTrue="1">
      <formula>OR($L$4694="F/S",$L$4694="")</formula>
    </cfRule>
    <cfRule type="cellIs" dxfId="2093" priority="8796" stopIfTrue="1" operator="notEqual">
      <formula>0</formula>
    </cfRule>
  </conditionalFormatting>
  <conditionalFormatting sqref="O4694">
    <cfRule type="expression" dxfId="2092" priority="8797" stopIfTrue="1">
      <formula>OR($O$4694="F/S",$O$4694="")</formula>
    </cfRule>
    <cfRule type="cellIs" dxfId="2091" priority="8798" stopIfTrue="1" operator="notEqual">
      <formula>0</formula>
    </cfRule>
  </conditionalFormatting>
  <conditionalFormatting sqref="L4714">
    <cfRule type="expression" dxfId="2090" priority="8799" stopIfTrue="1">
      <formula>OR($L$4714="F/S",$L$4714="")</formula>
    </cfRule>
    <cfRule type="cellIs" dxfId="2089" priority="8800" stopIfTrue="1" operator="notEqual">
      <formula>0</formula>
    </cfRule>
  </conditionalFormatting>
  <conditionalFormatting sqref="O4714">
    <cfRule type="expression" dxfId="2088" priority="8801" stopIfTrue="1">
      <formula>OR($O$4714="F/S",$O$4714="")</formula>
    </cfRule>
    <cfRule type="cellIs" dxfId="2087" priority="8802" stopIfTrue="1" operator="notEqual">
      <formula>0</formula>
    </cfRule>
  </conditionalFormatting>
  <conditionalFormatting sqref="L4750">
    <cfRule type="expression" dxfId="2086" priority="8803" stopIfTrue="1">
      <formula>OR($L$4750="F/S",$L$4750="")</formula>
    </cfRule>
    <cfRule type="cellIs" dxfId="2085" priority="8804" stopIfTrue="1" operator="notEqual">
      <formula>0</formula>
    </cfRule>
  </conditionalFormatting>
  <conditionalFormatting sqref="O4750">
    <cfRule type="expression" dxfId="2084" priority="8805" stopIfTrue="1">
      <formula>OR($O$4750="F/S",$O$4750="")</formula>
    </cfRule>
    <cfRule type="cellIs" dxfId="2083" priority="8806" stopIfTrue="1" operator="notEqual">
      <formula>0</formula>
    </cfRule>
  </conditionalFormatting>
  <conditionalFormatting sqref="L4765">
    <cfRule type="expression" dxfId="2082" priority="8807" stopIfTrue="1">
      <formula>OR($L$4765="F/S",$L$4765="")</formula>
    </cfRule>
    <cfRule type="cellIs" dxfId="2081" priority="8808" stopIfTrue="1" operator="notEqual">
      <formula>0</formula>
    </cfRule>
  </conditionalFormatting>
  <conditionalFormatting sqref="O4765">
    <cfRule type="expression" dxfId="2080" priority="8809" stopIfTrue="1">
      <formula>OR($O$4765="F/S",$O$4765="")</formula>
    </cfRule>
    <cfRule type="cellIs" dxfId="2079" priority="8810" stopIfTrue="1" operator="notEqual">
      <formula>0</formula>
    </cfRule>
  </conditionalFormatting>
  <conditionalFormatting sqref="L4725">
    <cfRule type="expression" dxfId="2078" priority="8811" stopIfTrue="1">
      <formula>OR($L$4725="F/S",$L$4725="")</formula>
    </cfRule>
    <cfRule type="cellIs" dxfId="2077" priority="8812" stopIfTrue="1" operator="notEqual">
      <formula>0</formula>
    </cfRule>
  </conditionalFormatting>
  <conditionalFormatting sqref="O4725">
    <cfRule type="expression" dxfId="2076" priority="8813" stopIfTrue="1">
      <formula>OR($O$4725="F/S",$O$4725="")</formula>
    </cfRule>
    <cfRule type="cellIs" dxfId="2075" priority="8814" stopIfTrue="1" operator="notEqual">
      <formula>0</formula>
    </cfRule>
  </conditionalFormatting>
  <conditionalFormatting sqref="L4877">
    <cfRule type="expression" dxfId="2074" priority="8815" stopIfTrue="1">
      <formula>OR($L$4877="F/S",$L$4877="")</formula>
    </cfRule>
    <cfRule type="cellIs" dxfId="2073" priority="8816" stopIfTrue="1" operator="notEqual">
      <formula>0</formula>
    </cfRule>
  </conditionalFormatting>
  <conditionalFormatting sqref="O4877">
    <cfRule type="expression" dxfId="2072" priority="8817" stopIfTrue="1">
      <formula>OR($O$4877="F/S",$O$4877="")</formula>
    </cfRule>
    <cfRule type="cellIs" dxfId="2071" priority="8818" stopIfTrue="1" operator="notEqual">
      <formula>0</formula>
    </cfRule>
  </conditionalFormatting>
  <conditionalFormatting sqref="L4863">
    <cfRule type="expression" dxfId="2070" priority="8819" stopIfTrue="1">
      <formula>OR($L$4863="F/S",$L$4863="")</formula>
    </cfRule>
    <cfRule type="cellIs" dxfId="2069" priority="8820" stopIfTrue="1" operator="notEqual">
      <formula>0</formula>
    </cfRule>
  </conditionalFormatting>
  <conditionalFormatting sqref="O4863">
    <cfRule type="expression" dxfId="2068" priority="8821" stopIfTrue="1">
      <formula>OR($O$4863="F/S",$O$4863="")</formula>
    </cfRule>
    <cfRule type="cellIs" dxfId="2067" priority="8822" stopIfTrue="1" operator="notEqual">
      <formula>0</formula>
    </cfRule>
  </conditionalFormatting>
  <conditionalFormatting sqref="L4914">
    <cfRule type="expression" dxfId="2066" priority="8823" stopIfTrue="1">
      <formula>OR($L$4914="F/S",$L$4914="")</formula>
    </cfRule>
    <cfRule type="cellIs" dxfId="2065" priority="8824" stopIfTrue="1" operator="notEqual">
      <formula>0</formula>
    </cfRule>
  </conditionalFormatting>
  <conditionalFormatting sqref="O4914">
    <cfRule type="expression" dxfId="2064" priority="8825" stopIfTrue="1">
      <formula>OR($O$4914="F/S",$O$4914="")</formula>
    </cfRule>
    <cfRule type="cellIs" dxfId="2063" priority="8826" stopIfTrue="1" operator="notEqual">
      <formula>0</formula>
    </cfRule>
  </conditionalFormatting>
  <conditionalFormatting sqref="L4927">
    <cfRule type="expression" dxfId="2062" priority="8827" stopIfTrue="1">
      <formula>OR($L$4927="F/S",$L$4927="")</formula>
    </cfRule>
    <cfRule type="cellIs" dxfId="2061" priority="8828" stopIfTrue="1" operator="notEqual">
      <formula>0</formula>
    </cfRule>
  </conditionalFormatting>
  <conditionalFormatting sqref="O4927">
    <cfRule type="expression" dxfId="2060" priority="8829" stopIfTrue="1">
      <formula>OR($O$4927="F/S",$O$4927="")</formula>
    </cfRule>
    <cfRule type="cellIs" dxfId="2059" priority="8830" stopIfTrue="1" operator="notEqual">
      <formula>0</formula>
    </cfRule>
  </conditionalFormatting>
  <conditionalFormatting sqref="L4945">
    <cfRule type="expression" dxfId="2058" priority="8831" stopIfTrue="1">
      <formula>OR($L$4945="F/S",$L$4945="")</formula>
    </cfRule>
    <cfRule type="cellIs" dxfId="2057" priority="8832" stopIfTrue="1" operator="notEqual">
      <formula>0</formula>
    </cfRule>
  </conditionalFormatting>
  <conditionalFormatting sqref="O4945">
    <cfRule type="expression" dxfId="2056" priority="8833" stopIfTrue="1">
      <formula>OR($O$4945="F/S",$O$4945="")</formula>
    </cfRule>
    <cfRule type="cellIs" dxfId="2055" priority="8834" stopIfTrue="1" operator="notEqual">
      <formula>0</formula>
    </cfRule>
  </conditionalFormatting>
  <conditionalFormatting sqref="L4958">
    <cfRule type="expression" dxfId="2054" priority="8835" stopIfTrue="1">
      <formula>OR($L$4958="F/S",$L$4958="")</formula>
    </cfRule>
    <cfRule type="cellIs" dxfId="2053" priority="8836" stopIfTrue="1" operator="notEqual">
      <formula>0</formula>
    </cfRule>
  </conditionalFormatting>
  <conditionalFormatting sqref="O4958">
    <cfRule type="expression" dxfId="2052" priority="8837" stopIfTrue="1">
      <formula>OR($O$4958="F/S",$O$4958="")</formula>
    </cfRule>
    <cfRule type="cellIs" dxfId="2051" priority="8838" stopIfTrue="1" operator="notEqual">
      <formula>0</formula>
    </cfRule>
  </conditionalFormatting>
  <conditionalFormatting sqref="L4966">
    <cfRule type="expression" dxfId="2050" priority="8839" stopIfTrue="1">
      <formula>OR($L$4966="F/S",$L$4966="")</formula>
    </cfRule>
    <cfRule type="cellIs" dxfId="2049" priority="8840" stopIfTrue="1" operator="notEqual">
      <formula>0</formula>
    </cfRule>
  </conditionalFormatting>
  <conditionalFormatting sqref="O4966">
    <cfRule type="expression" dxfId="2048" priority="8841" stopIfTrue="1">
      <formula>OR($O$4966="F/S",$O$4966="")</formula>
    </cfRule>
    <cfRule type="cellIs" dxfId="2047" priority="8842" stopIfTrue="1" operator="notEqual">
      <formula>0</formula>
    </cfRule>
  </conditionalFormatting>
  <conditionalFormatting sqref="L5869">
    <cfRule type="expression" dxfId="2046" priority="8843" stopIfTrue="1">
      <formula>OR($L$5869="F/S",$L$5869="")</formula>
    </cfRule>
    <cfRule type="cellIs" dxfId="2045" priority="8844" stopIfTrue="1" operator="notEqual">
      <formula>0</formula>
    </cfRule>
  </conditionalFormatting>
  <conditionalFormatting sqref="O5869">
    <cfRule type="expression" dxfId="2044" priority="8845" stopIfTrue="1">
      <formula>OR($O$5869="F/S",$O$5869="")</formula>
    </cfRule>
    <cfRule type="cellIs" dxfId="2043" priority="8846" stopIfTrue="1" operator="notEqual">
      <formula>0</formula>
    </cfRule>
  </conditionalFormatting>
  <conditionalFormatting sqref="L5021">
    <cfRule type="expression" dxfId="2042" priority="8847" stopIfTrue="1">
      <formula>OR($L$5021="F/S",$L$5021="")</formula>
    </cfRule>
    <cfRule type="cellIs" dxfId="2041" priority="8848" stopIfTrue="1" operator="notEqual">
      <formula>0</formula>
    </cfRule>
  </conditionalFormatting>
  <conditionalFormatting sqref="O5021">
    <cfRule type="expression" dxfId="2040" priority="8849" stopIfTrue="1">
      <formula>OR($O$5021="F/S",$O$5021="")</formula>
    </cfRule>
    <cfRule type="cellIs" dxfId="2039" priority="8850" stopIfTrue="1" operator="notEqual">
      <formula>0</formula>
    </cfRule>
  </conditionalFormatting>
  <conditionalFormatting sqref="L5880">
    <cfRule type="expression" dxfId="2038" priority="8851" stopIfTrue="1">
      <formula>OR($L$5880="F/S",$L$5880="")</formula>
    </cfRule>
    <cfRule type="cellIs" dxfId="2037" priority="8852" stopIfTrue="1" operator="notEqual">
      <formula>0</formula>
    </cfRule>
  </conditionalFormatting>
  <conditionalFormatting sqref="O5880">
    <cfRule type="expression" dxfId="2036" priority="8853" stopIfTrue="1">
      <formula>OR($O$5880="F/S",$O$5880="")</formula>
    </cfRule>
    <cfRule type="cellIs" dxfId="2035" priority="8854" stopIfTrue="1" operator="notEqual">
      <formula>0</formula>
    </cfRule>
  </conditionalFormatting>
  <conditionalFormatting sqref="L5891">
    <cfRule type="expression" dxfId="2034" priority="8855" stopIfTrue="1">
      <formula>OR($L$5891="F/S",$L$5891="")</formula>
    </cfRule>
    <cfRule type="cellIs" dxfId="2033" priority="8856" stopIfTrue="1" operator="notEqual">
      <formula>0</formula>
    </cfRule>
  </conditionalFormatting>
  <conditionalFormatting sqref="O5891">
    <cfRule type="expression" dxfId="2032" priority="8857" stopIfTrue="1">
      <formula>OR($O$5891="F/S",$O$5891="")</formula>
    </cfRule>
    <cfRule type="cellIs" dxfId="2031" priority="8858" stopIfTrue="1" operator="notEqual">
      <formula>0</formula>
    </cfRule>
  </conditionalFormatting>
  <conditionalFormatting sqref="L5902">
    <cfRule type="expression" dxfId="2030" priority="8859" stopIfTrue="1">
      <formula>OR($L$5902="F/S",$L$5902="")</formula>
    </cfRule>
    <cfRule type="cellIs" dxfId="2029" priority="8860" stopIfTrue="1" operator="notEqual">
      <formula>0</formula>
    </cfRule>
  </conditionalFormatting>
  <conditionalFormatting sqref="O5902">
    <cfRule type="expression" dxfId="2028" priority="8861" stopIfTrue="1">
      <formula>OR($O$5902="F/S",$O$5902="")</formula>
    </cfRule>
    <cfRule type="cellIs" dxfId="2027" priority="8862" stopIfTrue="1" operator="notEqual">
      <formula>0</formula>
    </cfRule>
  </conditionalFormatting>
  <conditionalFormatting sqref="L5913">
    <cfRule type="expression" dxfId="2026" priority="8863" stopIfTrue="1">
      <formula>OR($L$5913="F/S",$L$5913="")</formula>
    </cfRule>
    <cfRule type="cellIs" dxfId="2025" priority="8864" stopIfTrue="1" operator="notEqual">
      <formula>0</formula>
    </cfRule>
  </conditionalFormatting>
  <conditionalFormatting sqref="O5913">
    <cfRule type="expression" dxfId="2024" priority="8865" stopIfTrue="1">
      <formula>OR($O$5913="F/S",$O$5913="")</formula>
    </cfRule>
    <cfRule type="cellIs" dxfId="2023" priority="8866" stopIfTrue="1" operator="notEqual">
      <formula>0</formula>
    </cfRule>
  </conditionalFormatting>
  <conditionalFormatting sqref="L5037">
    <cfRule type="expression" dxfId="2022" priority="8867" stopIfTrue="1">
      <formula>OR($L$5037="F/S",$L$5037="")</formula>
    </cfRule>
    <cfRule type="cellIs" dxfId="2021" priority="8868" stopIfTrue="1" operator="notEqual">
      <formula>0</formula>
    </cfRule>
  </conditionalFormatting>
  <conditionalFormatting sqref="O5037">
    <cfRule type="expression" dxfId="2020" priority="8869" stopIfTrue="1">
      <formula>OR($O$5037="F/S",$O$5037="")</formula>
    </cfRule>
    <cfRule type="cellIs" dxfId="2019" priority="8870" stopIfTrue="1" operator="notEqual">
      <formula>0</formula>
    </cfRule>
  </conditionalFormatting>
  <conditionalFormatting sqref="L5924">
    <cfRule type="expression" dxfId="2018" priority="8871" stopIfTrue="1">
      <formula>OR($L$5924="F/S",$L$5924="")</formula>
    </cfRule>
    <cfRule type="cellIs" dxfId="2017" priority="8872" stopIfTrue="1" operator="notEqual">
      <formula>0</formula>
    </cfRule>
  </conditionalFormatting>
  <conditionalFormatting sqref="O5924">
    <cfRule type="expression" dxfId="2016" priority="8873" stopIfTrue="1">
      <formula>OR($O$5924="F/S",$O$5924="")</formula>
    </cfRule>
    <cfRule type="cellIs" dxfId="2015" priority="8874" stopIfTrue="1" operator="notEqual">
      <formula>0</formula>
    </cfRule>
  </conditionalFormatting>
  <conditionalFormatting sqref="L5935">
    <cfRule type="expression" dxfId="2014" priority="8875" stopIfTrue="1">
      <formula>OR($L$5935="F/S",$L$5935="")</formula>
    </cfRule>
    <cfRule type="cellIs" dxfId="2013" priority="8876" stopIfTrue="1" operator="notEqual">
      <formula>0</formula>
    </cfRule>
  </conditionalFormatting>
  <conditionalFormatting sqref="O5935">
    <cfRule type="expression" dxfId="2012" priority="8877" stopIfTrue="1">
      <formula>OR($O$5935="F/S",$O$5935="")</formula>
    </cfRule>
    <cfRule type="cellIs" dxfId="2011" priority="8878" stopIfTrue="1" operator="notEqual">
      <formula>0</formula>
    </cfRule>
  </conditionalFormatting>
  <conditionalFormatting sqref="L5946">
    <cfRule type="expression" dxfId="2010" priority="8879" stopIfTrue="1">
      <formula>OR($L$5946="F/S",$L$5946="")</formula>
    </cfRule>
    <cfRule type="cellIs" dxfId="2009" priority="8880" stopIfTrue="1" operator="notEqual">
      <formula>0</formula>
    </cfRule>
  </conditionalFormatting>
  <conditionalFormatting sqref="O5946">
    <cfRule type="expression" dxfId="2008" priority="8881" stopIfTrue="1">
      <formula>OR($O$5946="F/S",$O$5946="")</formula>
    </cfRule>
    <cfRule type="cellIs" dxfId="2007" priority="8882" stopIfTrue="1" operator="notEqual">
      <formula>0</formula>
    </cfRule>
  </conditionalFormatting>
  <conditionalFormatting sqref="L5957">
    <cfRule type="expression" dxfId="2006" priority="8883" stopIfTrue="1">
      <formula>OR($L$5957="F/S",$L$5957="")</formula>
    </cfRule>
    <cfRule type="cellIs" dxfId="2005" priority="8884" stopIfTrue="1" operator="notEqual">
      <formula>0</formula>
    </cfRule>
  </conditionalFormatting>
  <conditionalFormatting sqref="O5957">
    <cfRule type="expression" dxfId="2004" priority="8885" stopIfTrue="1">
      <formula>OR($O$5957="F/S",$O$5957="")</formula>
    </cfRule>
    <cfRule type="cellIs" dxfId="2003" priority="8886" stopIfTrue="1" operator="notEqual">
      <formula>0</formula>
    </cfRule>
  </conditionalFormatting>
  <conditionalFormatting sqref="L5053">
    <cfRule type="expression" dxfId="2002" priority="8887" stopIfTrue="1">
      <formula>OR($L$5053="F/S",$L$5053="")</formula>
    </cfRule>
    <cfRule type="cellIs" dxfId="2001" priority="8888" stopIfTrue="1" operator="notEqual">
      <formula>0</formula>
    </cfRule>
  </conditionalFormatting>
  <conditionalFormatting sqref="O5053">
    <cfRule type="expression" dxfId="2000" priority="8889" stopIfTrue="1">
      <formula>OR($O$5053="F/S",$O$5053="")</formula>
    </cfRule>
    <cfRule type="cellIs" dxfId="1999" priority="8890" stopIfTrue="1" operator="notEqual">
      <formula>0</formula>
    </cfRule>
  </conditionalFormatting>
  <conditionalFormatting sqref="L5976">
    <cfRule type="expression" dxfId="1998" priority="8891" stopIfTrue="1">
      <formula>OR($L$5976="F/S",$L$5976="")</formula>
    </cfRule>
    <cfRule type="cellIs" dxfId="1997" priority="8892" stopIfTrue="1" operator="notEqual">
      <formula>0</formula>
    </cfRule>
  </conditionalFormatting>
  <conditionalFormatting sqref="O5976">
    <cfRule type="expression" dxfId="1996" priority="8893" stopIfTrue="1">
      <formula>OR($O$5976="F/S",$O$5976="")</formula>
    </cfRule>
    <cfRule type="cellIs" dxfId="1995" priority="8894" stopIfTrue="1" operator="notEqual">
      <formula>0</formula>
    </cfRule>
  </conditionalFormatting>
  <conditionalFormatting sqref="L5997">
    <cfRule type="expression" dxfId="1994" priority="8895" stopIfTrue="1">
      <formula>OR($L$5997="F/S",$L$5997="")</formula>
    </cfRule>
    <cfRule type="cellIs" dxfId="1993" priority="8896" stopIfTrue="1" operator="notEqual">
      <formula>0</formula>
    </cfRule>
  </conditionalFormatting>
  <conditionalFormatting sqref="O5997">
    <cfRule type="expression" dxfId="1992" priority="8897" stopIfTrue="1">
      <formula>OR($O$5997="F/S",$O$5997="")</formula>
    </cfRule>
    <cfRule type="cellIs" dxfId="1991" priority="8898" stopIfTrue="1" operator="notEqual">
      <formula>0</formula>
    </cfRule>
  </conditionalFormatting>
  <conditionalFormatting sqref="L5064">
    <cfRule type="expression" dxfId="1990" priority="8899" stopIfTrue="1">
      <formula>OR($L$5064="F/S",$L$5064="")</formula>
    </cfRule>
    <cfRule type="cellIs" dxfId="1989" priority="8900" stopIfTrue="1" operator="notEqual">
      <formula>0</formula>
    </cfRule>
  </conditionalFormatting>
  <conditionalFormatting sqref="O5064">
    <cfRule type="expression" dxfId="1988" priority="8901" stopIfTrue="1">
      <formula>OR($O$5064="F/S",$O$5064="")</formula>
    </cfRule>
    <cfRule type="cellIs" dxfId="1987" priority="8902" stopIfTrue="1" operator="notEqual">
      <formula>0</formula>
    </cfRule>
  </conditionalFormatting>
  <conditionalFormatting sqref="L6008">
    <cfRule type="expression" dxfId="1986" priority="8903" stopIfTrue="1">
      <formula>OR($L$6008="F/S",$L$6008="")</formula>
    </cfRule>
    <cfRule type="cellIs" dxfId="1985" priority="8904" stopIfTrue="1" operator="notEqual">
      <formula>0</formula>
    </cfRule>
  </conditionalFormatting>
  <conditionalFormatting sqref="O6008">
    <cfRule type="expression" dxfId="1984" priority="8905" stopIfTrue="1">
      <formula>OR($O$6008="F/S",$O$6008="")</formula>
    </cfRule>
    <cfRule type="cellIs" dxfId="1983" priority="8906" stopIfTrue="1" operator="notEqual">
      <formula>0</formula>
    </cfRule>
  </conditionalFormatting>
  <conditionalFormatting sqref="L5075">
    <cfRule type="expression" dxfId="1982" priority="8907" stopIfTrue="1">
      <formula>OR($L$5075="F/S",$L$5075="")</formula>
    </cfRule>
    <cfRule type="cellIs" dxfId="1981" priority="8908" stopIfTrue="1" operator="notEqual">
      <formula>0</formula>
    </cfRule>
  </conditionalFormatting>
  <conditionalFormatting sqref="O5075">
    <cfRule type="expression" dxfId="1980" priority="8909" stopIfTrue="1">
      <formula>OR($O$5075="F/S",$O$5075="")</formula>
    </cfRule>
    <cfRule type="cellIs" dxfId="1979" priority="8910" stopIfTrue="1" operator="notEqual">
      <formula>0</formula>
    </cfRule>
  </conditionalFormatting>
  <conditionalFormatting sqref="L6020">
    <cfRule type="expression" dxfId="1978" priority="8911" stopIfTrue="1">
      <formula>OR($L$6020="F/S",$L$6020="")</formula>
    </cfRule>
    <cfRule type="cellIs" dxfId="1977" priority="8912" stopIfTrue="1" operator="notEqual">
      <formula>0</formula>
    </cfRule>
  </conditionalFormatting>
  <conditionalFormatting sqref="O6020">
    <cfRule type="expression" dxfId="1976" priority="8913" stopIfTrue="1">
      <formula>OR($O$6020="F/S",$O$6020="")</formula>
    </cfRule>
    <cfRule type="cellIs" dxfId="1975" priority="8914" stopIfTrue="1" operator="notEqual">
      <formula>0</formula>
    </cfRule>
  </conditionalFormatting>
  <conditionalFormatting sqref="L6032">
    <cfRule type="expression" dxfId="1974" priority="8915" stopIfTrue="1">
      <formula>OR($L$6032="F/S",$L$6032="")</formula>
    </cfRule>
    <cfRule type="cellIs" dxfId="1973" priority="8916" stopIfTrue="1" operator="notEqual">
      <formula>0</formula>
    </cfRule>
  </conditionalFormatting>
  <conditionalFormatting sqref="O6032">
    <cfRule type="expression" dxfId="1972" priority="8917" stopIfTrue="1">
      <formula>OR($O$6032="F/S",$O$6032="")</formula>
    </cfRule>
    <cfRule type="cellIs" dxfId="1971" priority="8918" stopIfTrue="1" operator="notEqual">
      <formula>0</formula>
    </cfRule>
  </conditionalFormatting>
  <conditionalFormatting sqref="L5086">
    <cfRule type="expression" dxfId="1970" priority="8919" stopIfTrue="1">
      <formula>OR($L$5086="F/S",$L$5086="")</formula>
    </cfRule>
    <cfRule type="cellIs" dxfId="1969" priority="8920" stopIfTrue="1" operator="notEqual">
      <formula>0</formula>
    </cfRule>
  </conditionalFormatting>
  <conditionalFormatting sqref="O5086">
    <cfRule type="expression" dxfId="1968" priority="8921" stopIfTrue="1">
      <formula>OR($O$5086="F/S",$O$5086="")</formula>
    </cfRule>
    <cfRule type="cellIs" dxfId="1967" priority="8922" stopIfTrue="1" operator="notEqual">
      <formula>0</formula>
    </cfRule>
  </conditionalFormatting>
  <conditionalFormatting sqref="L5097">
    <cfRule type="expression" dxfId="1966" priority="8923" stopIfTrue="1">
      <formula>OR($L$5097="F/S",$L$5097="")</formula>
    </cfRule>
    <cfRule type="cellIs" dxfId="1965" priority="8924" stopIfTrue="1" operator="notEqual">
      <formula>0</formula>
    </cfRule>
  </conditionalFormatting>
  <conditionalFormatting sqref="O5097">
    <cfRule type="expression" dxfId="1964" priority="8925" stopIfTrue="1">
      <formula>OR($O$5097="F/S",$O$5097="")</formula>
    </cfRule>
    <cfRule type="cellIs" dxfId="1963" priority="8926" stopIfTrue="1" operator="notEqual">
      <formula>0</formula>
    </cfRule>
  </conditionalFormatting>
  <conditionalFormatting sqref="L5120">
    <cfRule type="expression" dxfId="1962" priority="8927" stopIfTrue="1">
      <formula>OR($L$5120="F/S",$L$5120="")</formula>
    </cfRule>
    <cfRule type="cellIs" dxfId="1961" priority="8928" stopIfTrue="1" operator="notEqual">
      <formula>0</formula>
    </cfRule>
  </conditionalFormatting>
  <conditionalFormatting sqref="O5120">
    <cfRule type="expression" dxfId="1960" priority="8929" stopIfTrue="1">
      <formula>OR($O$5120="F/S",$O$5120="")</formula>
    </cfRule>
    <cfRule type="cellIs" dxfId="1959" priority="8930" stopIfTrue="1" operator="notEqual">
      <formula>0</formula>
    </cfRule>
  </conditionalFormatting>
  <conditionalFormatting sqref="L5128">
    <cfRule type="expression" dxfId="1958" priority="8931" stopIfTrue="1">
      <formula>OR($L$5128="F/S",$L$5128="")</formula>
    </cfRule>
    <cfRule type="cellIs" dxfId="1957" priority="8932" stopIfTrue="1" operator="notEqual">
      <formula>0</formula>
    </cfRule>
  </conditionalFormatting>
  <conditionalFormatting sqref="O5128">
    <cfRule type="expression" dxfId="1956" priority="8933" stopIfTrue="1">
      <formula>OR($O$5128="F/S",$O$5128="")</formula>
    </cfRule>
    <cfRule type="cellIs" dxfId="1955" priority="8934" stopIfTrue="1" operator="notEqual">
      <formula>0</formula>
    </cfRule>
  </conditionalFormatting>
  <conditionalFormatting sqref="L5157">
    <cfRule type="expression" dxfId="1954" priority="8939" stopIfTrue="1">
      <formula>OR($L$5157="F/S",$L$5157="")</formula>
    </cfRule>
    <cfRule type="cellIs" dxfId="1953" priority="8940" stopIfTrue="1" operator="notEqual">
      <formula>0</formula>
    </cfRule>
  </conditionalFormatting>
  <conditionalFormatting sqref="O5157">
    <cfRule type="expression" dxfId="1952" priority="8941" stopIfTrue="1">
      <formula>OR($O$5157="F/S",$O$5157="")</formula>
    </cfRule>
    <cfRule type="cellIs" dxfId="1951" priority="8942" stopIfTrue="1" operator="notEqual">
      <formula>0</formula>
    </cfRule>
  </conditionalFormatting>
  <conditionalFormatting sqref="L5173">
    <cfRule type="expression" dxfId="1950" priority="8943" stopIfTrue="1">
      <formula>OR($L$5173="F/S",$L$5173="")</formula>
    </cfRule>
    <cfRule type="cellIs" dxfId="1949" priority="8944" stopIfTrue="1" operator="notEqual">
      <formula>0</formula>
    </cfRule>
  </conditionalFormatting>
  <conditionalFormatting sqref="O5173">
    <cfRule type="expression" dxfId="1948" priority="8945" stopIfTrue="1">
      <formula>OR($O$5173="F/S",$O$5173="")</formula>
    </cfRule>
    <cfRule type="cellIs" dxfId="1947" priority="8946" stopIfTrue="1" operator="notEqual">
      <formula>0</formula>
    </cfRule>
  </conditionalFormatting>
  <conditionalFormatting sqref="L5137">
    <cfRule type="expression" dxfId="1946" priority="8947" stopIfTrue="1">
      <formula>OR($L$5137="F/S",$L$5137="")</formula>
    </cfRule>
    <cfRule type="cellIs" dxfId="1945" priority="8948" stopIfTrue="1" operator="notEqual">
      <formula>0</formula>
    </cfRule>
  </conditionalFormatting>
  <conditionalFormatting sqref="O5137">
    <cfRule type="expression" dxfId="1944" priority="8949" stopIfTrue="1">
      <formula>OR($O$5137="F/S",$O$5137="")</formula>
    </cfRule>
    <cfRule type="cellIs" dxfId="1943" priority="8950" stopIfTrue="1" operator="notEqual">
      <formula>0</formula>
    </cfRule>
  </conditionalFormatting>
  <conditionalFormatting sqref="L5147">
    <cfRule type="expression" dxfId="1942" priority="8951" stopIfTrue="1">
      <formula>OR($L$5147="F/S",$L$5147="")</formula>
    </cfRule>
    <cfRule type="cellIs" dxfId="1941" priority="8952" stopIfTrue="1" operator="notEqual">
      <formula>0</formula>
    </cfRule>
  </conditionalFormatting>
  <conditionalFormatting sqref="O5147">
    <cfRule type="expression" dxfId="1940" priority="8953" stopIfTrue="1">
      <formula>OR($O$5147="F/S",$O$5147="")</formula>
    </cfRule>
    <cfRule type="cellIs" dxfId="1939" priority="8954" stopIfTrue="1" operator="notEqual">
      <formula>0</formula>
    </cfRule>
  </conditionalFormatting>
  <conditionalFormatting sqref="L6055">
    <cfRule type="expression" dxfId="1938" priority="8955" stopIfTrue="1">
      <formula>OR($L$6055="F/S",$L$6055="")</formula>
    </cfRule>
    <cfRule type="cellIs" dxfId="1937" priority="8956" stopIfTrue="1" operator="notEqual">
      <formula>0</formula>
    </cfRule>
  </conditionalFormatting>
  <conditionalFormatting sqref="O6055">
    <cfRule type="expression" dxfId="1936" priority="8957" stopIfTrue="1">
      <formula>OR($O$6055="F/S",$O$6055="")</formula>
    </cfRule>
    <cfRule type="cellIs" dxfId="1935" priority="8958" stopIfTrue="1" operator="notEqual">
      <formula>0</formula>
    </cfRule>
  </conditionalFormatting>
  <conditionalFormatting sqref="L6064">
    <cfRule type="expression" dxfId="1934" priority="8959" stopIfTrue="1">
      <formula>OR($L$6064="F/S",$L$6064="")</formula>
    </cfRule>
    <cfRule type="cellIs" dxfId="1933" priority="8960" stopIfTrue="1" operator="notEqual">
      <formula>0</formula>
    </cfRule>
  </conditionalFormatting>
  <conditionalFormatting sqref="O6064">
    <cfRule type="expression" dxfId="1932" priority="8961" stopIfTrue="1">
      <formula>OR($O$6064="F/S",$O$6064="")</formula>
    </cfRule>
    <cfRule type="cellIs" dxfId="1931" priority="8962" stopIfTrue="1" operator="notEqual">
      <formula>0</formula>
    </cfRule>
  </conditionalFormatting>
  <conditionalFormatting sqref="L6075">
    <cfRule type="expression" dxfId="1930" priority="8963" stopIfTrue="1">
      <formula>OR($L$6075="F/S",$L$6075="")</formula>
    </cfRule>
    <cfRule type="cellIs" dxfId="1929" priority="8964" stopIfTrue="1" operator="notEqual">
      <formula>0</formula>
    </cfRule>
  </conditionalFormatting>
  <conditionalFormatting sqref="O6075">
    <cfRule type="expression" dxfId="1928" priority="8965" stopIfTrue="1">
      <formula>OR($O$6075="F/S",$O$6075="")</formula>
    </cfRule>
    <cfRule type="cellIs" dxfId="1927" priority="8966" stopIfTrue="1" operator="notEqual">
      <formula>0</formula>
    </cfRule>
  </conditionalFormatting>
  <conditionalFormatting sqref="L6084">
    <cfRule type="expression" dxfId="1926" priority="8967" stopIfTrue="1">
      <formula>OR($L$6084="F/S",$L$6084="")</formula>
    </cfRule>
    <cfRule type="cellIs" dxfId="1925" priority="8968" stopIfTrue="1" operator="notEqual">
      <formula>0</formula>
    </cfRule>
  </conditionalFormatting>
  <conditionalFormatting sqref="O6084">
    <cfRule type="expression" dxfId="1924" priority="8969" stopIfTrue="1">
      <formula>OR($O$6084="F/S",$O$6084="")</formula>
    </cfRule>
    <cfRule type="cellIs" dxfId="1923" priority="8970" stopIfTrue="1" operator="notEqual">
      <formula>0</formula>
    </cfRule>
  </conditionalFormatting>
  <conditionalFormatting sqref="L6093">
    <cfRule type="expression" dxfId="1922" priority="8971" stopIfTrue="1">
      <formula>OR($L$6093="F/S",$L$6093="")</formula>
    </cfRule>
    <cfRule type="cellIs" dxfId="1921" priority="8972" stopIfTrue="1" operator="notEqual">
      <formula>0</formula>
    </cfRule>
  </conditionalFormatting>
  <conditionalFormatting sqref="O6093">
    <cfRule type="expression" dxfId="1920" priority="8973" stopIfTrue="1">
      <formula>OR($O$6093="F/S",$O$6093="")</formula>
    </cfRule>
    <cfRule type="cellIs" dxfId="1919" priority="8974" stopIfTrue="1" operator="notEqual">
      <formula>0</formula>
    </cfRule>
  </conditionalFormatting>
  <conditionalFormatting sqref="L6107">
    <cfRule type="expression" dxfId="1918" priority="8975" stopIfTrue="1">
      <formula>OR($L$6107="F/S",$L$6107="")</formula>
    </cfRule>
    <cfRule type="cellIs" dxfId="1917" priority="8976" stopIfTrue="1" operator="notEqual">
      <formula>0</formula>
    </cfRule>
  </conditionalFormatting>
  <conditionalFormatting sqref="O6107">
    <cfRule type="expression" dxfId="1916" priority="8977" stopIfTrue="1">
      <formula>OR($O$6107="F/S",$O$6107="")</formula>
    </cfRule>
    <cfRule type="cellIs" dxfId="1915" priority="8978" stopIfTrue="1" operator="notEqual">
      <formula>0</formula>
    </cfRule>
  </conditionalFormatting>
  <conditionalFormatting sqref="L6117">
    <cfRule type="expression" dxfId="1914" priority="8979" stopIfTrue="1">
      <formula>OR($L$6117="F/S",$L$6117="")</formula>
    </cfRule>
    <cfRule type="cellIs" dxfId="1913" priority="8980" stopIfTrue="1" operator="notEqual">
      <formula>0</formula>
    </cfRule>
  </conditionalFormatting>
  <conditionalFormatting sqref="O6117">
    <cfRule type="expression" dxfId="1912" priority="8981" stopIfTrue="1">
      <formula>OR($O$6117="F/S",$O$6117="")</formula>
    </cfRule>
    <cfRule type="cellIs" dxfId="1911" priority="8982" stopIfTrue="1" operator="notEqual">
      <formula>0</formula>
    </cfRule>
  </conditionalFormatting>
  <conditionalFormatting sqref="L6126">
    <cfRule type="expression" dxfId="1910" priority="8983" stopIfTrue="1">
      <formula>OR($L$6126="F/S",$L$6126="")</formula>
    </cfRule>
    <cfRule type="cellIs" dxfId="1909" priority="8984" stopIfTrue="1" operator="notEqual">
      <formula>0</formula>
    </cfRule>
  </conditionalFormatting>
  <conditionalFormatting sqref="O6126">
    <cfRule type="expression" dxfId="1908" priority="8985" stopIfTrue="1">
      <formula>OR($O$6126="F/S",$O$6126="")</formula>
    </cfRule>
    <cfRule type="cellIs" dxfId="1907" priority="8986" stopIfTrue="1" operator="notEqual">
      <formula>0</formula>
    </cfRule>
  </conditionalFormatting>
  <conditionalFormatting sqref="L6137">
    <cfRule type="expression" dxfId="1906" priority="8987" stopIfTrue="1">
      <formula>OR($L$6137="F/S",$L$6137="")</formula>
    </cfRule>
    <cfRule type="cellIs" dxfId="1905" priority="8988" stopIfTrue="1" operator="notEqual">
      <formula>0</formula>
    </cfRule>
  </conditionalFormatting>
  <conditionalFormatting sqref="O6137">
    <cfRule type="expression" dxfId="1904" priority="8989" stopIfTrue="1">
      <formula>OR($O$6137="F/S",$O$6137="")</formula>
    </cfRule>
    <cfRule type="cellIs" dxfId="1903" priority="8990" stopIfTrue="1" operator="notEqual">
      <formula>0</formula>
    </cfRule>
  </conditionalFormatting>
  <conditionalFormatting sqref="L6146">
    <cfRule type="expression" dxfId="1902" priority="8991" stopIfTrue="1">
      <formula>OR($L$6146="F/S",$L$6146="")</formula>
    </cfRule>
    <cfRule type="cellIs" dxfId="1901" priority="8992" stopIfTrue="1" operator="notEqual">
      <formula>0</formula>
    </cfRule>
  </conditionalFormatting>
  <conditionalFormatting sqref="O6146">
    <cfRule type="expression" dxfId="1900" priority="8993" stopIfTrue="1">
      <formula>OR($O$6146="F/S",$O$6146="")</formula>
    </cfRule>
    <cfRule type="cellIs" dxfId="1899" priority="8994" stopIfTrue="1" operator="notEqual">
      <formula>0</formula>
    </cfRule>
  </conditionalFormatting>
  <conditionalFormatting sqref="L6155">
    <cfRule type="expression" dxfId="1898" priority="8995" stopIfTrue="1">
      <formula>OR($L$6155="F/S",$L$6155="")</formula>
    </cfRule>
    <cfRule type="cellIs" dxfId="1897" priority="8996" stopIfTrue="1" operator="notEqual">
      <formula>0</formula>
    </cfRule>
  </conditionalFormatting>
  <conditionalFormatting sqref="O6155">
    <cfRule type="expression" dxfId="1896" priority="8997" stopIfTrue="1">
      <formula>OR($O$6155="F/S",$O$6155="")</formula>
    </cfRule>
    <cfRule type="cellIs" dxfId="1895" priority="8998" stopIfTrue="1" operator="notEqual">
      <formula>0</formula>
    </cfRule>
  </conditionalFormatting>
  <conditionalFormatting sqref="L6164">
    <cfRule type="expression" dxfId="1894" priority="8999" stopIfTrue="1">
      <formula>OR($L$6164="F/S",$L$6164="")</formula>
    </cfRule>
    <cfRule type="cellIs" dxfId="1893" priority="9000" stopIfTrue="1" operator="notEqual">
      <formula>0</formula>
    </cfRule>
  </conditionalFormatting>
  <conditionalFormatting sqref="O6164">
    <cfRule type="expression" dxfId="1892" priority="9001" stopIfTrue="1">
      <formula>OR($O$6164="F/S",$O$6164="")</formula>
    </cfRule>
    <cfRule type="cellIs" dxfId="1891" priority="9002" stopIfTrue="1" operator="notEqual">
      <formula>0</formula>
    </cfRule>
  </conditionalFormatting>
  <conditionalFormatting sqref="L6186">
    <cfRule type="expression" dxfId="1890" priority="9003" stopIfTrue="1">
      <formula>OR($L$6186="F/S",$L$6186="")</formula>
    </cfRule>
    <cfRule type="cellIs" dxfId="1889" priority="9004" stopIfTrue="1" operator="notEqual">
      <formula>0</formula>
    </cfRule>
  </conditionalFormatting>
  <conditionalFormatting sqref="O6186">
    <cfRule type="expression" dxfId="1888" priority="9005" stopIfTrue="1">
      <formula>OR($O$6186="F/S",$O$6186="")</formula>
    </cfRule>
    <cfRule type="cellIs" dxfId="1887" priority="9006" stopIfTrue="1" operator="notEqual">
      <formula>0</formula>
    </cfRule>
  </conditionalFormatting>
  <conditionalFormatting sqref="L6213">
    <cfRule type="expression" dxfId="1886" priority="9007" stopIfTrue="1">
      <formula>OR($L$6213="F/S",$L$6213="")</formula>
    </cfRule>
    <cfRule type="cellIs" dxfId="1885" priority="9008" stopIfTrue="1" operator="notEqual">
      <formula>0</formula>
    </cfRule>
  </conditionalFormatting>
  <conditionalFormatting sqref="O6213">
    <cfRule type="expression" dxfId="1884" priority="9009" stopIfTrue="1">
      <formula>OR($O$6213="F/S",$O$6213="")</formula>
    </cfRule>
    <cfRule type="cellIs" dxfId="1883" priority="9010" stopIfTrue="1" operator="notEqual">
      <formula>0</formula>
    </cfRule>
  </conditionalFormatting>
  <conditionalFormatting sqref="L6242">
    <cfRule type="expression" dxfId="1882" priority="9011" stopIfTrue="1">
      <formula>OR($L$6242="F/S",$L$6242="")</formula>
    </cfRule>
    <cfRule type="cellIs" dxfId="1881" priority="9012" stopIfTrue="1" operator="notEqual">
      <formula>0</formula>
    </cfRule>
  </conditionalFormatting>
  <conditionalFormatting sqref="O6242">
    <cfRule type="expression" dxfId="1880" priority="9013" stopIfTrue="1">
      <formula>OR($O$6242="F/S",$O$6242="")</formula>
    </cfRule>
    <cfRule type="cellIs" dxfId="1879" priority="9014" stopIfTrue="1" operator="notEqual">
      <formula>0</formula>
    </cfRule>
  </conditionalFormatting>
  <conditionalFormatting sqref="L5622">
    <cfRule type="expression" dxfId="1878" priority="9015" stopIfTrue="1">
      <formula>OR($L$5622="F/S",$L$5622="")</formula>
    </cfRule>
    <cfRule type="cellIs" dxfId="1877" priority="9016" stopIfTrue="1" operator="notEqual">
      <formula>0</formula>
    </cfRule>
  </conditionalFormatting>
  <conditionalFormatting sqref="O5622">
    <cfRule type="expression" dxfId="1876" priority="9017" stopIfTrue="1">
      <formula>OR($O$5622="F/S",$O$5622="")</formula>
    </cfRule>
    <cfRule type="cellIs" dxfId="1875" priority="9018" stopIfTrue="1" operator="notEqual">
      <formula>0</formula>
    </cfRule>
  </conditionalFormatting>
  <conditionalFormatting sqref="L5635">
    <cfRule type="expression" dxfId="1874" priority="9019" stopIfTrue="1">
      <formula>OR($L$5635="F/S",$L$5635="")</formula>
    </cfRule>
    <cfRule type="cellIs" dxfId="1873" priority="9020" stopIfTrue="1" operator="notEqual">
      <formula>0</formula>
    </cfRule>
  </conditionalFormatting>
  <conditionalFormatting sqref="O5635">
    <cfRule type="expression" dxfId="1872" priority="9021" stopIfTrue="1">
      <formula>OR($O$5635="F/S",$O$5635="")</formula>
    </cfRule>
    <cfRule type="cellIs" dxfId="1871" priority="9022" stopIfTrue="1" operator="notEqual">
      <formula>0</formula>
    </cfRule>
  </conditionalFormatting>
  <conditionalFormatting sqref="L5648">
    <cfRule type="expression" dxfId="1870" priority="9023" stopIfTrue="1">
      <formula>OR($L$5648="F/S",$L$5648="")</formula>
    </cfRule>
    <cfRule type="cellIs" dxfId="1869" priority="9024" stopIfTrue="1" operator="notEqual">
      <formula>0</formula>
    </cfRule>
  </conditionalFormatting>
  <conditionalFormatting sqref="O5648">
    <cfRule type="expression" dxfId="1868" priority="9025" stopIfTrue="1">
      <formula>OR($O$5648="F/S",$O$5648="")</formula>
    </cfRule>
    <cfRule type="cellIs" dxfId="1867" priority="9026" stopIfTrue="1" operator="notEqual">
      <formula>0</formula>
    </cfRule>
  </conditionalFormatting>
  <conditionalFormatting sqref="L5658">
    <cfRule type="expression" dxfId="1866" priority="9027" stopIfTrue="1">
      <formula>OR($L$5658="F/S",$L$5658="")</formula>
    </cfRule>
    <cfRule type="cellIs" dxfId="1865" priority="9028" stopIfTrue="1" operator="notEqual">
      <formula>0</formula>
    </cfRule>
  </conditionalFormatting>
  <conditionalFormatting sqref="O5658">
    <cfRule type="expression" dxfId="1864" priority="9029" stopIfTrue="1">
      <formula>OR($O$5658="F/S",$O$5658="")</formula>
    </cfRule>
    <cfRule type="cellIs" dxfId="1863" priority="9030" stopIfTrue="1" operator="notEqual">
      <formula>0</formula>
    </cfRule>
  </conditionalFormatting>
  <conditionalFormatting sqref="L5668">
    <cfRule type="expression" dxfId="1862" priority="9031" stopIfTrue="1">
      <formula>OR($L$5668="F/S",$L$5668="")</formula>
    </cfRule>
    <cfRule type="cellIs" dxfId="1861" priority="9032" stopIfTrue="1" operator="notEqual">
      <formula>0</formula>
    </cfRule>
  </conditionalFormatting>
  <conditionalFormatting sqref="O5668">
    <cfRule type="expression" dxfId="1860" priority="9033" stopIfTrue="1">
      <formula>OR($O$5668="F/S",$O$5668="")</formula>
    </cfRule>
    <cfRule type="cellIs" dxfId="1859" priority="9034" stopIfTrue="1" operator="notEqual">
      <formula>0</formula>
    </cfRule>
  </conditionalFormatting>
  <conditionalFormatting sqref="L5678">
    <cfRule type="expression" dxfId="1858" priority="9035" stopIfTrue="1">
      <formula>OR($L$5678="F/S",$L$5678="")</formula>
    </cfRule>
    <cfRule type="cellIs" dxfId="1857" priority="9036" stopIfTrue="1" operator="notEqual">
      <formula>0</formula>
    </cfRule>
  </conditionalFormatting>
  <conditionalFormatting sqref="O5678">
    <cfRule type="expression" dxfId="1856" priority="9037" stopIfTrue="1">
      <formula>OR($O$5678="F/S",$O$5678="")</formula>
    </cfRule>
    <cfRule type="cellIs" dxfId="1855" priority="9038" stopIfTrue="1" operator="notEqual">
      <formula>0</formula>
    </cfRule>
  </conditionalFormatting>
  <conditionalFormatting sqref="L5688">
    <cfRule type="expression" dxfId="1854" priority="9039" stopIfTrue="1">
      <formula>OR($L$5688="F/S",$L$5688="")</formula>
    </cfRule>
    <cfRule type="cellIs" dxfId="1853" priority="9040" stopIfTrue="1" operator="notEqual">
      <formula>0</formula>
    </cfRule>
  </conditionalFormatting>
  <conditionalFormatting sqref="O5688">
    <cfRule type="expression" dxfId="1852" priority="9041" stopIfTrue="1">
      <formula>OR($O$5688="F/S",$O$5688="")</formula>
    </cfRule>
    <cfRule type="cellIs" dxfId="1851" priority="9042" stopIfTrue="1" operator="notEqual">
      <formula>0</formula>
    </cfRule>
  </conditionalFormatting>
  <conditionalFormatting sqref="L5698">
    <cfRule type="expression" dxfId="1850" priority="9043" stopIfTrue="1">
      <formula>OR($L$5698="F/S",$L$5698="")</formula>
    </cfRule>
    <cfRule type="cellIs" dxfId="1849" priority="9044" stopIfTrue="1" operator="notEqual">
      <formula>0</formula>
    </cfRule>
  </conditionalFormatting>
  <conditionalFormatting sqref="O5698">
    <cfRule type="expression" dxfId="1848" priority="9045" stopIfTrue="1">
      <formula>OR($O$5698="F/S",$O$5698="")</formula>
    </cfRule>
    <cfRule type="cellIs" dxfId="1847" priority="9046" stopIfTrue="1" operator="notEqual">
      <formula>0</formula>
    </cfRule>
  </conditionalFormatting>
  <conditionalFormatting sqref="L5708">
    <cfRule type="expression" dxfId="1846" priority="9047" stopIfTrue="1">
      <formula>OR($L$5708="F/S",$L$5708="")</formula>
    </cfRule>
    <cfRule type="cellIs" dxfId="1845" priority="9048" stopIfTrue="1" operator="notEqual">
      <formula>0</formula>
    </cfRule>
  </conditionalFormatting>
  <conditionalFormatting sqref="O5708">
    <cfRule type="expression" dxfId="1844" priority="9049" stopIfTrue="1">
      <formula>OR($O$5708="F/S",$O$5708="")</formula>
    </cfRule>
    <cfRule type="cellIs" dxfId="1843" priority="9050" stopIfTrue="1" operator="notEqual">
      <formula>0</formula>
    </cfRule>
  </conditionalFormatting>
  <conditionalFormatting sqref="L5718">
    <cfRule type="expression" dxfId="1842" priority="9051" stopIfTrue="1">
      <formula>OR($L$5718="F/S",$L$5718="")</formula>
    </cfRule>
    <cfRule type="cellIs" dxfId="1841" priority="9052" stopIfTrue="1" operator="notEqual">
      <formula>0</formula>
    </cfRule>
  </conditionalFormatting>
  <conditionalFormatting sqref="O5718">
    <cfRule type="expression" dxfId="1840" priority="9053" stopIfTrue="1">
      <formula>OR($O$5718="F/S",$O$5718="")</formula>
    </cfRule>
    <cfRule type="cellIs" dxfId="1839" priority="9054" stopIfTrue="1" operator="notEqual">
      <formula>0</formula>
    </cfRule>
  </conditionalFormatting>
  <conditionalFormatting sqref="L5728">
    <cfRule type="expression" dxfId="1838" priority="9055" stopIfTrue="1">
      <formula>OR($L$5728="F/S",$L$5728="")</formula>
    </cfRule>
    <cfRule type="cellIs" dxfId="1837" priority="9056" stopIfTrue="1" operator="notEqual">
      <formula>0</formula>
    </cfRule>
  </conditionalFormatting>
  <conditionalFormatting sqref="O5728">
    <cfRule type="expression" dxfId="1836" priority="9057" stopIfTrue="1">
      <formula>OR($O$5728="F/S",$O$5728="")</formula>
    </cfRule>
    <cfRule type="cellIs" dxfId="1835" priority="9058" stopIfTrue="1" operator="notEqual">
      <formula>0</formula>
    </cfRule>
  </conditionalFormatting>
  <conditionalFormatting sqref="L5738">
    <cfRule type="expression" dxfId="1834" priority="9059" stopIfTrue="1">
      <formula>OR($L$5738="F/S",$L$5738="")</formula>
    </cfRule>
    <cfRule type="cellIs" dxfId="1833" priority="9060" stopIfTrue="1" operator="notEqual">
      <formula>0</formula>
    </cfRule>
  </conditionalFormatting>
  <conditionalFormatting sqref="O5738">
    <cfRule type="expression" dxfId="1832" priority="9061" stopIfTrue="1">
      <formula>OR($O$5738="F/S",$O$5738="")</formula>
    </cfRule>
    <cfRule type="cellIs" dxfId="1831" priority="9062" stopIfTrue="1" operator="notEqual">
      <formula>0</formula>
    </cfRule>
  </conditionalFormatting>
  <conditionalFormatting sqref="L5746">
    <cfRule type="expression" dxfId="1830" priority="9063" stopIfTrue="1">
      <formula>OR($L$5746="F/S",$L$5746="")</formula>
    </cfRule>
    <cfRule type="cellIs" dxfId="1829" priority="9064" stopIfTrue="1" operator="notEqual">
      <formula>0</formula>
    </cfRule>
  </conditionalFormatting>
  <conditionalFormatting sqref="O5746">
    <cfRule type="expression" dxfId="1828" priority="9065" stopIfTrue="1">
      <formula>OR($O$5746="F/S",$O$5746="")</formula>
    </cfRule>
    <cfRule type="cellIs" dxfId="1827" priority="9066" stopIfTrue="1" operator="notEqual">
      <formula>0</formula>
    </cfRule>
  </conditionalFormatting>
  <conditionalFormatting sqref="L5761">
    <cfRule type="expression" dxfId="1826" priority="9067" stopIfTrue="1">
      <formula>OR($L$5761="F/S",$L$5761="")</formula>
    </cfRule>
    <cfRule type="cellIs" dxfId="1825" priority="9068" stopIfTrue="1" operator="notEqual">
      <formula>0</formula>
    </cfRule>
  </conditionalFormatting>
  <conditionalFormatting sqref="O5761">
    <cfRule type="expression" dxfId="1824" priority="9069" stopIfTrue="1">
      <formula>OR($O$5761="F/S",$O$5761="")</formula>
    </cfRule>
    <cfRule type="cellIs" dxfId="1823" priority="9070" stopIfTrue="1" operator="notEqual">
      <formula>0</formula>
    </cfRule>
  </conditionalFormatting>
  <conditionalFormatting sqref="L5184">
    <cfRule type="expression" dxfId="1822" priority="9071" stopIfTrue="1">
      <formula>OR($L$5184="F/S",$L$5184="")</formula>
    </cfRule>
    <cfRule type="cellIs" dxfId="1821" priority="9072" stopIfTrue="1" operator="notEqual">
      <formula>0</formula>
    </cfRule>
  </conditionalFormatting>
  <conditionalFormatting sqref="O5184">
    <cfRule type="expression" dxfId="1820" priority="9073" stopIfTrue="1">
      <formula>OR($O$5184="F/S",$O$5184="")</formula>
    </cfRule>
    <cfRule type="cellIs" dxfId="1819" priority="9074" stopIfTrue="1" operator="notEqual">
      <formula>0</formula>
    </cfRule>
  </conditionalFormatting>
  <conditionalFormatting sqref="L5320">
    <cfRule type="expression" dxfId="1818" priority="9087" stopIfTrue="1">
      <formula>OR($L$5320="F/S",$L$5320="")</formula>
    </cfRule>
    <cfRule type="cellIs" dxfId="1817" priority="9088" stopIfTrue="1" operator="notEqual">
      <formula>0</formula>
    </cfRule>
  </conditionalFormatting>
  <conditionalFormatting sqref="O5320">
    <cfRule type="expression" dxfId="1816" priority="9089" stopIfTrue="1">
      <formula>OR($O$5320="F/S",$O$5320="")</formula>
    </cfRule>
    <cfRule type="cellIs" dxfId="1815" priority="9090" stopIfTrue="1" operator="notEqual">
      <formula>0</formula>
    </cfRule>
  </conditionalFormatting>
  <conditionalFormatting sqref="L5337">
    <cfRule type="expression" dxfId="1814" priority="9091" stopIfTrue="1">
      <formula>OR($L$5337="F/S",$L$5337="")</formula>
    </cfRule>
    <cfRule type="cellIs" dxfId="1813" priority="9092" stopIfTrue="1" operator="notEqual">
      <formula>0</formula>
    </cfRule>
  </conditionalFormatting>
  <conditionalFormatting sqref="O5337">
    <cfRule type="expression" dxfId="1812" priority="9093" stopIfTrue="1">
      <formula>OR($O$5337="F/S",$O$5337="")</formula>
    </cfRule>
    <cfRule type="cellIs" dxfId="1811" priority="9094" stopIfTrue="1" operator="notEqual">
      <formula>0</formula>
    </cfRule>
  </conditionalFormatting>
  <conditionalFormatting sqref="L5354">
    <cfRule type="expression" dxfId="1810" priority="9095" stopIfTrue="1">
      <formula>OR($L$5354="F/S",$L$5354="")</formula>
    </cfRule>
    <cfRule type="cellIs" dxfId="1809" priority="9096" stopIfTrue="1" operator="notEqual">
      <formula>0</formula>
    </cfRule>
  </conditionalFormatting>
  <conditionalFormatting sqref="O5354">
    <cfRule type="expression" dxfId="1808" priority="9097" stopIfTrue="1">
      <formula>OR($O$5354="F/S",$O$5354="")</formula>
    </cfRule>
    <cfRule type="cellIs" dxfId="1807" priority="9098" stopIfTrue="1" operator="notEqual">
      <formula>0</formula>
    </cfRule>
  </conditionalFormatting>
  <conditionalFormatting sqref="L5370">
    <cfRule type="expression" dxfId="1806" priority="9099" stopIfTrue="1">
      <formula>OR($L$5370="F/S",$L$5370="")</formula>
    </cfRule>
    <cfRule type="cellIs" dxfId="1805" priority="9100" stopIfTrue="1" operator="notEqual">
      <formula>0</formula>
    </cfRule>
  </conditionalFormatting>
  <conditionalFormatting sqref="O5370">
    <cfRule type="expression" dxfId="1804" priority="9101" stopIfTrue="1">
      <formula>OR($O$5370="F/S",$O$5370="")</formula>
    </cfRule>
    <cfRule type="cellIs" dxfId="1803" priority="9102" stopIfTrue="1" operator="notEqual">
      <formula>0</formula>
    </cfRule>
  </conditionalFormatting>
  <conditionalFormatting sqref="L5386">
    <cfRule type="expression" dxfId="1802" priority="9103" stopIfTrue="1">
      <formula>OR($L$5386="F/S",$L$5386="")</formula>
    </cfRule>
    <cfRule type="cellIs" dxfId="1801" priority="9104" stopIfTrue="1" operator="notEqual">
      <formula>0</formula>
    </cfRule>
  </conditionalFormatting>
  <conditionalFormatting sqref="O5386">
    <cfRule type="expression" dxfId="1800" priority="9105" stopIfTrue="1">
      <formula>OR($O$5386="F/S",$O$5386="")</formula>
    </cfRule>
    <cfRule type="cellIs" dxfId="1799" priority="9106" stopIfTrue="1" operator="notEqual">
      <formula>0</formula>
    </cfRule>
  </conditionalFormatting>
  <conditionalFormatting sqref="L5420">
    <cfRule type="expression" dxfId="1798" priority="9107" stopIfTrue="1">
      <formula>OR($L$5420="F/S",$L$5420="")</formula>
    </cfRule>
    <cfRule type="cellIs" dxfId="1797" priority="9108" stopIfTrue="1" operator="notEqual">
      <formula>0</formula>
    </cfRule>
  </conditionalFormatting>
  <conditionalFormatting sqref="O5420">
    <cfRule type="expression" dxfId="1796" priority="9109" stopIfTrue="1">
      <formula>OR($O$5420="F/S",$O$5420="")</formula>
    </cfRule>
    <cfRule type="cellIs" dxfId="1795" priority="9110" stopIfTrue="1" operator="notEqual">
      <formula>0</formula>
    </cfRule>
  </conditionalFormatting>
  <conditionalFormatting sqref="L5455">
    <cfRule type="expression" dxfId="1794" priority="9111" stopIfTrue="1">
      <formula>OR($L$5455="F/S",$L$5455="")</formula>
    </cfRule>
    <cfRule type="cellIs" dxfId="1793" priority="9112" stopIfTrue="1" operator="notEqual">
      <formula>0</formula>
    </cfRule>
  </conditionalFormatting>
  <conditionalFormatting sqref="O5455">
    <cfRule type="expression" dxfId="1792" priority="9113" stopIfTrue="1">
      <formula>OR($O$5455="F/S",$O$5455="")</formula>
    </cfRule>
    <cfRule type="cellIs" dxfId="1791" priority="9114" stopIfTrue="1" operator="notEqual">
      <formula>0</formula>
    </cfRule>
  </conditionalFormatting>
  <conditionalFormatting sqref="L5602">
    <cfRule type="expression" dxfId="1790" priority="9115" stopIfTrue="1">
      <formula>OR($L$5602="F/S",$L$5602="")</formula>
    </cfRule>
    <cfRule type="cellIs" dxfId="1789" priority="9116" stopIfTrue="1" operator="notEqual">
      <formula>0</formula>
    </cfRule>
  </conditionalFormatting>
  <conditionalFormatting sqref="O5602">
    <cfRule type="expression" dxfId="1788" priority="9117" stopIfTrue="1">
      <formula>OR($O$5602="F/S",$O$5602="")</formula>
    </cfRule>
    <cfRule type="cellIs" dxfId="1787" priority="9118" stopIfTrue="1" operator="notEqual">
      <formula>0</formula>
    </cfRule>
  </conditionalFormatting>
  <conditionalFormatting sqref="L5576">
    <cfRule type="expression" dxfId="1786" priority="9135" stopIfTrue="1">
      <formula>OR($L$5576="F/S",$L$5576="")</formula>
    </cfRule>
    <cfRule type="cellIs" dxfId="1785" priority="9136" stopIfTrue="1" operator="notEqual">
      <formula>0</formula>
    </cfRule>
  </conditionalFormatting>
  <conditionalFormatting sqref="O5576">
    <cfRule type="expression" dxfId="1784" priority="9137" stopIfTrue="1">
      <formula>OR($O$5576="F/S",$O$5576="")</formula>
    </cfRule>
    <cfRule type="cellIs" dxfId="1783" priority="9138" stopIfTrue="1" operator="notEqual">
      <formula>0</formula>
    </cfRule>
  </conditionalFormatting>
  <conditionalFormatting sqref="L5775">
    <cfRule type="expression" dxfId="1782" priority="9143" stopIfTrue="1">
      <formula>OR($L$5775="F/S",$L$5775="")</formula>
    </cfRule>
    <cfRule type="cellIs" dxfId="1781" priority="9144" stopIfTrue="1" operator="notEqual">
      <formula>0</formula>
    </cfRule>
  </conditionalFormatting>
  <conditionalFormatting sqref="O5775">
    <cfRule type="expression" dxfId="1780" priority="9145" stopIfTrue="1">
      <formula>OR($O$5775="F/S",$O$5775="")</formula>
    </cfRule>
    <cfRule type="cellIs" dxfId="1779" priority="9146" stopIfTrue="1" operator="notEqual">
      <formula>0</formula>
    </cfRule>
  </conditionalFormatting>
  <conditionalFormatting sqref="L5276">
    <cfRule type="expression" dxfId="1778" priority="9147" stopIfTrue="1">
      <formula>OR($L$5276="F/S",$L$5276="")</formula>
    </cfRule>
    <cfRule type="cellIs" dxfId="1777" priority="9148" stopIfTrue="1" operator="notEqual">
      <formula>0</formula>
    </cfRule>
  </conditionalFormatting>
  <conditionalFormatting sqref="O5276">
    <cfRule type="expression" dxfId="1776" priority="9149" stopIfTrue="1">
      <formula>OR($O$5276="F/S",$O$5276="")</formula>
    </cfRule>
    <cfRule type="cellIs" dxfId="1775" priority="9150" stopIfTrue="1" operator="notEqual">
      <formula>0</formula>
    </cfRule>
  </conditionalFormatting>
  <conditionalFormatting sqref="L5549">
    <cfRule type="expression" dxfId="1774" priority="9151" stopIfTrue="1">
      <formula>OR($L$5549="F/S",$L$5549="")</formula>
    </cfRule>
    <cfRule type="cellIs" dxfId="1773" priority="9152" stopIfTrue="1" operator="notEqual">
      <formula>0</formula>
    </cfRule>
  </conditionalFormatting>
  <conditionalFormatting sqref="O5549">
    <cfRule type="expression" dxfId="1772" priority="9153" stopIfTrue="1">
      <formula>OR($O$5549="F/S",$O$5549="")</formula>
    </cfRule>
    <cfRule type="cellIs" dxfId="1771" priority="9154" stopIfTrue="1" operator="notEqual">
      <formula>0</formula>
    </cfRule>
  </conditionalFormatting>
  <conditionalFormatting sqref="L5558">
    <cfRule type="expression" dxfId="1770" priority="9155" stopIfTrue="1">
      <formula>OR($L$5558="F/S",$L$5558="")</formula>
    </cfRule>
    <cfRule type="cellIs" dxfId="1769" priority="9156" stopIfTrue="1" operator="notEqual">
      <formula>0</formula>
    </cfRule>
  </conditionalFormatting>
  <conditionalFormatting sqref="O5558">
    <cfRule type="expression" dxfId="1768" priority="9157" stopIfTrue="1">
      <formula>OR($O$5558="F/S",$O$5558="")</formula>
    </cfRule>
    <cfRule type="cellIs" dxfId="1767" priority="9158" stopIfTrue="1" operator="notEqual">
      <formula>0</formula>
    </cfRule>
  </conditionalFormatting>
  <conditionalFormatting sqref="L5291">
    <cfRule type="expression" dxfId="1766" priority="9183" stopIfTrue="1">
      <formula>OR($L$5291="F/S",$L$5291="")</formula>
    </cfRule>
    <cfRule type="cellIs" dxfId="1765" priority="9184" stopIfTrue="1" operator="notEqual">
      <formula>0</formula>
    </cfRule>
  </conditionalFormatting>
  <conditionalFormatting sqref="O5291">
    <cfRule type="expression" dxfId="1764" priority="9185" stopIfTrue="1">
      <formula>OR($O$5291="F/S",$O$5291="")</formula>
    </cfRule>
    <cfRule type="cellIs" dxfId="1763" priority="9186" stopIfTrue="1" operator="notEqual">
      <formula>0</formula>
    </cfRule>
  </conditionalFormatting>
  <conditionalFormatting sqref="L5306">
    <cfRule type="expression" dxfId="1762" priority="9187" stopIfTrue="1">
      <formula>OR($L$5306="F/S",$L$5306="")</formula>
    </cfRule>
    <cfRule type="cellIs" dxfId="1761" priority="9188" stopIfTrue="1" operator="notEqual">
      <formula>0</formula>
    </cfRule>
  </conditionalFormatting>
  <conditionalFormatting sqref="O5306">
    <cfRule type="expression" dxfId="1760" priority="9189" stopIfTrue="1">
      <formula>OR($O$5306="F/S",$O$5306="")</formula>
    </cfRule>
    <cfRule type="cellIs" dxfId="1759" priority="9190" stopIfTrue="1" operator="notEqual">
      <formula>0</formula>
    </cfRule>
  </conditionalFormatting>
  <conditionalFormatting sqref="L5805">
    <cfRule type="expression" dxfId="1758" priority="9191" stopIfTrue="1">
      <formula>OR($L$5805="F/S",$L$5805="")</formula>
    </cfRule>
    <cfRule type="cellIs" dxfId="1757" priority="9192" stopIfTrue="1" operator="notEqual">
      <formula>0</formula>
    </cfRule>
  </conditionalFormatting>
  <conditionalFormatting sqref="O5805">
    <cfRule type="expression" dxfId="1756" priority="9193" stopIfTrue="1">
      <formula>OR($O$5805="F/S",$O$5805="")</formula>
    </cfRule>
    <cfRule type="cellIs" dxfId="1755" priority="9194" stopIfTrue="1" operator="notEqual">
      <formula>0</formula>
    </cfRule>
  </conditionalFormatting>
  <conditionalFormatting sqref="L5847">
    <cfRule type="expression" dxfId="1754" priority="9195" stopIfTrue="1">
      <formula>OR($L$5847="F/S",$L$5847="")</formula>
    </cfRule>
    <cfRule type="cellIs" dxfId="1753" priority="9196" stopIfTrue="1" operator="notEqual">
      <formula>0</formula>
    </cfRule>
  </conditionalFormatting>
  <conditionalFormatting sqref="O5847">
    <cfRule type="expression" dxfId="1752" priority="9197" stopIfTrue="1">
      <formula>OR($O$5847="F/S",$O$5847="")</formula>
    </cfRule>
    <cfRule type="cellIs" dxfId="1751" priority="9198" stopIfTrue="1" operator="notEqual">
      <formula>0</formula>
    </cfRule>
  </conditionalFormatting>
  <conditionalFormatting sqref="L5837">
    <cfRule type="expression" dxfId="1750" priority="9199" stopIfTrue="1">
      <formula>OR($L$5837="F/S",$L$5837="")</formula>
    </cfRule>
    <cfRule type="cellIs" dxfId="1749" priority="9200" stopIfTrue="1" operator="notEqual">
      <formula>0</formula>
    </cfRule>
  </conditionalFormatting>
  <conditionalFormatting sqref="O5837">
    <cfRule type="expression" dxfId="1748" priority="9201" stopIfTrue="1">
      <formula>OR($O$5837="F/S",$O$5837="")</formula>
    </cfRule>
    <cfRule type="cellIs" dxfId="1747" priority="9202" stopIfTrue="1" operator="notEqual">
      <formula>0</formula>
    </cfRule>
  </conditionalFormatting>
  <conditionalFormatting sqref="L5857">
    <cfRule type="expression" dxfId="1746" priority="9203" stopIfTrue="1">
      <formula>OR($L$5857="F/S",$L$5857="")</formula>
    </cfRule>
    <cfRule type="cellIs" dxfId="1745" priority="9204" stopIfTrue="1" operator="notEqual">
      <formula>0</formula>
    </cfRule>
  </conditionalFormatting>
  <conditionalFormatting sqref="O5857">
    <cfRule type="expression" dxfId="1744" priority="9205" stopIfTrue="1">
      <formula>OR($O$5857="F/S",$O$5857="")</formula>
    </cfRule>
    <cfRule type="cellIs" dxfId="1743" priority="9206" stopIfTrue="1" operator="notEqual">
      <formula>0</formula>
    </cfRule>
  </conditionalFormatting>
  <conditionalFormatting sqref="L4985">
    <cfRule type="expression" dxfId="1742" priority="9207" stopIfTrue="1">
      <formula>OR($L$4985="F/S",$L$4985="")</formula>
    </cfRule>
    <cfRule type="cellIs" dxfId="1741" priority="9208" stopIfTrue="1" operator="notEqual">
      <formula>0</formula>
    </cfRule>
  </conditionalFormatting>
  <conditionalFormatting sqref="O4985">
    <cfRule type="expression" dxfId="1740" priority="9209" stopIfTrue="1">
      <formula>OR($O$4985="F/S",$O$4985="")</formula>
    </cfRule>
    <cfRule type="cellIs" dxfId="1739" priority="9210" stopIfTrue="1" operator="notEqual">
      <formula>0</formula>
    </cfRule>
  </conditionalFormatting>
  <conditionalFormatting sqref="L4999">
    <cfRule type="expression" dxfId="1738" priority="9211" stopIfTrue="1">
      <formula>OR($L$4999="F/S",$L$4999="")</formula>
    </cfRule>
    <cfRule type="cellIs" dxfId="1737" priority="9212" stopIfTrue="1" operator="notEqual">
      <formula>0</formula>
    </cfRule>
  </conditionalFormatting>
  <conditionalFormatting sqref="O4999">
    <cfRule type="expression" dxfId="1736" priority="9213" stopIfTrue="1">
      <formula>OR($O$4999="F/S",$O$4999="")</formula>
    </cfRule>
    <cfRule type="cellIs" dxfId="1735" priority="9214" stopIfTrue="1" operator="notEqual">
      <formula>0</formula>
    </cfRule>
  </conditionalFormatting>
  <conditionalFormatting sqref="L5009">
    <cfRule type="expression" dxfId="1734" priority="9215" stopIfTrue="1">
      <formula>OR($L$5009="F/S",$L$5009="")</formula>
    </cfRule>
    <cfRule type="cellIs" dxfId="1733" priority="9216" stopIfTrue="1" operator="notEqual">
      <formula>0</formula>
    </cfRule>
  </conditionalFormatting>
  <conditionalFormatting sqref="O5009">
    <cfRule type="expression" dxfId="1732" priority="9217" stopIfTrue="1">
      <formula>OR($O$5009="F/S",$O$5009="")</formula>
    </cfRule>
    <cfRule type="cellIs" dxfId="1731" priority="9218" stopIfTrue="1" operator="notEqual">
      <formula>0</formula>
    </cfRule>
  </conditionalFormatting>
  <conditionalFormatting sqref="H2701">
    <cfRule type="expression" dxfId="1730" priority="9223">
      <formula>AND(H$2701&lt;&gt;0,H$2701&lt;&gt;"")</formula>
    </cfRule>
    <cfRule type="expression" dxfId="1729" priority="9224" stopIfTrue="1">
      <formula>H$2702&lt;&gt;"√"</formula>
    </cfRule>
  </conditionalFormatting>
  <conditionalFormatting sqref="P2701">
    <cfRule type="expression" dxfId="1728" priority="9225">
      <formula>AND(P$2701&lt;&gt;0,P$2701&lt;&gt;"")</formula>
    </cfRule>
    <cfRule type="expression" dxfId="1727" priority="9226" stopIfTrue="1">
      <formula>P$2702&lt;&gt;"√"</formula>
    </cfRule>
  </conditionalFormatting>
  <conditionalFormatting sqref="K2703">
    <cfRule type="expression" dxfId="1726" priority="9227">
      <formula>AND($K$2703&lt;&gt;0,$K$2703&lt;&gt;"")</formula>
    </cfRule>
    <cfRule type="expression" dxfId="1725" priority="9228" stopIfTrue="1">
      <formula>$L$2703&lt;&gt;"√"</formula>
    </cfRule>
  </conditionalFormatting>
  <conditionalFormatting sqref="H3109">
    <cfRule type="expression" dxfId="1724" priority="9229">
      <formula>AND(H$3109&lt;&gt;0,H$3109&lt;&gt;"")</formula>
    </cfRule>
    <cfRule type="expression" dxfId="1723" priority="9230" stopIfTrue="1">
      <formula>H$3110&lt;&gt;"√"</formula>
    </cfRule>
  </conditionalFormatting>
  <conditionalFormatting sqref="P3109">
    <cfRule type="expression" dxfId="1722" priority="9231">
      <formula>AND(P$3109&lt;&gt;0,P$3109&lt;&gt;"")</formula>
    </cfRule>
    <cfRule type="expression" dxfId="1721" priority="9232" stopIfTrue="1">
      <formula>P$3110&lt;&gt;"√"</formula>
    </cfRule>
  </conditionalFormatting>
  <conditionalFormatting sqref="K3111">
    <cfRule type="expression" dxfId="1720" priority="9233">
      <formula>AND($K$3111&lt;&gt;0,$K$3111&lt;&gt;"")</formula>
    </cfRule>
    <cfRule type="expression" dxfId="1719" priority="9234" stopIfTrue="1">
      <formula>$L$3111&lt;&gt;"√"</formula>
    </cfRule>
  </conditionalFormatting>
  <conditionalFormatting sqref="G4372:G4390">
    <cfRule type="expression" dxfId="1718" priority="9238">
      <formula>$D4372&gt;1</formula>
    </cfRule>
    <cfRule type="expression" dxfId="1717" priority="9239">
      <formula>$C4372="%IN"</formula>
    </cfRule>
    <cfRule type="expression" dxfId="1716" priority="9240" stopIfTrue="1">
      <formula>$E4372=0</formula>
    </cfRule>
  </conditionalFormatting>
  <conditionalFormatting sqref="G5872:G5877">
    <cfRule type="expression" dxfId="1715" priority="9241">
      <formula>$D5872&gt;1</formula>
    </cfRule>
    <cfRule type="expression" dxfId="1714" priority="9242">
      <formula>$C5872="%IN"</formula>
    </cfRule>
    <cfRule type="expression" dxfId="1713" priority="9243" stopIfTrue="1">
      <formula>$E5872=0</formula>
    </cfRule>
  </conditionalFormatting>
  <conditionalFormatting sqref="G5883:G5888">
    <cfRule type="expression" dxfId="1712" priority="9244">
      <formula>$D5883&gt;1</formula>
    </cfRule>
    <cfRule type="expression" dxfId="1711" priority="9245">
      <formula>$C5883="%IN"</formula>
    </cfRule>
    <cfRule type="expression" dxfId="1710" priority="9246" stopIfTrue="1">
      <formula>$E5883=0</formula>
    </cfRule>
  </conditionalFormatting>
  <conditionalFormatting sqref="G5894:G5899">
    <cfRule type="expression" dxfId="1709" priority="9247">
      <formula>$D5894&gt;1</formula>
    </cfRule>
    <cfRule type="expression" dxfId="1708" priority="9248">
      <formula>$C5894="%IN"</formula>
    </cfRule>
    <cfRule type="expression" dxfId="1707" priority="9249" stopIfTrue="1">
      <formula>$E5894=0</formula>
    </cfRule>
  </conditionalFormatting>
  <conditionalFormatting sqref="G5905:G5910">
    <cfRule type="expression" dxfId="1706" priority="9250">
      <formula>$D5905&gt;1</formula>
    </cfRule>
    <cfRule type="expression" dxfId="1705" priority="9251">
      <formula>$C5905="%IN"</formula>
    </cfRule>
    <cfRule type="expression" dxfId="1704" priority="9252" stopIfTrue="1">
      <formula>$E5905=0</formula>
    </cfRule>
  </conditionalFormatting>
  <conditionalFormatting sqref="G5916:G5921">
    <cfRule type="expression" dxfId="1703" priority="9253">
      <formula>$D5916&gt;1</formula>
    </cfRule>
    <cfRule type="expression" dxfId="1702" priority="9254">
      <formula>$C5916="%IN"</formula>
    </cfRule>
    <cfRule type="expression" dxfId="1701" priority="9255" stopIfTrue="1">
      <formula>$E5916=0</formula>
    </cfRule>
  </conditionalFormatting>
  <conditionalFormatting sqref="G5927:G5932">
    <cfRule type="expression" dxfId="1700" priority="9256">
      <formula>$D5927&gt;1</formula>
    </cfRule>
    <cfRule type="expression" dxfId="1699" priority="9257">
      <formula>$C5927="%IN"</formula>
    </cfRule>
    <cfRule type="expression" dxfId="1698" priority="9258" stopIfTrue="1">
      <formula>$E5927=0</formula>
    </cfRule>
  </conditionalFormatting>
  <conditionalFormatting sqref="G5938:G5943">
    <cfRule type="expression" dxfId="1697" priority="9259">
      <formula>$D5938&gt;1</formula>
    </cfRule>
    <cfRule type="expression" dxfId="1696" priority="9260">
      <formula>$C5938="%IN"</formula>
    </cfRule>
    <cfRule type="expression" dxfId="1695" priority="9261" stopIfTrue="1">
      <formula>$E5938=0</formula>
    </cfRule>
  </conditionalFormatting>
  <conditionalFormatting sqref="G5949:G5954">
    <cfRule type="expression" dxfId="1694" priority="9262">
      <formula>$D5949&gt;1</formula>
    </cfRule>
    <cfRule type="expression" dxfId="1693" priority="9263">
      <formula>$C5949="%IN"</formula>
    </cfRule>
    <cfRule type="expression" dxfId="1692" priority="9264" stopIfTrue="1">
      <formula>$E5949=0</formula>
    </cfRule>
  </conditionalFormatting>
  <conditionalFormatting sqref="G5960:G5973">
    <cfRule type="expression" dxfId="1691" priority="9265">
      <formula>$D5960&gt;1</formula>
    </cfRule>
    <cfRule type="expression" dxfId="1690" priority="9266">
      <formula>$C5960="%IN"</formula>
    </cfRule>
    <cfRule type="expression" dxfId="1689" priority="9267" stopIfTrue="1">
      <formula>$E5960=0</formula>
    </cfRule>
  </conditionalFormatting>
  <conditionalFormatting sqref="G5979:G5994">
    <cfRule type="expression" dxfId="1688" priority="9268">
      <formula>$D5979&gt;1</formula>
    </cfRule>
    <cfRule type="expression" dxfId="1687" priority="9269">
      <formula>$C5979="%IN"</formula>
    </cfRule>
    <cfRule type="expression" dxfId="1686" priority="9270" stopIfTrue="1">
      <formula>$E5979=0</formula>
    </cfRule>
  </conditionalFormatting>
  <conditionalFormatting sqref="G6000:G6005">
    <cfRule type="expression" dxfId="1685" priority="9271">
      <formula>$D6000&gt;1</formula>
    </cfRule>
    <cfRule type="expression" dxfId="1684" priority="9272">
      <formula>$C6000="%IN"</formula>
    </cfRule>
    <cfRule type="expression" dxfId="1683" priority="9273" stopIfTrue="1">
      <formula>$E6000=0</formula>
    </cfRule>
  </conditionalFormatting>
  <conditionalFormatting sqref="G6011:G6017">
    <cfRule type="expression" dxfId="1682" priority="9274">
      <formula>$D6011&gt;1</formula>
    </cfRule>
    <cfRule type="expression" dxfId="1681" priority="9275">
      <formula>$C6011="%IN"</formula>
    </cfRule>
    <cfRule type="expression" dxfId="1680" priority="9276" stopIfTrue="1">
      <formula>$E6011=0</formula>
    </cfRule>
  </conditionalFormatting>
  <conditionalFormatting sqref="G6023:G6029">
    <cfRule type="expression" dxfId="1679" priority="9277">
      <formula>$D6023&gt;1</formula>
    </cfRule>
    <cfRule type="expression" dxfId="1678" priority="9278">
      <formula>$C6023="%IN"</formula>
    </cfRule>
    <cfRule type="expression" dxfId="1677" priority="9279" stopIfTrue="1">
      <formula>$E6023=0</formula>
    </cfRule>
  </conditionalFormatting>
  <conditionalFormatting sqref="G6035:G6051">
    <cfRule type="expression" dxfId="1676" priority="9280">
      <formula>$D6035&gt;1</formula>
    </cfRule>
    <cfRule type="expression" dxfId="1675" priority="9281">
      <formula>$C6035="%IN"</formula>
    </cfRule>
    <cfRule type="expression" dxfId="1674" priority="9282" stopIfTrue="1">
      <formula>$E6035=0</formula>
    </cfRule>
  </conditionalFormatting>
  <conditionalFormatting sqref="G6058:G6061">
    <cfRule type="expression" dxfId="1673" priority="9283">
      <formula>$D6058&gt;1</formula>
    </cfRule>
    <cfRule type="expression" dxfId="1672" priority="9284">
      <formula>$C6058="%IN"</formula>
    </cfRule>
    <cfRule type="expression" dxfId="1671" priority="9285" stopIfTrue="1">
      <formula>$E6058=0</formula>
    </cfRule>
  </conditionalFormatting>
  <conditionalFormatting sqref="G6067:G6072">
    <cfRule type="expression" dxfId="1670" priority="9286">
      <formula>$D6067&gt;1</formula>
    </cfRule>
    <cfRule type="expression" dxfId="1669" priority="9287">
      <formula>$C6067="%IN"</formula>
    </cfRule>
    <cfRule type="expression" dxfId="1668" priority="9288" stopIfTrue="1">
      <formula>$E6067=0</formula>
    </cfRule>
  </conditionalFormatting>
  <conditionalFormatting sqref="G6078:G6081">
    <cfRule type="expression" dxfId="1667" priority="9289">
      <formula>$D6078&gt;1</formula>
    </cfRule>
    <cfRule type="expression" dxfId="1666" priority="9290">
      <formula>$C6078="%IN"</formula>
    </cfRule>
    <cfRule type="expression" dxfId="1665" priority="9291" stopIfTrue="1">
      <formula>$E6078=0</formula>
    </cfRule>
  </conditionalFormatting>
  <conditionalFormatting sqref="G6087:G6090">
    <cfRule type="expression" dxfId="1664" priority="9292">
      <formula>$D6087&gt;1</formula>
    </cfRule>
    <cfRule type="expression" dxfId="1663" priority="9293">
      <formula>$C6087="%IN"</formula>
    </cfRule>
    <cfRule type="expression" dxfId="1662" priority="9294" stopIfTrue="1">
      <formula>$E6087=0</formula>
    </cfRule>
  </conditionalFormatting>
  <conditionalFormatting sqref="G6110:G6114">
    <cfRule type="expression" dxfId="1661" priority="9298">
      <formula>$D6110&gt;1</formula>
    </cfRule>
    <cfRule type="expression" dxfId="1660" priority="9299">
      <formula>$C6110="%IN"</formula>
    </cfRule>
    <cfRule type="expression" dxfId="1659" priority="9300" stopIfTrue="1">
      <formula>$E6110=0</formula>
    </cfRule>
  </conditionalFormatting>
  <conditionalFormatting sqref="G6120:G6123">
    <cfRule type="expression" dxfId="1658" priority="9301">
      <formula>$D6120&gt;1</formula>
    </cfRule>
    <cfRule type="expression" dxfId="1657" priority="9302">
      <formula>$C6120="%IN"</formula>
    </cfRule>
    <cfRule type="expression" dxfId="1656" priority="9303" stopIfTrue="1">
      <formula>$E6120=0</formula>
    </cfRule>
  </conditionalFormatting>
  <conditionalFormatting sqref="G6129:G6134">
    <cfRule type="expression" dxfId="1655" priority="9304">
      <formula>$D6129&gt;1</formula>
    </cfRule>
    <cfRule type="expression" dxfId="1654" priority="9305">
      <formula>$C6129="%IN"</formula>
    </cfRule>
    <cfRule type="expression" dxfId="1653" priority="9306" stopIfTrue="1">
      <formula>$E6129=0</formula>
    </cfRule>
  </conditionalFormatting>
  <conditionalFormatting sqref="G6140:G6143">
    <cfRule type="expression" dxfId="1652" priority="9307">
      <formula>$D6140&gt;1</formula>
    </cfRule>
    <cfRule type="expression" dxfId="1651" priority="9308">
      <formula>$C6140="%IN"</formula>
    </cfRule>
    <cfRule type="expression" dxfId="1650" priority="9309" stopIfTrue="1">
      <formula>$E6140=0</formula>
    </cfRule>
  </conditionalFormatting>
  <conditionalFormatting sqref="G6149:G6152">
    <cfRule type="expression" dxfId="1649" priority="9310">
      <formula>$D6149&gt;1</formula>
    </cfRule>
    <cfRule type="expression" dxfId="1648" priority="9311">
      <formula>$C6149="%IN"</formula>
    </cfRule>
    <cfRule type="expression" dxfId="1647" priority="9312" stopIfTrue="1">
      <formula>$E6149=0</formula>
    </cfRule>
  </conditionalFormatting>
  <conditionalFormatting sqref="G6158:G6161">
    <cfRule type="expression" dxfId="1646" priority="9313">
      <formula>$D6158&gt;1</formula>
    </cfRule>
    <cfRule type="expression" dxfId="1645" priority="9314">
      <formula>$C6158="%IN"</formula>
    </cfRule>
    <cfRule type="expression" dxfId="1644" priority="9315" stopIfTrue="1">
      <formula>$E6158=0</formula>
    </cfRule>
  </conditionalFormatting>
  <conditionalFormatting sqref="G6189:G6210">
    <cfRule type="expression" dxfId="1643" priority="9319">
      <formula>$D6189&gt;1</formula>
    </cfRule>
    <cfRule type="expression" dxfId="1642" priority="9320">
      <formula>$C6189="%IN"</formula>
    </cfRule>
    <cfRule type="expression" dxfId="1641" priority="9321" stopIfTrue="1">
      <formula>$E6189=0</formula>
    </cfRule>
  </conditionalFormatting>
  <conditionalFormatting sqref="G6216:G6239">
    <cfRule type="expression" dxfId="1640" priority="9322">
      <formula>$D6216&gt;1</formula>
    </cfRule>
    <cfRule type="expression" dxfId="1639" priority="9323">
      <formula>$C6216="%IN"</formula>
    </cfRule>
    <cfRule type="expression" dxfId="1638" priority="9324" stopIfTrue="1">
      <formula>$E6216=0</formula>
    </cfRule>
  </conditionalFormatting>
  <conditionalFormatting sqref="G6245:G6248">
    <cfRule type="expression" dxfId="1637" priority="9325">
      <formula>$D6245&gt;1</formula>
    </cfRule>
    <cfRule type="expression" dxfId="1636" priority="9326">
      <formula>$C6245="%IN"</formula>
    </cfRule>
    <cfRule type="expression" dxfId="1635" priority="9327" stopIfTrue="1">
      <formula>$E6245=0</formula>
    </cfRule>
  </conditionalFormatting>
  <conditionalFormatting sqref="G13:G17">
    <cfRule type="expression" dxfId="1634" priority="9328">
      <formula>$D13&gt;1</formula>
    </cfRule>
    <cfRule type="expression" dxfId="1633" priority="9329">
      <formula>$C13="%IN"</formula>
    </cfRule>
    <cfRule type="expression" dxfId="1632" priority="9330" stopIfTrue="1">
      <formula>$E13=0</formula>
    </cfRule>
  </conditionalFormatting>
  <conditionalFormatting sqref="I448">
    <cfRule type="expression" dxfId="1631" priority="423" stopIfTrue="1">
      <formula>$I448="适用"</formula>
    </cfRule>
    <cfRule type="expression" dxfId="1630" priority="424" stopIfTrue="1">
      <formula>$I448="不适用"</formula>
    </cfRule>
  </conditionalFormatting>
  <conditionalFormatting sqref="I762">
    <cfRule type="expression" dxfId="1629" priority="406" stopIfTrue="1">
      <formula>$I762="适用"</formula>
    </cfRule>
    <cfRule type="expression" dxfId="1628" priority="407" stopIfTrue="1">
      <formula>$I762="不适用"</formula>
    </cfRule>
  </conditionalFormatting>
  <conditionalFormatting sqref="Q762:Q777">
    <cfRule type="expression" dxfId="1627" priority="405" stopIfTrue="1">
      <formula>$Q762="请输入"</formula>
    </cfRule>
  </conditionalFormatting>
  <conditionalFormatting sqref="L1057">
    <cfRule type="expression" dxfId="1626" priority="9337" stopIfTrue="1">
      <formula>OR($L$1057="F/S",$L$1057="")</formula>
    </cfRule>
    <cfRule type="cellIs" dxfId="1625" priority="9338" stopIfTrue="1" operator="notEqual">
      <formula>0</formula>
    </cfRule>
  </conditionalFormatting>
  <conditionalFormatting sqref="O1057">
    <cfRule type="expression" dxfId="1624" priority="9339" stopIfTrue="1">
      <formula>OR($O$1057="F/S",$O$1057="")</formula>
    </cfRule>
    <cfRule type="cellIs" dxfId="1623" priority="9340" stopIfTrue="1" operator="notEqual">
      <formula>0</formula>
    </cfRule>
  </conditionalFormatting>
  <conditionalFormatting sqref="G4988:G4997">
    <cfRule type="expression" dxfId="1622" priority="9344">
      <formula>$D4988&gt;1</formula>
    </cfRule>
    <cfRule type="expression" dxfId="1621" priority="9345">
      <formula>$C4988="%IN"</formula>
    </cfRule>
    <cfRule type="expression" dxfId="1620" priority="9346" stopIfTrue="1">
      <formula>$E4988=0</formula>
    </cfRule>
  </conditionalFormatting>
  <conditionalFormatting sqref="G6096:G6104">
    <cfRule type="expression" dxfId="1619" priority="9347">
      <formula>$D6096&gt;1</formula>
    </cfRule>
    <cfRule type="expression" dxfId="1618" priority="9348">
      <formula>$C6096="%IN"</formula>
    </cfRule>
    <cfRule type="expression" dxfId="1617" priority="9349" stopIfTrue="1">
      <formula>$E6096=0</formula>
    </cfRule>
  </conditionalFormatting>
  <conditionalFormatting sqref="G5391:G5418">
    <cfRule type="expression" dxfId="1616" priority="9350">
      <formula>$D5391&gt;1</formula>
    </cfRule>
    <cfRule type="expression" dxfId="1615" priority="9351">
      <formula>$C5391="%IN"</formula>
    </cfRule>
    <cfRule type="expression" dxfId="1614" priority="9352" stopIfTrue="1">
      <formula>$E5391=0</formula>
    </cfRule>
  </conditionalFormatting>
  <conditionalFormatting sqref="G5425:G5452">
    <cfRule type="expression" dxfId="1613" priority="9353">
      <formula>$D5425&gt;1</formula>
    </cfRule>
    <cfRule type="expression" dxfId="1612" priority="9354">
      <formula>$C5425="%IN"</formula>
    </cfRule>
    <cfRule type="expression" dxfId="1611" priority="9355" stopIfTrue="1">
      <formula>$E5425=0</formula>
    </cfRule>
  </conditionalFormatting>
  <conditionalFormatting sqref="G3735">
    <cfRule type="expression" dxfId="1610" priority="388">
      <formula>$D3735&gt;1</formula>
    </cfRule>
    <cfRule type="expression" dxfId="1609" priority="389">
      <formula>$C3735="%IN"</formula>
    </cfRule>
    <cfRule type="expression" dxfId="1608" priority="390" stopIfTrue="1">
      <formula>$E3735=0</formula>
    </cfRule>
  </conditionalFormatting>
  <conditionalFormatting sqref="L1079:L1100">
    <cfRule type="expression" dxfId="1607" priority="9359" stopIfTrue="1">
      <formula>OR($L$1079="F/S",$L$1079="")</formula>
    </cfRule>
    <cfRule type="cellIs" dxfId="1606" priority="9360" stopIfTrue="1" operator="notEqual">
      <formula>0</formula>
    </cfRule>
  </conditionalFormatting>
  <conditionalFormatting sqref="O1079:O1100">
    <cfRule type="expression" dxfId="1605" priority="9361" stopIfTrue="1">
      <formula>OR($O$1079="F/S",$O$1079="")</formula>
    </cfRule>
    <cfRule type="cellIs" dxfId="1604" priority="9362" stopIfTrue="1" operator="notEqual">
      <formula>0</formula>
    </cfRule>
  </conditionalFormatting>
  <conditionalFormatting sqref="L1101:L1115">
    <cfRule type="expression" dxfId="1603" priority="9366" stopIfTrue="1">
      <formula>OR($L$1101="F/S",$L$1101="")</formula>
    </cfRule>
    <cfRule type="cellIs" dxfId="1602" priority="9367" stopIfTrue="1" operator="notEqual">
      <formula>0</formula>
    </cfRule>
  </conditionalFormatting>
  <conditionalFormatting sqref="O1101:O1115">
    <cfRule type="expression" dxfId="1601" priority="9368" stopIfTrue="1">
      <formula>OR($O$1101="F/S",$O$1101="")</formula>
    </cfRule>
    <cfRule type="cellIs" dxfId="1600" priority="9369" stopIfTrue="1" operator="notEqual">
      <formula>0</formula>
    </cfRule>
  </conditionalFormatting>
  <conditionalFormatting sqref="L415">
    <cfRule type="expression" dxfId="1599" priority="9379" stopIfTrue="1">
      <formula>OR($L$415="F/S",$L$415="")</formula>
    </cfRule>
    <cfRule type="cellIs" dxfId="1598" priority="9380" stopIfTrue="1" operator="notEqual">
      <formula>0</formula>
    </cfRule>
  </conditionalFormatting>
  <conditionalFormatting sqref="O415">
    <cfRule type="expression" dxfId="1597" priority="9381" stopIfTrue="1">
      <formula>OR($O$415="F/S",$O$415="")</formula>
    </cfRule>
    <cfRule type="cellIs" dxfId="1596" priority="9382" stopIfTrue="1" operator="notEqual">
      <formula>0</formula>
    </cfRule>
  </conditionalFormatting>
  <conditionalFormatting sqref="I415">
    <cfRule type="expression" dxfId="1595" priority="372" stopIfTrue="1">
      <formula>$I415="适用"</formula>
    </cfRule>
    <cfRule type="expression" dxfId="1594" priority="373" stopIfTrue="1">
      <formula>$I415="不适用"</formula>
    </cfRule>
  </conditionalFormatting>
  <conditionalFormatting sqref="Q415">
    <cfRule type="expression" dxfId="1593" priority="371" stopIfTrue="1">
      <formula>$Q415="请输入"</formula>
    </cfRule>
  </conditionalFormatting>
  <conditionalFormatting sqref="G3457:G3462">
    <cfRule type="expression" dxfId="1592" priority="9386">
      <formula>$D3457&gt;1</formula>
    </cfRule>
    <cfRule type="expression" dxfId="1591" priority="9387">
      <formula>$C3457="%IN"</formula>
    </cfRule>
    <cfRule type="expression" dxfId="1590" priority="9388" stopIfTrue="1">
      <formula>$E3457=0</formula>
    </cfRule>
  </conditionalFormatting>
  <conditionalFormatting sqref="G3842:G3847">
    <cfRule type="expression" dxfId="1589" priority="9392">
      <formula>$D3842&gt;1</formula>
    </cfRule>
    <cfRule type="expression" dxfId="1588" priority="9393">
      <formula>$C3842="%IN"</formula>
    </cfRule>
    <cfRule type="expression" dxfId="1587" priority="9394" stopIfTrue="1">
      <formula>$E3842=0</formula>
    </cfRule>
  </conditionalFormatting>
  <conditionalFormatting sqref="G62:G67">
    <cfRule type="expression" dxfId="1586" priority="9395">
      <formula>$D62&gt;1</formula>
    </cfRule>
    <cfRule type="expression" dxfId="1585" priority="9396">
      <formula>$C62="%IN"</formula>
    </cfRule>
    <cfRule type="expression" dxfId="1584" priority="9397" stopIfTrue="1">
      <formula>$E62=0</formula>
    </cfRule>
  </conditionalFormatting>
  <conditionalFormatting sqref="G671:G676">
    <cfRule type="expression" dxfId="1583" priority="9398">
      <formula>$D671&gt;1</formula>
    </cfRule>
    <cfRule type="expression" dxfId="1582" priority="9399">
      <formula>$C671="%IN"</formula>
    </cfRule>
    <cfRule type="expression" dxfId="1581" priority="9400" stopIfTrue="1">
      <formula>$E671=0</formula>
    </cfRule>
  </conditionalFormatting>
  <conditionalFormatting sqref="G3373:G3378">
    <cfRule type="expression" dxfId="1580" priority="9401">
      <formula>$D3373&gt;1</formula>
    </cfRule>
    <cfRule type="expression" dxfId="1579" priority="9402">
      <formula>$C3373="%IN"</formula>
    </cfRule>
    <cfRule type="expression" dxfId="1578" priority="9403" stopIfTrue="1">
      <formula>$E3373=0</formula>
    </cfRule>
  </conditionalFormatting>
  <conditionalFormatting sqref="G3484:G3489">
    <cfRule type="expression" dxfId="1577" priority="9404">
      <formula>$D3484&gt;1</formula>
    </cfRule>
    <cfRule type="expression" dxfId="1576" priority="9405">
      <formula>$C3484="%IN"</formula>
    </cfRule>
    <cfRule type="expression" dxfId="1575" priority="9406" stopIfTrue="1">
      <formula>$E3484=0</formula>
    </cfRule>
  </conditionalFormatting>
  <conditionalFormatting sqref="G3879:G3884">
    <cfRule type="expression" dxfId="1574" priority="9407">
      <formula>$D3879&gt;1</formula>
    </cfRule>
    <cfRule type="expression" dxfId="1573" priority="9408">
      <formula>$C3879="%IN"</formula>
    </cfRule>
    <cfRule type="expression" dxfId="1572" priority="9409" stopIfTrue="1">
      <formula>$E3879=0</formula>
    </cfRule>
  </conditionalFormatting>
  <conditionalFormatting sqref="G2194:G2199">
    <cfRule type="expression" dxfId="1571" priority="9410">
      <formula>$D2194&gt;1</formula>
    </cfRule>
    <cfRule type="expression" dxfId="1570" priority="9411">
      <formula>$C2194="%IN"</formula>
    </cfRule>
    <cfRule type="expression" dxfId="1569" priority="9412" stopIfTrue="1">
      <formula>$E2194=0</formula>
    </cfRule>
  </conditionalFormatting>
  <conditionalFormatting sqref="G4139:G4144">
    <cfRule type="expression" dxfId="1568" priority="9413">
      <formula>$D4139&gt;1</formula>
    </cfRule>
    <cfRule type="expression" dxfId="1567" priority="9414">
      <formula>$C4139="%IN"</formula>
    </cfRule>
    <cfRule type="expression" dxfId="1566" priority="9415" stopIfTrue="1">
      <formula>$E4139=0</formula>
    </cfRule>
  </conditionalFormatting>
  <conditionalFormatting sqref="G4160:G4165">
    <cfRule type="expression" dxfId="1565" priority="9416">
      <formula>$D4160&gt;1</formula>
    </cfRule>
    <cfRule type="expression" dxfId="1564" priority="9417">
      <formula>$C4160="%IN"</formula>
    </cfRule>
    <cfRule type="expression" dxfId="1563" priority="9418" stopIfTrue="1">
      <formula>$E4160=0</formula>
    </cfRule>
  </conditionalFormatting>
  <conditionalFormatting sqref="G2404:G2409">
    <cfRule type="expression" dxfId="1562" priority="9419">
      <formula>$D2404&gt;1</formula>
    </cfRule>
    <cfRule type="expression" dxfId="1561" priority="9420">
      <formula>$C2404="%IN"</formula>
    </cfRule>
    <cfRule type="expression" dxfId="1560" priority="9421" stopIfTrue="1">
      <formula>$E2404=0</formula>
    </cfRule>
  </conditionalFormatting>
  <conditionalFormatting sqref="L306:L307 L310:L315">
    <cfRule type="expression" dxfId="1559" priority="9422" stopIfTrue="1">
      <formula>OR($L$306="F/S",$L$306="")</formula>
    </cfRule>
    <cfRule type="cellIs" dxfId="1558" priority="9423" stopIfTrue="1" operator="notEqual">
      <formula>0</formula>
    </cfRule>
  </conditionalFormatting>
  <conditionalFormatting sqref="O306:O315">
    <cfRule type="expression" dxfId="1557" priority="9424" stopIfTrue="1">
      <formula>OR($O$306="F/S",$O$306="")</formula>
    </cfRule>
    <cfRule type="cellIs" dxfId="1556" priority="9425" stopIfTrue="1" operator="notEqual">
      <formula>0</formula>
    </cfRule>
  </conditionalFormatting>
  <conditionalFormatting sqref="I306">
    <cfRule type="expression" dxfId="1555" priority="353" stopIfTrue="1">
      <formula>$I306="适用"</formula>
    </cfRule>
    <cfRule type="expression" dxfId="1554" priority="354" stopIfTrue="1">
      <formula>$I306="不适用"</formula>
    </cfRule>
  </conditionalFormatting>
  <conditionalFormatting sqref="G309:G314">
    <cfRule type="expression" dxfId="1553" priority="9426">
      <formula>$D309&gt;1</formula>
    </cfRule>
    <cfRule type="expression" dxfId="1552" priority="9427">
      <formula>$C309="%IN"</formula>
    </cfRule>
    <cfRule type="expression" dxfId="1551" priority="9428" stopIfTrue="1">
      <formula>$E309=0</formula>
    </cfRule>
  </conditionalFormatting>
  <conditionalFormatting sqref="L2191:L2192 L2195:L2200">
    <cfRule type="expression" dxfId="1550" priority="9429" stopIfTrue="1">
      <formula>OR($L$2191="F/S",$L$2191="")</formula>
    </cfRule>
    <cfRule type="cellIs" dxfId="1549" priority="9430" stopIfTrue="1" operator="notEqual">
      <formula>0</formula>
    </cfRule>
  </conditionalFormatting>
  <conditionalFormatting sqref="O2191:O2200">
    <cfRule type="expression" dxfId="1548" priority="9431" stopIfTrue="1">
      <formula>OR($O$2191="F/S",$O$2191="")</formula>
    </cfRule>
    <cfRule type="cellIs" dxfId="1547" priority="9432" stopIfTrue="1" operator="notEqual">
      <formula>0</formula>
    </cfRule>
  </conditionalFormatting>
  <conditionalFormatting sqref="L4096:L4098 L4100:L4105">
    <cfRule type="expression" dxfId="1546" priority="9433" stopIfTrue="1">
      <formula>OR($L$4096="F/S",$L$4096="")</formula>
    </cfRule>
    <cfRule type="cellIs" dxfId="1545" priority="9434" stopIfTrue="1" operator="notEqual">
      <formula>0</formula>
    </cfRule>
  </conditionalFormatting>
  <conditionalFormatting sqref="O4096:O4105">
    <cfRule type="expression" dxfId="1544" priority="9435" stopIfTrue="1">
      <formula>OR($O$4096="F/S",$O$4096="")</formula>
    </cfRule>
    <cfRule type="cellIs" dxfId="1543" priority="9436" stopIfTrue="1" operator="notEqual">
      <formula>0</formula>
    </cfRule>
  </conditionalFormatting>
  <conditionalFormatting sqref="I4096">
    <cfRule type="expression" dxfId="1542" priority="333" stopIfTrue="1">
      <formula>$I4096="适用"</formula>
    </cfRule>
    <cfRule type="expression" dxfId="1541" priority="334" stopIfTrue="1">
      <formula>$I4096="不适用"</formula>
    </cfRule>
  </conditionalFormatting>
  <conditionalFormatting sqref="G4099:G4104">
    <cfRule type="expression" dxfId="1540" priority="9437">
      <formula>$D4099&gt;1</formula>
    </cfRule>
    <cfRule type="expression" dxfId="1539" priority="9438">
      <formula>$C4099="%IN"</formula>
    </cfRule>
    <cfRule type="expression" dxfId="1538" priority="9439" stopIfTrue="1">
      <formula>$E4099=0</formula>
    </cfRule>
  </conditionalFormatting>
  <conditionalFormatting sqref="G681:G686">
    <cfRule type="expression" dxfId="1537" priority="9440">
      <formula>$D681&gt;1</formula>
    </cfRule>
    <cfRule type="expression" dxfId="1536" priority="9441">
      <formula>$C681="%IN"</formula>
    </cfRule>
    <cfRule type="expression" dxfId="1535" priority="9442" stopIfTrue="1">
      <formula>$E681=0</formula>
    </cfRule>
  </conditionalFormatting>
  <conditionalFormatting sqref="G1590:G1595">
    <cfRule type="expression" dxfId="1534" priority="9446">
      <formula>$D1590&gt;1</formula>
    </cfRule>
    <cfRule type="expression" dxfId="1533" priority="9447">
      <formula>$C1590="%IN"</formula>
    </cfRule>
    <cfRule type="expression" dxfId="1532" priority="9448" stopIfTrue="1">
      <formula>$E1590=0</formula>
    </cfRule>
  </conditionalFormatting>
  <conditionalFormatting sqref="G1600:G1605">
    <cfRule type="expression" dxfId="1531" priority="9449">
      <formula>$D1600&gt;1</formula>
    </cfRule>
    <cfRule type="expression" dxfId="1530" priority="9450">
      <formula>$C1600="%IN"</formula>
    </cfRule>
    <cfRule type="expression" dxfId="1529" priority="9451" stopIfTrue="1">
      <formula>$E1600=0</formula>
    </cfRule>
  </conditionalFormatting>
  <conditionalFormatting sqref="G3494:G3499">
    <cfRule type="expression" dxfId="1528" priority="9452">
      <formula>$D3494&gt;1</formula>
    </cfRule>
    <cfRule type="expression" dxfId="1527" priority="9453">
      <formula>$C3494="%IN"</formula>
    </cfRule>
    <cfRule type="expression" dxfId="1526" priority="9454" stopIfTrue="1">
      <formula>$E3494=0</formula>
    </cfRule>
  </conditionalFormatting>
  <conditionalFormatting sqref="G3591:G3596">
    <cfRule type="expression" dxfId="1525" priority="9455">
      <formula>$D3591&gt;1</formula>
    </cfRule>
    <cfRule type="expression" dxfId="1524" priority="9456">
      <formula>$C3591="%IN"</formula>
    </cfRule>
    <cfRule type="expression" dxfId="1523" priority="9457" stopIfTrue="1">
      <formula>$E3591=0</formula>
    </cfRule>
  </conditionalFormatting>
  <conditionalFormatting sqref="G3889:G3894">
    <cfRule type="expression" dxfId="1522" priority="9458">
      <formula>$D3889&gt;1</formula>
    </cfRule>
    <cfRule type="expression" dxfId="1521" priority="9459">
      <formula>$C3889="%IN"</formula>
    </cfRule>
    <cfRule type="expression" dxfId="1520" priority="9460" stopIfTrue="1">
      <formula>$E3889=0</formula>
    </cfRule>
  </conditionalFormatting>
  <conditionalFormatting sqref="I2530">
    <cfRule type="expression" dxfId="1519" priority="323" stopIfTrue="1">
      <formula>$I2530="适用"</formula>
    </cfRule>
    <cfRule type="expression" dxfId="1518" priority="324" stopIfTrue="1">
      <formula>$I2530="不适用"</formula>
    </cfRule>
  </conditionalFormatting>
  <conditionalFormatting sqref="Q2530:Q2555">
    <cfRule type="expression" dxfId="1517" priority="322" stopIfTrue="1">
      <formula>$Q2530="请输入"</formula>
    </cfRule>
  </conditionalFormatting>
  <conditionalFormatting sqref="L2543:L2544 L2546:L2555">
    <cfRule type="expression" dxfId="1516" priority="9464" stopIfTrue="1">
      <formula>OR($L$2543="F/S",$L$2543="")</formula>
    </cfRule>
    <cfRule type="cellIs" dxfId="1515" priority="9465" stopIfTrue="1" operator="notEqual">
      <formula>0</formula>
    </cfRule>
  </conditionalFormatting>
  <conditionalFormatting sqref="O2543:O2555">
    <cfRule type="expression" dxfId="1514" priority="9466" stopIfTrue="1">
      <formula>OR($O$2543="F/S",$O$2543="")</formula>
    </cfRule>
    <cfRule type="cellIs" dxfId="1513" priority="9467" stopIfTrue="1" operator="notEqual">
      <formula>0</formula>
    </cfRule>
  </conditionalFormatting>
  <conditionalFormatting sqref="I2543">
    <cfRule type="expression" dxfId="1512" priority="316" stopIfTrue="1">
      <formula>$I2543="适用"</formula>
    </cfRule>
    <cfRule type="expression" dxfId="1511" priority="317" stopIfTrue="1">
      <formula>$I2543="不适用"</formula>
    </cfRule>
  </conditionalFormatting>
  <conditionalFormatting sqref="Q2543:Q2555">
    <cfRule type="expression" dxfId="1510" priority="315" stopIfTrue="1">
      <formula>$Q2543="请输入"</formula>
    </cfRule>
  </conditionalFormatting>
  <conditionalFormatting sqref="G2533:G2541">
    <cfRule type="expression" dxfId="1509" priority="9471">
      <formula>$D2533&gt;1</formula>
    </cfRule>
    <cfRule type="expression" dxfId="1508" priority="9472">
      <formula>$C2533="%IN"</formula>
    </cfRule>
    <cfRule type="expression" dxfId="1507" priority="9473" stopIfTrue="1">
      <formula>$E2533=0</formula>
    </cfRule>
  </conditionalFormatting>
  <conditionalFormatting sqref="G2546:G2554">
    <cfRule type="expression" dxfId="1506" priority="9474">
      <formula>$D2546&gt;1</formula>
    </cfRule>
    <cfRule type="expression" dxfId="1505" priority="9475">
      <formula>$C2546="%IN"</formula>
    </cfRule>
    <cfRule type="expression" dxfId="1504" priority="9476" stopIfTrue="1">
      <formula>$E2546=0</formula>
    </cfRule>
  </conditionalFormatting>
  <conditionalFormatting sqref="L1502:L1509 L1491:L1493 L1496:L1497">
    <cfRule type="expression" dxfId="1503" priority="9480" stopIfTrue="1">
      <formula>OR($L$1491="F/S",$L$1491="")</formula>
    </cfRule>
    <cfRule type="cellIs" dxfId="1502" priority="9481" stopIfTrue="1" operator="notEqual">
      <formula>0</formula>
    </cfRule>
  </conditionalFormatting>
  <conditionalFormatting sqref="O1491:O1509">
    <cfRule type="expression" dxfId="1501" priority="9482" stopIfTrue="1">
      <formula>OR($O$1491="F/S",$O$1491="")</formula>
    </cfRule>
    <cfRule type="cellIs" dxfId="1500" priority="9483" stopIfTrue="1" operator="notEqual">
      <formula>0</formula>
    </cfRule>
  </conditionalFormatting>
  <conditionalFormatting sqref="L2412">
    <cfRule type="expression" dxfId="1499" priority="9487" stopIfTrue="1">
      <formula>OR($L$2412="F/S",$L$2412="")</formula>
    </cfRule>
    <cfRule type="cellIs" dxfId="1498" priority="9488" stopIfTrue="1" operator="notEqual">
      <formula>0</formula>
    </cfRule>
  </conditionalFormatting>
  <conditionalFormatting sqref="O2412:O2430">
    <cfRule type="expression" dxfId="1497" priority="9489" stopIfTrue="1">
      <formula>OR($O$2412="F/S",$O$2412="")</formula>
    </cfRule>
    <cfRule type="cellIs" dxfId="1496" priority="9490" stopIfTrue="1" operator="notEqual">
      <formula>0</formula>
    </cfRule>
  </conditionalFormatting>
  <conditionalFormatting sqref="I2412">
    <cfRule type="expression" dxfId="1495" priority="296" stopIfTrue="1">
      <formula>$I2412="适用"</formula>
    </cfRule>
    <cfRule type="expression" dxfId="1494" priority="297" stopIfTrue="1">
      <formula>$I2412="不适用"</formula>
    </cfRule>
  </conditionalFormatting>
  <conditionalFormatting sqref="G2417:G2422">
    <cfRule type="expression" dxfId="1493" priority="9491">
      <formula>$D2417&gt;1</formula>
    </cfRule>
    <cfRule type="expression" dxfId="1492" priority="9492">
      <formula>$C2417="%IN"</formula>
    </cfRule>
    <cfRule type="expression" dxfId="1491" priority="9493" stopIfTrue="1">
      <formula>$E2417=0</formula>
    </cfRule>
  </conditionalFormatting>
  <conditionalFormatting sqref="L2431">
    <cfRule type="expression" dxfId="1490" priority="9494" stopIfTrue="1">
      <formula>OR($L$2431="F/S",$L$2431="")</formula>
    </cfRule>
    <cfRule type="cellIs" dxfId="1489" priority="9495" stopIfTrue="1" operator="notEqual">
      <formula>0</formula>
    </cfRule>
  </conditionalFormatting>
  <conditionalFormatting sqref="O2431:O2462">
    <cfRule type="expression" dxfId="1488" priority="9496" stopIfTrue="1">
      <formula>OR($O$2431="F/S",$O$2431="")</formula>
    </cfRule>
    <cfRule type="cellIs" dxfId="1487" priority="9497" stopIfTrue="1" operator="notEqual">
      <formula>0</formula>
    </cfRule>
  </conditionalFormatting>
  <conditionalFormatting sqref="I2431">
    <cfRule type="expression" dxfId="1486" priority="289" stopIfTrue="1">
      <formula>$I2431="适用"</formula>
    </cfRule>
    <cfRule type="expression" dxfId="1485" priority="290" stopIfTrue="1">
      <formula>$I2431="不适用"</formula>
    </cfRule>
  </conditionalFormatting>
  <conditionalFormatting sqref="G2434:G2454">
    <cfRule type="expression" dxfId="1484" priority="9498">
      <formula>$D2434&gt;1</formula>
    </cfRule>
    <cfRule type="expression" dxfId="1483" priority="9499">
      <formula>$C2434="%IN"</formula>
    </cfRule>
    <cfRule type="expression" dxfId="1482" priority="9500" stopIfTrue="1">
      <formula>$E2434=0</formula>
    </cfRule>
  </conditionalFormatting>
  <conditionalFormatting sqref="L1027:L1028 L1036:L1042">
    <cfRule type="expression" dxfId="1481" priority="9504" stopIfTrue="1">
      <formula>OR($L$1027="F/S",$L$1027="")</formula>
    </cfRule>
    <cfRule type="cellIs" dxfId="1480" priority="9505" stopIfTrue="1" operator="notEqual">
      <formula>0</formula>
    </cfRule>
  </conditionalFormatting>
  <conditionalFormatting sqref="O1027:O1042">
    <cfRule type="expression" dxfId="1479" priority="9506" stopIfTrue="1">
      <formula>OR($O$1027="F/S",$O$1027="")</formula>
    </cfRule>
    <cfRule type="cellIs" dxfId="1478" priority="9507" stopIfTrue="1" operator="notEqual">
      <formula>0</formula>
    </cfRule>
  </conditionalFormatting>
  <conditionalFormatting sqref="I1027">
    <cfRule type="expression" dxfId="1477" priority="282" stopIfTrue="1">
      <formula>$I1027="适用"</formula>
    </cfRule>
    <cfRule type="expression" dxfId="1476" priority="283" stopIfTrue="1">
      <formula>$I1027="不适用"</formula>
    </cfRule>
  </conditionalFormatting>
  <conditionalFormatting sqref="I1131">
    <cfRule type="expression" dxfId="1475" priority="275" stopIfTrue="1">
      <formula>$I1131="适用"</formula>
    </cfRule>
    <cfRule type="expression" dxfId="1474" priority="276" stopIfTrue="1">
      <formula>$I1131="不适用"</formula>
    </cfRule>
  </conditionalFormatting>
  <conditionalFormatting sqref="Q1131:Q1218">
    <cfRule type="expression" dxfId="1473" priority="274" stopIfTrue="1">
      <formula>$Q1131="请输入"</formula>
    </cfRule>
  </conditionalFormatting>
  <conditionalFormatting sqref="L1145:L1147 L1149:L1166 L1237 L1234:L1235">
    <cfRule type="expression" dxfId="1472" priority="9520" stopIfTrue="1">
      <formula>OR($L$1145="F/S",$L$1145="")</formula>
    </cfRule>
    <cfRule type="cellIs" dxfId="1471" priority="9521" stopIfTrue="1" operator="notEqual">
      <formula>0</formula>
    </cfRule>
  </conditionalFormatting>
  <conditionalFormatting sqref="O1145:O1166">
    <cfRule type="expression" dxfId="1470" priority="9522" stopIfTrue="1">
      <formula>OR($O$1145="F/S",$O$1145="")</formula>
    </cfRule>
    <cfRule type="cellIs" dxfId="1469" priority="9523" stopIfTrue="1" operator="notEqual">
      <formula>0</formula>
    </cfRule>
  </conditionalFormatting>
  <conditionalFormatting sqref="I1145">
    <cfRule type="expression" dxfId="1468" priority="265" stopIfTrue="1">
      <formula>$I1145="适用"</formula>
    </cfRule>
    <cfRule type="expression" dxfId="1467" priority="266" stopIfTrue="1">
      <formula>$I1145="不适用"</formula>
    </cfRule>
  </conditionalFormatting>
  <conditionalFormatting sqref="Q1145:Q1218">
    <cfRule type="expression" dxfId="1466" priority="264" stopIfTrue="1">
      <formula>$Q1145="请输入"</formula>
    </cfRule>
  </conditionalFormatting>
  <conditionalFormatting sqref="L1167:L1188">
    <cfRule type="expression" dxfId="1465" priority="9527" stopIfTrue="1">
      <formula>OR($L$1167="F/S",$L$1167="")</formula>
    </cfRule>
    <cfRule type="cellIs" dxfId="1464" priority="9528" stopIfTrue="1" operator="notEqual">
      <formula>0</formula>
    </cfRule>
  </conditionalFormatting>
  <conditionalFormatting sqref="O1167:O1188">
    <cfRule type="expression" dxfId="1463" priority="9529" stopIfTrue="1">
      <formula>OR($O$1167="F/S",$O$1167="")</formula>
    </cfRule>
    <cfRule type="cellIs" dxfId="1462" priority="9530" stopIfTrue="1" operator="notEqual">
      <formula>0</formula>
    </cfRule>
  </conditionalFormatting>
  <conditionalFormatting sqref="I1167">
    <cfRule type="expression" dxfId="1461" priority="258" stopIfTrue="1">
      <formula>$I1167="适用"</formula>
    </cfRule>
    <cfRule type="expression" dxfId="1460" priority="259" stopIfTrue="1">
      <formula>$I1167="不适用"</formula>
    </cfRule>
  </conditionalFormatting>
  <conditionalFormatting sqref="Q1167:Q1218">
    <cfRule type="expression" dxfId="1459" priority="257" stopIfTrue="1">
      <formula>$Q1167="请输入"</formula>
    </cfRule>
  </conditionalFormatting>
  <conditionalFormatting sqref="L1189:L1203">
    <cfRule type="expression" dxfId="1458" priority="9534" stopIfTrue="1">
      <formula>OR($L$1189="F/S",$L$1189="")</formula>
    </cfRule>
    <cfRule type="cellIs" dxfId="1457" priority="9535" stopIfTrue="1" operator="notEqual">
      <formula>0</formula>
    </cfRule>
  </conditionalFormatting>
  <conditionalFormatting sqref="O1189:O1203">
    <cfRule type="expression" dxfId="1456" priority="9536" stopIfTrue="1">
      <formula>OR($O$1189="F/S",$O$1189="")</formula>
    </cfRule>
    <cfRule type="cellIs" dxfId="1455" priority="9537" stopIfTrue="1" operator="notEqual">
      <formula>0</formula>
    </cfRule>
  </conditionalFormatting>
  <conditionalFormatting sqref="I1189">
    <cfRule type="expression" dxfId="1454" priority="251" stopIfTrue="1">
      <formula>$I1189="适用"</formula>
    </cfRule>
    <cfRule type="expression" dxfId="1453" priority="252" stopIfTrue="1">
      <formula>$I1189="不适用"</formula>
    </cfRule>
  </conditionalFormatting>
  <conditionalFormatting sqref="Q1189:Q1218">
    <cfRule type="expression" dxfId="1452" priority="250" stopIfTrue="1">
      <formula>$Q1189="请输入"</formula>
    </cfRule>
  </conditionalFormatting>
  <conditionalFormatting sqref="L1204:L1218">
    <cfRule type="expression" dxfId="1451" priority="9541" stopIfTrue="1">
      <formula>OR($L$1204="F/S",$L$1204="")</formula>
    </cfRule>
    <cfRule type="cellIs" dxfId="1450" priority="9542" stopIfTrue="1" operator="notEqual">
      <formula>0</formula>
    </cfRule>
  </conditionalFormatting>
  <conditionalFormatting sqref="O1204:O1218">
    <cfRule type="expression" dxfId="1449" priority="9543" stopIfTrue="1">
      <formula>OR($O$1204="F/S",$O$1204="")</formula>
    </cfRule>
    <cfRule type="cellIs" dxfId="1448" priority="9544" stopIfTrue="1" operator="notEqual">
      <formula>0</formula>
    </cfRule>
  </conditionalFormatting>
  <conditionalFormatting sqref="I1204">
    <cfRule type="expression" dxfId="1447" priority="244" stopIfTrue="1">
      <formula>$I1204="适用"</formula>
    </cfRule>
    <cfRule type="expression" dxfId="1446" priority="245" stopIfTrue="1">
      <formula>$I1204="不适用"</formula>
    </cfRule>
  </conditionalFormatting>
  <conditionalFormatting sqref="Q1204:Q1218">
    <cfRule type="expression" dxfId="1445" priority="243" stopIfTrue="1">
      <formula>$Q1204="请输入"</formula>
    </cfRule>
  </conditionalFormatting>
  <conditionalFormatting sqref="L1233:L1247 L1252:L1254">
    <cfRule type="expression" dxfId="1444" priority="9548" stopIfTrue="1">
      <formula>OR($L$1233="F/S",$L$1233="")</formula>
    </cfRule>
    <cfRule type="cellIs" dxfId="1443" priority="9549" stopIfTrue="1" operator="notEqual">
      <formula>0</formula>
    </cfRule>
  </conditionalFormatting>
  <conditionalFormatting sqref="O1233:O1254">
    <cfRule type="expression" dxfId="1442" priority="9550" stopIfTrue="1">
      <formula>OR($O$1233="F/S",$O$1233="")</formula>
    </cfRule>
    <cfRule type="cellIs" dxfId="1441" priority="9551" stopIfTrue="1" operator="notEqual">
      <formula>0</formula>
    </cfRule>
  </conditionalFormatting>
  <conditionalFormatting sqref="I1233">
    <cfRule type="expression" dxfId="1440" priority="237" stopIfTrue="1">
      <formula>$I1233="适用"</formula>
    </cfRule>
    <cfRule type="expression" dxfId="1439" priority="238" stopIfTrue="1">
      <formula>$I1233="不适用"</formula>
    </cfRule>
  </conditionalFormatting>
  <conditionalFormatting sqref="Q1233:Q1306">
    <cfRule type="expression" dxfId="1438" priority="236" stopIfTrue="1">
      <formula>$Q1233="请输入"</formula>
    </cfRule>
  </conditionalFormatting>
  <conditionalFormatting sqref="L1255:L1276">
    <cfRule type="expression" dxfId="1437" priority="9555" stopIfTrue="1">
      <formula>OR($L$1255="F/S",$L$1255="")</formula>
    </cfRule>
    <cfRule type="cellIs" dxfId="1436" priority="9556" stopIfTrue="1" operator="notEqual">
      <formula>0</formula>
    </cfRule>
  </conditionalFormatting>
  <conditionalFormatting sqref="O1255:O1276">
    <cfRule type="expression" dxfId="1435" priority="9557" stopIfTrue="1">
      <formula>OR($O$1255="F/S",$O$1255="")</formula>
    </cfRule>
    <cfRule type="cellIs" dxfId="1434" priority="9558" stopIfTrue="1" operator="notEqual">
      <formula>0</formula>
    </cfRule>
  </conditionalFormatting>
  <conditionalFormatting sqref="I1255">
    <cfRule type="expression" dxfId="1433" priority="230" stopIfTrue="1">
      <formula>$I1255="适用"</formula>
    </cfRule>
    <cfRule type="expression" dxfId="1432" priority="231" stopIfTrue="1">
      <formula>$I1255="不适用"</formula>
    </cfRule>
  </conditionalFormatting>
  <conditionalFormatting sqref="Q1255:Q1306">
    <cfRule type="expression" dxfId="1431" priority="229" stopIfTrue="1">
      <formula>$Q1255="请输入"</formula>
    </cfRule>
  </conditionalFormatting>
  <conditionalFormatting sqref="L1277:L1291">
    <cfRule type="expression" dxfId="1430" priority="9562" stopIfTrue="1">
      <formula>OR($L$1277="F/S",$L$1277="")</formula>
    </cfRule>
    <cfRule type="cellIs" dxfId="1429" priority="9563" stopIfTrue="1" operator="notEqual">
      <formula>0</formula>
    </cfRule>
  </conditionalFormatting>
  <conditionalFormatting sqref="O1277:O1291">
    <cfRule type="expression" dxfId="1428" priority="9564" stopIfTrue="1">
      <formula>OR($O$1277="F/S",$O$1277="")</formula>
    </cfRule>
    <cfRule type="cellIs" dxfId="1427" priority="9565" stopIfTrue="1" operator="notEqual">
      <formula>0</formula>
    </cfRule>
  </conditionalFormatting>
  <conditionalFormatting sqref="I1277">
    <cfRule type="expression" dxfId="1426" priority="223" stopIfTrue="1">
      <formula>$I1277="适用"</formula>
    </cfRule>
    <cfRule type="expression" dxfId="1425" priority="224" stopIfTrue="1">
      <formula>$I1277="不适用"</formula>
    </cfRule>
  </conditionalFormatting>
  <conditionalFormatting sqref="Q1277:Q1306">
    <cfRule type="expression" dxfId="1424" priority="222" stopIfTrue="1">
      <formula>$Q1277="请输入"</formula>
    </cfRule>
  </conditionalFormatting>
  <conditionalFormatting sqref="L1292:L1306">
    <cfRule type="expression" dxfId="1423" priority="9569" stopIfTrue="1">
      <formula>OR($L$1292="F/S",$L$1292="")</formula>
    </cfRule>
    <cfRule type="cellIs" dxfId="1422" priority="9570" stopIfTrue="1" operator="notEqual">
      <formula>0</formula>
    </cfRule>
  </conditionalFormatting>
  <conditionalFormatting sqref="O1292:O1306">
    <cfRule type="expression" dxfId="1421" priority="9571" stopIfTrue="1">
      <formula>OR($O$1292="F/S",$O$1292="")</formula>
    </cfRule>
    <cfRule type="cellIs" dxfId="1420" priority="9572" stopIfTrue="1" operator="notEqual">
      <formula>0</formula>
    </cfRule>
  </conditionalFormatting>
  <conditionalFormatting sqref="I1292">
    <cfRule type="expression" dxfId="1419" priority="216" stopIfTrue="1">
      <formula>$I1292="适用"</formula>
    </cfRule>
    <cfRule type="expression" dxfId="1418" priority="217" stopIfTrue="1">
      <formula>$I1292="不适用"</formula>
    </cfRule>
  </conditionalFormatting>
  <conditionalFormatting sqref="Q1292:Q1306">
    <cfRule type="expression" dxfId="1417" priority="215" stopIfTrue="1">
      <formula>$Q1292="请输入"</formula>
    </cfRule>
  </conditionalFormatting>
  <conditionalFormatting sqref="G1209:G1217">
    <cfRule type="expression" dxfId="1416" priority="9585">
      <formula>$D1209&gt;1</formula>
    </cfRule>
    <cfRule type="expression" dxfId="1415" priority="9586">
      <formula>$C1209="%IN"</formula>
    </cfRule>
    <cfRule type="expression" dxfId="1414" priority="9587" stopIfTrue="1">
      <formula>$E1209=0</formula>
    </cfRule>
  </conditionalFormatting>
  <conditionalFormatting sqref="G1282:G1290">
    <cfRule type="expression" dxfId="1413" priority="9594">
      <formula>$D1282&gt;1</formula>
    </cfRule>
    <cfRule type="expression" dxfId="1412" priority="9595">
      <formula>$C1282="%IN"</formula>
    </cfRule>
    <cfRule type="expression" dxfId="1411" priority="9596" stopIfTrue="1">
      <formula>$E1282=0</formula>
    </cfRule>
  </conditionalFormatting>
  <conditionalFormatting sqref="G1297:G1305">
    <cfRule type="expression" dxfId="1410" priority="9597">
      <formula>$D1297&gt;1</formula>
    </cfRule>
    <cfRule type="expression" dxfId="1409" priority="9598">
      <formula>$C1297="%IN"</formula>
    </cfRule>
    <cfRule type="expression" dxfId="1408" priority="9599" stopIfTrue="1">
      <formula>$E1297=0</formula>
    </cfRule>
  </conditionalFormatting>
  <conditionalFormatting sqref="G1282:G1289">
    <cfRule type="expression" dxfId="1407" priority="183">
      <formula>$D1282&gt;1</formula>
    </cfRule>
    <cfRule type="expression" dxfId="1406" priority="184">
      <formula>$C1282="%IN"</formula>
    </cfRule>
    <cfRule type="expression" dxfId="1405" priority="185" stopIfTrue="1">
      <formula>$E1282=0</formula>
    </cfRule>
  </conditionalFormatting>
  <conditionalFormatting sqref="G1282:G1289">
    <cfRule type="expression" dxfId="1404" priority="180">
      <formula>$D1282&gt;1</formula>
    </cfRule>
    <cfRule type="expression" dxfId="1403" priority="181">
      <formula>$C1282="%IN"</formula>
    </cfRule>
    <cfRule type="expression" dxfId="1402" priority="182" stopIfTrue="1">
      <formula>$E1282=0</formula>
    </cfRule>
  </conditionalFormatting>
  <conditionalFormatting sqref="G1121:G1129">
    <cfRule type="expression" dxfId="1401" priority="9606">
      <formula>$D1121&gt;1</formula>
    </cfRule>
    <cfRule type="expression" dxfId="1400" priority="9607">
      <formula>$C1121="%IN"</formula>
    </cfRule>
    <cfRule type="expression" dxfId="1399" priority="9608" stopIfTrue="1">
      <formula>$E1121=0</formula>
    </cfRule>
  </conditionalFormatting>
  <conditionalFormatting sqref="G1194:G1202">
    <cfRule type="expression" dxfId="1398" priority="9609">
      <formula>$D1194&gt;1</formula>
    </cfRule>
    <cfRule type="expression" dxfId="1397" priority="9610">
      <formula>$C1194="%IN"</formula>
    </cfRule>
    <cfRule type="expression" dxfId="1396" priority="9611" stopIfTrue="1">
      <formula>$E1194=0</formula>
    </cfRule>
  </conditionalFormatting>
  <conditionalFormatting sqref="G1282:G1289">
    <cfRule type="expression" dxfId="1395" priority="177">
      <formula>$D1282&gt;1</formula>
    </cfRule>
    <cfRule type="expression" dxfId="1394" priority="178">
      <formula>$C1282="%IN"</formula>
    </cfRule>
    <cfRule type="expression" dxfId="1393" priority="179" stopIfTrue="1">
      <formula>$E1282=0</formula>
    </cfRule>
  </conditionalFormatting>
  <conditionalFormatting sqref="G1106:G1114">
    <cfRule type="expression" dxfId="1392" priority="9612">
      <formula>$D1106&gt;1</formula>
    </cfRule>
    <cfRule type="expression" dxfId="1391" priority="9613">
      <formula>$C1106="%IN"</formula>
    </cfRule>
    <cfRule type="expression" dxfId="1390" priority="9614" stopIfTrue="1">
      <formula>$E1106=0</formula>
    </cfRule>
  </conditionalFormatting>
  <conditionalFormatting sqref="L2218:L2219 L2227:L2233">
    <cfRule type="expression" dxfId="1389" priority="9627" stopIfTrue="1">
      <formula>OR($L$2218="F/S",$L$2218="")</formula>
    </cfRule>
    <cfRule type="cellIs" dxfId="1388" priority="9628" stopIfTrue="1" operator="notEqual">
      <formula>0</formula>
    </cfRule>
  </conditionalFormatting>
  <conditionalFormatting sqref="O2218:O2219 O2227:O2233">
    <cfRule type="expression" dxfId="1387" priority="9629" stopIfTrue="1">
      <formula>OR($O$2218="F/S",$O$2218="")</formula>
    </cfRule>
    <cfRule type="cellIs" dxfId="1386" priority="9630" stopIfTrue="1" operator="notEqual">
      <formula>0</formula>
    </cfRule>
  </conditionalFormatting>
  <conditionalFormatting sqref="I2218">
    <cfRule type="expression" dxfId="1385" priority="169" stopIfTrue="1">
      <formula>$I2218="适用"</formula>
    </cfRule>
    <cfRule type="expression" dxfId="1384" priority="170" stopIfTrue="1">
      <formula>$I2218="不适用"</formula>
    </cfRule>
  </conditionalFormatting>
  <conditionalFormatting sqref="G2320:G2328">
    <cfRule type="expression" dxfId="1383" priority="9634">
      <formula>$D2320&gt;1</formula>
    </cfRule>
    <cfRule type="expression" dxfId="1382" priority="9635">
      <formula>$C2320="%IN"</formula>
    </cfRule>
    <cfRule type="expression" dxfId="1381" priority="9636" stopIfTrue="1">
      <formula>$E2320=0</formula>
    </cfRule>
  </conditionalFormatting>
  <conditionalFormatting sqref="G420:G428">
    <cfRule type="expression" dxfId="1380" priority="9640">
      <formula>$D420&gt;1</formula>
    </cfRule>
    <cfRule type="expression" dxfId="1379" priority="9641">
      <formula>$C420="%IN"</formula>
    </cfRule>
    <cfRule type="expression" dxfId="1378" priority="9642" stopIfTrue="1">
      <formula>$E420=0</formula>
    </cfRule>
  </conditionalFormatting>
  <conditionalFormatting sqref="G405:G413">
    <cfRule type="expression" dxfId="1377" priority="9643">
      <formula>$D405&gt;1</formula>
    </cfRule>
    <cfRule type="expression" dxfId="1376" priority="9644">
      <formula>$C405="%IN"</formula>
    </cfRule>
    <cfRule type="expression" dxfId="1375" priority="9645" stopIfTrue="1">
      <formula>$E405=0</formula>
    </cfRule>
  </conditionalFormatting>
  <conditionalFormatting sqref="G112:G117 G693:G695 G435:G439">
    <cfRule type="expression" dxfId="1374" priority="9649">
      <formula>$D112&gt;1</formula>
    </cfRule>
    <cfRule type="expression" dxfId="1373" priority="9650">
      <formula>$C112="%IN"</formula>
    </cfRule>
    <cfRule type="expression" dxfId="1372" priority="9651" stopIfTrue="1">
      <formula>$E112=0</formula>
    </cfRule>
  </conditionalFormatting>
  <conditionalFormatting sqref="G133:G136">
    <cfRule type="expression" dxfId="1371" priority="9652">
      <formula>$D133&gt;1</formula>
    </cfRule>
    <cfRule type="expression" dxfId="1370" priority="9653">
      <formula>$C133="%IN"</formula>
    </cfRule>
    <cfRule type="expression" dxfId="1369" priority="9654" stopIfTrue="1">
      <formula>$E133=0</formula>
    </cfRule>
  </conditionalFormatting>
  <conditionalFormatting sqref="G74:G87">
    <cfRule type="expression" dxfId="1368" priority="9658">
      <formula>$D74&gt;1</formula>
    </cfRule>
    <cfRule type="expression" dxfId="1367" priority="9659">
      <formula>$C74="%IN"</formula>
    </cfRule>
    <cfRule type="expression" dxfId="1366" priority="9660" stopIfTrue="1">
      <formula>$E74=0</formula>
    </cfRule>
  </conditionalFormatting>
  <conditionalFormatting sqref="G163:G168">
    <cfRule type="expression" dxfId="1365" priority="9664">
      <formula>$D163&gt;1</formula>
    </cfRule>
    <cfRule type="expression" dxfId="1364" priority="9665">
      <formula>$C163="%IN"</formula>
    </cfRule>
    <cfRule type="expression" dxfId="1363" priority="9666" stopIfTrue="1">
      <formula>$E163=0</formula>
    </cfRule>
  </conditionalFormatting>
  <conditionalFormatting sqref="G175:G183">
    <cfRule type="expression" dxfId="1362" priority="9667">
      <formula>$D175&gt;1</formula>
    </cfRule>
    <cfRule type="expression" dxfId="1361" priority="9668">
      <formula>$C175="%IN"</formula>
    </cfRule>
    <cfRule type="expression" dxfId="1360" priority="9669" stopIfTrue="1">
      <formula>$E175=0</formula>
    </cfRule>
  </conditionalFormatting>
  <conditionalFormatting sqref="G197:G205">
    <cfRule type="expression" dxfId="1359" priority="9670">
      <formula>$D197&gt;1</formula>
    </cfRule>
    <cfRule type="expression" dxfId="1358" priority="9671">
      <formula>$C197="%IN"</formula>
    </cfRule>
    <cfRule type="expression" dxfId="1357" priority="9672" stopIfTrue="1">
      <formula>$E197=0</formula>
    </cfRule>
  </conditionalFormatting>
  <conditionalFormatting sqref="G256:G264">
    <cfRule type="expression" dxfId="1356" priority="9676">
      <formula>$D256&gt;1</formula>
    </cfRule>
    <cfRule type="expression" dxfId="1355" priority="9677">
      <formula>$C256="%IN"</formula>
    </cfRule>
    <cfRule type="expression" dxfId="1354" priority="9678" stopIfTrue="1">
      <formula>$E256=0</formula>
    </cfRule>
  </conditionalFormatting>
  <conditionalFormatting sqref="G276:G284">
    <cfRule type="expression" dxfId="1353" priority="9679">
      <formula>$D276&gt;1</formula>
    </cfRule>
    <cfRule type="expression" dxfId="1352" priority="9680">
      <formula>$C276="%IN"</formula>
    </cfRule>
    <cfRule type="expression" dxfId="1351" priority="9681" stopIfTrue="1">
      <formula>$E276=0</formula>
    </cfRule>
  </conditionalFormatting>
  <conditionalFormatting sqref="G289:G291">
    <cfRule type="expression" dxfId="1350" priority="9682">
      <formula>$D289&gt;1</formula>
    </cfRule>
    <cfRule type="expression" dxfId="1349" priority="9683">
      <formula>$C289="%IN"</formula>
    </cfRule>
    <cfRule type="expression" dxfId="1348" priority="9684" stopIfTrue="1">
      <formula>$E289=0</formula>
    </cfRule>
  </conditionalFormatting>
  <conditionalFormatting sqref="G296:G304">
    <cfRule type="expression" dxfId="1347" priority="9685">
      <formula>$D296&gt;1</formula>
    </cfRule>
    <cfRule type="expression" dxfId="1346" priority="9686">
      <formula>$C296="%IN"</formula>
    </cfRule>
    <cfRule type="expression" dxfId="1345" priority="9687" stopIfTrue="1">
      <formula>$E296=0</formula>
    </cfRule>
  </conditionalFormatting>
  <conditionalFormatting sqref="H188">
    <cfRule type="expression" dxfId="1344" priority="9688">
      <formula>AND(H$188&lt;&gt;0,H$188&lt;&gt;"")</formula>
    </cfRule>
    <cfRule type="expression" dxfId="1343" priority="9689" stopIfTrue="1">
      <formula>H$189&lt;&gt;"√"</formula>
    </cfRule>
  </conditionalFormatting>
  <conditionalFormatting sqref="J188">
    <cfRule type="expression" dxfId="1342" priority="9690">
      <formula>AND(J$188&lt;&gt;0,J$188&lt;&gt;"")</formula>
    </cfRule>
    <cfRule type="expression" dxfId="1341" priority="9691" stopIfTrue="1">
      <formula>J$189&lt;&gt;"√"</formula>
    </cfRule>
  </conditionalFormatting>
  <conditionalFormatting sqref="L188">
    <cfRule type="expression" dxfId="1340" priority="9692">
      <formula>AND(L$188&lt;&gt;0,L$188&lt;&gt;"")</formula>
    </cfRule>
    <cfRule type="expression" dxfId="1339" priority="9693" stopIfTrue="1">
      <formula>L$189&lt;&gt;"√"</formula>
    </cfRule>
  </conditionalFormatting>
  <conditionalFormatting sqref="K190">
    <cfRule type="expression" dxfId="1338" priority="9694">
      <formula>AND($K$190&lt;&gt;0,$K$190&lt;&gt;"")</formula>
    </cfRule>
    <cfRule type="expression" dxfId="1337" priority="9695" stopIfTrue="1">
      <formula>$L$190&lt;&gt;"√"</formula>
    </cfRule>
  </conditionalFormatting>
  <conditionalFormatting sqref="H210">
    <cfRule type="expression" dxfId="1336" priority="9696">
      <formula>AND(H$210&lt;&gt;0,H$210&lt;&gt;"")</formula>
    </cfRule>
    <cfRule type="expression" dxfId="1335" priority="9697" stopIfTrue="1">
      <formula>H$211&lt;&gt;"√"</formula>
    </cfRule>
  </conditionalFormatting>
  <conditionalFormatting sqref="I210">
    <cfRule type="expression" dxfId="1334" priority="9698">
      <formula>AND(I$210&lt;&gt;0,I$210&lt;&gt;"")</formula>
    </cfRule>
    <cfRule type="expression" dxfId="1333" priority="9699" stopIfTrue="1">
      <formula>I$211&lt;&gt;"√"</formula>
    </cfRule>
  </conditionalFormatting>
  <conditionalFormatting sqref="K212">
    <cfRule type="expression" dxfId="1332" priority="9700">
      <formula>AND($K$212&lt;&gt;0,$K$212&lt;&gt;"")</formula>
    </cfRule>
    <cfRule type="expression" dxfId="1331" priority="9701" stopIfTrue="1">
      <formula>$L$212&lt;&gt;"√"</formula>
    </cfRule>
  </conditionalFormatting>
  <conditionalFormatting sqref="H232">
    <cfRule type="expression" dxfId="1330" priority="9702">
      <formula>AND(H$232&lt;&gt;0,H$232&lt;&gt;"")</formula>
    </cfRule>
    <cfRule type="expression" dxfId="1329" priority="9703" stopIfTrue="1">
      <formula>H$233&lt;&gt;"√"</formula>
    </cfRule>
  </conditionalFormatting>
  <conditionalFormatting sqref="I232">
    <cfRule type="expression" dxfId="1328" priority="9704">
      <formula>AND(I$232&lt;&gt;0,I$232&lt;&gt;"")</formula>
    </cfRule>
    <cfRule type="expression" dxfId="1327" priority="9705" stopIfTrue="1">
      <formula>I$233&lt;&gt;"√"</formula>
    </cfRule>
  </conditionalFormatting>
  <conditionalFormatting sqref="K234">
    <cfRule type="expression" dxfId="1326" priority="9706">
      <formula>AND($K$234&lt;&gt;0,$K$234&lt;&gt;"")</formula>
    </cfRule>
    <cfRule type="expression" dxfId="1325" priority="9707" stopIfTrue="1">
      <formula>$L$234&lt;&gt;"√"</formula>
    </cfRule>
  </conditionalFormatting>
  <conditionalFormatting sqref="H269">
    <cfRule type="expression" dxfId="1324" priority="9708">
      <formula>AND(H$269&lt;&gt;0,H$269&lt;&gt;"")</formula>
    </cfRule>
    <cfRule type="expression" dxfId="1323" priority="9709" stopIfTrue="1">
      <formula>H$270&lt;&gt;"√"</formula>
    </cfRule>
  </conditionalFormatting>
  <conditionalFormatting sqref="N269">
    <cfRule type="expression" dxfId="1322" priority="9710">
      <formula>AND(N$269&lt;&gt;0,N$269&lt;&gt;"")</formula>
    </cfRule>
    <cfRule type="expression" dxfId="1321" priority="9711" stopIfTrue="1">
      <formula>N$270&lt;&gt;"√"</formula>
    </cfRule>
  </conditionalFormatting>
  <conditionalFormatting sqref="K271">
    <cfRule type="expression" dxfId="1320" priority="9712">
      <formula>AND($K$271&lt;&gt;0,$K$271&lt;&gt;"")</formula>
    </cfRule>
    <cfRule type="expression" dxfId="1319" priority="9713" stopIfTrue="1">
      <formula>$L$271&lt;&gt;"√"</formula>
    </cfRule>
  </conditionalFormatting>
  <conditionalFormatting sqref="G320:G332">
    <cfRule type="expression" dxfId="1318" priority="9714">
      <formula>$D320&gt;1</formula>
    </cfRule>
    <cfRule type="expression" dxfId="1317" priority="9715">
      <formula>$C320="%IN"</formula>
    </cfRule>
    <cfRule type="expression" dxfId="1316" priority="9716" stopIfTrue="1">
      <formula>$E320=0</formula>
    </cfRule>
  </conditionalFormatting>
  <conditionalFormatting sqref="G339:G347">
    <cfRule type="expression" dxfId="1315" priority="9717">
      <formula>$D339&gt;1</formula>
    </cfRule>
    <cfRule type="expression" dxfId="1314" priority="9718">
      <formula>$C339="%IN"</formula>
    </cfRule>
    <cfRule type="expression" dxfId="1313" priority="9719" stopIfTrue="1">
      <formula>$E339=0</formula>
    </cfRule>
  </conditionalFormatting>
  <conditionalFormatting sqref="G361:G369">
    <cfRule type="expression" dxfId="1312" priority="9723">
      <formula>$D361&gt;1</formula>
    </cfRule>
    <cfRule type="expression" dxfId="1311" priority="9724">
      <formula>$C361="%IN"</formula>
    </cfRule>
    <cfRule type="expression" dxfId="1310" priority="9725" stopIfTrue="1">
      <formula>$E361=0</formula>
    </cfRule>
  </conditionalFormatting>
  <conditionalFormatting sqref="G383:G391">
    <cfRule type="expression" dxfId="1309" priority="9726">
      <formula>$D383&gt;1</formula>
    </cfRule>
    <cfRule type="expression" dxfId="1308" priority="9727">
      <formula>$C383="%IN"</formula>
    </cfRule>
    <cfRule type="expression" dxfId="1307" priority="9728" stopIfTrue="1">
      <formula>$E383=0</formula>
    </cfRule>
  </conditionalFormatting>
  <conditionalFormatting sqref="G453:G459">
    <cfRule type="expression" dxfId="1306" priority="9729">
      <formula>$D453&gt;1</formula>
    </cfRule>
    <cfRule type="expression" dxfId="1305" priority="9730">
      <formula>$C453="%IN"</formula>
    </cfRule>
    <cfRule type="expression" dxfId="1304" priority="9731" stopIfTrue="1">
      <formula>$E453=0</formula>
    </cfRule>
  </conditionalFormatting>
  <conditionalFormatting sqref="G473:G483">
    <cfRule type="expression" dxfId="1303" priority="9732">
      <formula>$D473&gt;1</formula>
    </cfRule>
    <cfRule type="expression" dxfId="1302" priority="9733">
      <formula>$C473="%IN"</formula>
    </cfRule>
    <cfRule type="expression" dxfId="1301" priority="9734" stopIfTrue="1">
      <formula>$E473=0</formula>
    </cfRule>
  </conditionalFormatting>
  <conditionalFormatting sqref="G584:G592">
    <cfRule type="expression" dxfId="1300" priority="9735">
      <formula>$D584&gt;1</formula>
    </cfRule>
    <cfRule type="expression" dxfId="1299" priority="9736">
      <formula>$C584="%IN"</formula>
    </cfRule>
    <cfRule type="expression" dxfId="1298" priority="9737" stopIfTrue="1">
      <formula>$E584=0</formula>
    </cfRule>
  </conditionalFormatting>
  <conditionalFormatting sqref="G632:G646">
    <cfRule type="expression" dxfId="1297" priority="9747">
      <formula>$D632&gt;1</formula>
    </cfRule>
    <cfRule type="expression" dxfId="1296" priority="9748">
      <formula>$C632="%IN"</formula>
    </cfRule>
    <cfRule type="expression" dxfId="1295" priority="9749" stopIfTrue="1">
      <formula>$E632=0</formula>
    </cfRule>
  </conditionalFormatting>
  <conditionalFormatting sqref="G562:G567">
    <cfRule type="expression" dxfId="1294" priority="9756">
      <formula>$D562&gt;1</formula>
    </cfRule>
    <cfRule type="expression" dxfId="1293" priority="9757">
      <formula>$C562="%IN"</formula>
    </cfRule>
    <cfRule type="expression" dxfId="1292" priority="9758" stopIfTrue="1">
      <formula>$E562=0</formula>
    </cfRule>
  </conditionalFormatting>
  <conditionalFormatting sqref="G572:G577">
    <cfRule type="expression" dxfId="1291" priority="9759">
      <formula>$D572&gt;1</formula>
    </cfRule>
    <cfRule type="expression" dxfId="1290" priority="9760">
      <formula>$C572="%IN"</formula>
    </cfRule>
    <cfRule type="expression" dxfId="1289" priority="9761" stopIfTrue="1">
      <formula>$E572=0</formula>
    </cfRule>
  </conditionalFormatting>
  <conditionalFormatting sqref="G219:G227">
    <cfRule type="expression" dxfId="1288" priority="9762">
      <formula>$D219&gt;1</formula>
    </cfRule>
    <cfRule type="expression" dxfId="1287" priority="9763">
      <formula>$C219="%IN"</formula>
    </cfRule>
    <cfRule type="expression" dxfId="1286" priority="9764" stopIfTrue="1">
      <formula>$E219=0</formula>
    </cfRule>
  </conditionalFormatting>
  <conditionalFormatting sqref="G125:G128">
    <cfRule type="expression" dxfId="1285" priority="9765">
      <formula>$D125&gt;1</formula>
    </cfRule>
    <cfRule type="expression" dxfId="1284" priority="9766">
      <formula>$C125="%IN"</formula>
    </cfRule>
    <cfRule type="expression" dxfId="1283" priority="9767" stopIfTrue="1">
      <formula>$E125=0</formula>
    </cfRule>
  </conditionalFormatting>
  <conditionalFormatting sqref="G701:G704">
    <cfRule type="expression" dxfId="1282" priority="9768">
      <formula>$D701&gt;1</formula>
    </cfRule>
    <cfRule type="expression" dxfId="1281" priority="9769">
      <formula>$C701="%IN"</formula>
    </cfRule>
    <cfRule type="expression" dxfId="1280" priority="9770" stopIfTrue="1">
      <formula>$E701=0</formula>
    </cfRule>
  </conditionalFormatting>
  <conditionalFormatting sqref="G853:G856">
    <cfRule type="expression" dxfId="1279" priority="9783">
      <formula>$D853&gt;1</formula>
    </cfRule>
    <cfRule type="expression" dxfId="1278" priority="9784">
      <formula>$C853="%IN"</formula>
    </cfRule>
    <cfRule type="expression" dxfId="1277" priority="9785" stopIfTrue="1">
      <formula>$E853=0</formula>
    </cfRule>
  </conditionalFormatting>
  <conditionalFormatting sqref="G903:G908">
    <cfRule type="expression" dxfId="1276" priority="9786">
      <formula>$D903&gt;1</formula>
    </cfRule>
    <cfRule type="expression" dxfId="1275" priority="9787">
      <formula>$C903="%IN"</formula>
    </cfRule>
    <cfRule type="expression" dxfId="1274" priority="9788" stopIfTrue="1">
      <formula>$E903=0</formula>
    </cfRule>
  </conditionalFormatting>
  <conditionalFormatting sqref="G913:G918">
    <cfRule type="expression" dxfId="1273" priority="9789">
      <formula>$D913&gt;1</formula>
    </cfRule>
    <cfRule type="expression" dxfId="1272" priority="9790">
      <formula>$C913="%IN"</formula>
    </cfRule>
    <cfRule type="expression" dxfId="1271" priority="9791" stopIfTrue="1">
      <formula>$E913=0</formula>
    </cfRule>
  </conditionalFormatting>
  <conditionalFormatting sqref="G959:G964">
    <cfRule type="expression" dxfId="1270" priority="9795">
      <formula>$D959&gt;1</formula>
    </cfRule>
    <cfRule type="expression" dxfId="1269" priority="9796">
      <formula>$C959="%IN"</formula>
    </cfRule>
    <cfRule type="expression" dxfId="1268" priority="9797" stopIfTrue="1">
      <formula>$E959=0</formula>
    </cfRule>
  </conditionalFormatting>
  <conditionalFormatting sqref="G947:G954">
    <cfRule type="expression" dxfId="1267" priority="9798">
      <formula>$D947&gt;1</formula>
    </cfRule>
    <cfRule type="expression" dxfId="1266" priority="9799">
      <formula>$C947="%IN"</formula>
    </cfRule>
    <cfRule type="expression" dxfId="1265" priority="9800" stopIfTrue="1">
      <formula>$E947=0</formula>
    </cfRule>
  </conditionalFormatting>
  <conditionalFormatting sqref="G970:G975">
    <cfRule type="expression" dxfId="1264" priority="9801">
      <formula>$D970&gt;1</formula>
    </cfRule>
    <cfRule type="expression" dxfId="1263" priority="9802">
      <formula>$C970="%IN"</formula>
    </cfRule>
    <cfRule type="expression" dxfId="1262" priority="9803" stopIfTrue="1">
      <formula>$E970=0</formula>
    </cfRule>
  </conditionalFormatting>
  <conditionalFormatting sqref="G980:G985">
    <cfRule type="expression" dxfId="1261" priority="9804">
      <formula>$D980&gt;1</formula>
    </cfRule>
    <cfRule type="expression" dxfId="1260" priority="9805">
      <formula>$C980="%IN"</formula>
    </cfRule>
    <cfRule type="expression" dxfId="1259" priority="9806" stopIfTrue="1">
      <formula>$E980=0</formula>
    </cfRule>
  </conditionalFormatting>
  <conditionalFormatting sqref="G991:G1004">
    <cfRule type="expression" dxfId="1258" priority="9813">
      <formula>$D991&gt;1</formula>
    </cfRule>
    <cfRule type="expression" dxfId="1257" priority="9814">
      <formula>$C991="%IN"</formula>
    </cfRule>
    <cfRule type="expression" dxfId="1256" priority="9815" stopIfTrue="1">
      <formula>$E991=0</formula>
    </cfRule>
  </conditionalFormatting>
  <conditionalFormatting sqref="G1030:G1034">
    <cfRule type="expression" dxfId="1255" priority="9819">
      <formula>$D1030&gt;1</formula>
    </cfRule>
    <cfRule type="expression" dxfId="1254" priority="9820">
      <formula>$C1030="%IN"</formula>
    </cfRule>
    <cfRule type="expression" dxfId="1253" priority="9821" stopIfTrue="1">
      <formula>$E1030=0</formula>
    </cfRule>
  </conditionalFormatting>
  <conditionalFormatting sqref="G1046:G1055">
    <cfRule type="expression" dxfId="1252" priority="9822">
      <formula>$D1046&gt;1</formula>
    </cfRule>
    <cfRule type="expression" dxfId="1251" priority="9823">
      <formula>$C1046="%IN"</formula>
    </cfRule>
    <cfRule type="expression" dxfId="1250" priority="9824" stopIfTrue="1">
      <formula>$E1046=0</formula>
    </cfRule>
  </conditionalFormatting>
  <conditionalFormatting sqref="G1062:G1070">
    <cfRule type="expression" dxfId="1249" priority="9825">
      <formula>$D1062&gt;1</formula>
    </cfRule>
    <cfRule type="expression" dxfId="1248" priority="9826">
      <formula>$C1062="%IN"</formula>
    </cfRule>
    <cfRule type="expression" dxfId="1247" priority="9827" stopIfTrue="1">
      <formula>$E1062=0</formula>
    </cfRule>
  </conditionalFormatting>
  <conditionalFormatting sqref="G1084:G1092">
    <cfRule type="expression" dxfId="1246" priority="9828">
      <formula>$D1084&gt;1</formula>
    </cfRule>
    <cfRule type="expression" dxfId="1245" priority="9829">
      <formula>$C1084="%IN"</formula>
    </cfRule>
    <cfRule type="expression" dxfId="1244" priority="9830" stopIfTrue="1">
      <formula>$E1084=0</formula>
    </cfRule>
  </conditionalFormatting>
  <conditionalFormatting sqref="G1134:G1143">
    <cfRule type="expression" dxfId="1243" priority="9831">
      <formula>$D1134&gt;1</formula>
    </cfRule>
    <cfRule type="expression" dxfId="1242" priority="9832">
      <formula>$C1134="%IN"</formula>
    </cfRule>
    <cfRule type="expression" dxfId="1241" priority="9833" stopIfTrue="1">
      <formula>$E1134=0</formula>
    </cfRule>
  </conditionalFormatting>
  <conditionalFormatting sqref="G1150:G1158">
    <cfRule type="expression" dxfId="1240" priority="9834">
      <formula>$D1150&gt;1</formula>
    </cfRule>
    <cfRule type="expression" dxfId="1239" priority="9835">
      <formula>$C1150="%IN"</formula>
    </cfRule>
    <cfRule type="expression" dxfId="1238" priority="9836" stopIfTrue="1">
      <formula>$E1150=0</formula>
    </cfRule>
  </conditionalFormatting>
  <conditionalFormatting sqref="G1172:G1180">
    <cfRule type="expression" dxfId="1237" priority="9837">
      <formula>$D1172&gt;1</formula>
    </cfRule>
    <cfRule type="expression" dxfId="1236" priority="9838">
      <formula>$C1172="%IN"</formula>
    </cfRule>
    <cfRule type="expression" dxfId="1235" priority="9839" stopIfTrue="1">
      <formula>$E1172=0</formula>
    </cfRule>
  </conditionalFormatting>
  <conditionalFormatting sqref="G1222:G1231">
    <cfRule type="expression" dxfId="1234" priority="9840">
      <formula>$D1222&gt;1</formula>
    </cfRule>
    <cfRule type="expression" dxfId="1233" priority="9841">
      <formula>$C1222="%IN"</formula>
    </cfRule>
    <cfRule type="expression" dxfId="1232" priority="9842" stopIfTrue="1">
      <formula>$E1222=0</formula>
    </cfRule>
  </conditionalFormatting>
  <conditionalFormatting sqref="G1238:G1246">
    <cfRule type="expression" dxfId="1231" priority="9843">
      <formula>$D1238&gt;1</formula>
    </cfRule>
    <cfRule type="expression" dxfId="1230" priority="9844">
      <formula>$C1238="%IN"</formula>
    </cfRule>
    <cfRule type="expression" dxfId="1229" priority="9845" stopIfTrue="1">
      <formula>$E1238=0</formula>
    </cfRule>
  </conditionalFormatting>
  <conditionalFormatting sqref="G1260:G1268">
    <cfRule type="expression" dxfId="1228" priority="9846">
      <formula>$D1260&gt;1</formula>
    </cfRule>
    <cfRule type="expression" dxfId="1227" priority="9847">
      <formula>$C1260="%IN"</formula>
    </cfRule>
    <cfRule type="expression" dxfId="1226" priority="9848" stopIfTrue="1">
      <formula>$E1260=0</formula>
    </cfRule>
  </conditionalFormatting>
  <conditionalFormatting sqref="G1312:G1317">
    <cfRule type="expression" dxfId="1225" priority="9849">
      <formula>$D1312&gt;1</formula>
    </cfRule>
    <cfRule type="expression" dxfId="1224" priority="9850">
      <formula>$C1312="%IN"</formula>
    </cfRule>
    <cfRule type="expression" dxfId="1223" priority="9851" stopIfTrue="1">
      <formula>$E1312=0</formula>
    </cfRule>
  </conditionalFormatting>
  <conditionalFormatting sqref="G1331:G1339">
    <cfRule type="expression" dxfId="1222" priority="9852">
      <formula>$D1331&gt;1</formula>
    </cfRule>
    <cfRule type="expression" dxfId="1221" priority="9853">
      <formula>$C1331="%IN"</formula>
    </cfRule>
    <cfRule type="expression" dxfId="1220" priority="9854" stopIfTrue="1">
      <formula>$E1331=0</formula>
    </cfRule>
  </conditionalFormatting>
  <conditionalFormatting sqref="G1353:G1363">
    <cfRule type="expression" dxfId="1219" priority="9855">
      <formula>$D1353&gt;1</formula>
    </cfRule>
    <cfRule type="expression" dxfId="1218" priority="9856">
      <formula>$C1353="%IN"</formula>
    </cfRule>
    <cfRule type="expression" dxfId="1217" priority="9857" stopIfTrue="1">
      <formula>$E1353=0</formula>
    </cfRule>
  </conditionalFormatting>
  <conditionalFormatting sqref="G1474:G1482">
    <cfRule type="expression" dxfId="1216" priority="9858">
      <formula>$D1474&gt;1</formula>
    </cfRule>
    <cfRule type="expression" dxfId="1215" priority="9859">
      <formula>$C1474="%IN"</formula>
    </cfRule>
    <cfRule type="expression" dxfId="1214" priority="9860" stopIfTrue="1">
      <formula>$E1474=0</formula>
    </cfRule>
  </conditionalFormatting>
  <conditionalFormatting sqref="G1452:G1457">
    <cfRule type="expression" dxfId="1213" priority="9879">
      <formula>$D1452&gt;1</formula>
    </cfRule>
    <cfRule type="expression" dxfId="1212" priority="9880">
      <formula>$C1452="%IN"</formula>
    </cfRule>
    <cfRule type="expression" dxfId="1211" priority="9881" stopIfTrue="1">
      <formula>$E1452=0</formula>
    </cfRule>
  </conditionalFormatting>
  <conditionalFormatting sqref="G1462:G1467">
    <cfRule type="expression" dxfId="1210" priority="9882">
      <formula>$D1462&gt;1</formula>
    </cfRule>
    <cfRule type="expression" dxfId="1209" priority="9883">
      <formula>$C1462="%IN"</formula>
    </cfRule>
    <cfRule type="expression" dxfId="1208" priority="9884" stopIfTrue="1">
      <formula>$E1462=0</formula>
    </cfRule>
  </conditionalFormatting>
  <conditionalFormatting sqref="G1612:G1614">
    <cfRule type="expression" dxfId="1207" priority="9885">
      <formula>$D1612&gt;1</formula>
    </cfRule>
    <cfRule type="expression" dxfId="1206" priority="9886">
      <formula>$C1612="%IN"</formula>
    </cfRule>
    <cfRule type="expression" dxfId="1205" priority="9887" stopIfTrue="1">
      <formula>$E1612=0</formula>
    </cfRule>
  </conditionalFormatting>
  <conditionalFormatting sqref="G1622:G1634">
    <cfRule type="expression" dxfId="1204" priority="9888">
      <formula>$D1622&gt;1</formula>
    </cfRule>
    <cfRule type="expression" dxfId="1203" priority="9889">
      <formula>$C1622="%IN"</formula>
    </cfRule>
    <cfRule type="expression" dxfId="1202" priority="9890" stopIfTrue="1">
      <formula>$E1622=0</formula>
    </cfRule>
  </conditionalFormatting>
  <conditionalFormatting sqref="G1641:G1653">
    <cfRule type="expression" dxfId="1201" priority="9891">
      <formula>$D1641&gt;1</formula>
    </cfRule>
    <cfRule type="expression" dxfId="1200" priority="9892">
      <formula>$C1641="%IN"</formula>
    </cfRule>
    <cfRule type="expression" dxfId="1199" priority="9893" stopIfTrue="1">
      <formula>$E1641=0</formula>
    </cfRule>
  </conditionalFormatting>
  <conditionalFormatting sqref="G1719:G1724">
    <cfRule type="expression" dxfId="1198" priority="9900">
      <formula>$D1719&gt;1</formula>
    </cfRule>
    <cfRule type="expression" dxfId="1197" priority="9901">
      <formula>$C1719="%IN"</formula>
    </cfRule>
    <cfRule type="expression" dxfId="1196" priority="9902" stopIfTrue="1">
      <formula>$E1719=0</formula>
    </cfRule>
  </conditionalFormatting>
  <conditionalFormatting sqref="G1729:G1734">
    <cfRule type="expression" dxfId="1195" priority="9903">
      <formula>$D1729&gt;1</formula>
    </cfRule>
    <cfRule type="expression" dxfId="1194" priority="9904">
      <formula>$C1729="%IN"</formula>
    </cfRule>
    <cfRule type="expression" dxfId="1193" priority="9905" stopIfTrue="1">
      <formula>$E1729=0</formula>
    </cfRule>
  </conditionalFormatting>
  <conditionalFormatting sqref="G1739:G1751">
    <cfRule type="expression" dxfId="1192" priority="9906">
      <formula>$D1739&gt;1</formula>
    </cfRule>
    <cfRule type="expression" dxfId="1191" priority="9907">
      <formula>$C1739="%IN"</formula>
    </cfRule>
    <cfRule type="expression" dxfId="1190" priority="9908" stopIfTrue="1">
      <formula>$E1739=0</formula>
    </cfRule>
  </conditionalFormatting>
  <conditionalFormatting sqref="G1756:G1761">
    <cfRule type="expression" dxfId="1189" priority="9909">
      <formula>$D1756&gt;1</formula>
    </cfRule>
    <cfRule type="expression" dxfId="1188" priority="9910">
      <formula>$C1756="%IN"</formula>
    </cfRule>
    <cfRule type="expression" dxfId="1187" priority="9911" stopIfTrue="1">
      <formula>$E1756=0</formula>
    </cfRule>
  </conditionalFormatting>
  <conditionalFormatting sqref="G1779:G1787">
    <cfRule type="expression" dxfId="1186" priority="9912">
      <formula>$D1779&gt;1</formula>
    </cfRule>
    <cfRule type="expression" dxfId="1185" priority="9913">
      <formula>$C1779="%IN"</formula>
    </cfRule>
    <cfRule type="expression" dxfId="1184" priority="9914" stopIfTrue="1">
      <formula>$E1779=0</formula>
    </cfRule>
  </conditionalFormatting>
  <conditionalFormatting sqref="G1793:G1797">
    <cfRule type="expression" dxfId="1183" priority="9915">
      <formula>$D1793&gt;1</formula>
    </cfRule>
    <cfRule type="expression" dxfId="1182" priority="9916">
      <formula>$C1793="%IN"</formula>
    </cfRule>
    <cfRule type="expression" dxfId="1181" priority="9917" stopIfTrue="1">
      <formula>$E1793=0</formula>
    </cfRule>
  </conditionalFormatting>
  <conditionalFormatting sqref="G1856:G1860">
    <cfRule type="expression" dxfId="1180" priority="9918">
      <formula>$D1856&gt;1</formula>
    </cfRule>
    <cfRule type="expression" dxfId="1179" priority="9919">
      <formula>$C1856="%IN"</formula>
    </cfRule>
    <cfRule type="expression" dxfId="1178" priority="9920" stopIfTrue="1">
      <formula>$E1856=0</formula>
    </cfRule>
  </conditionalFormatting>
  <conditionalFormatting sqref="G1872:G1880">
    <cfRule type="expression" dxfId="1177" priority="9921">
      <formula>$D1872&gt;1</formula>
    </cfRule>
    <cfRule type="expression" dxfId="1176" priority="9922">
      <formula>$C1872="%IN"</formula>
    </cfRule>
    <cfRule type="expression" dxfId="1175" priority="9923" stopIfTrue="1">
      <formula>$E1872=0</formula>
    </cfRule>
  </conditionalFormatting>
  <conditionalFormatting sqref="G1885:G1893">
    <cfRule type="expression" dxfId="1174" priority="9924">
      <formula>$D1885&gt;1</formula>
    </cfRule>
    <cfRule type="expression" dxfId="1173" priority="9925">
      <formula>$C1885="%IN"</formula>
    </cfRule>
    <cfRule type="expression" dxfId="1172" priority="9926" stopIfTrue="1">
      <formula>$E1885=0</formula>
    </cfRule>
  </conditionalFormatting>
  <conditionalFormatting sqref="G1898:G1906">
    <cfRule type="expression" dxfId="1171" priority="9927">
      <formula>$D1898&gt;1</formula>
    </cfRule>
    <cfRule type="expression" dxfId="1170" priority="9928">
      <formula>$C1898="%IN"</formula>
    </cfRule>
    <cfRule type="expression" dxfId="1169" priority="9929" stopIfTrue="1">
      <formula>$E1898=0</formula>
    </cfRule>
  </conditionalFormatting>
  <conditionalFormatting sqref="G1913:G1918">
    <cfRule type="expression" dxfId="1168" priority="9930">
      <formula>$D1913&gt;1</formula>
    </cfRule>
    <cfRule type="expression" dxfId="1167" priority="9931">
      <formula>$C1913="%IN"</formula>
    </cfRule>
    <cfRule type="expression" dxfId="1166" priority="9932" stopIfTrue="1">
      <formula>$E1913=0</formula>
    </cfRule>
  </conditionalFormatting>
  <conditionalFormatting sqref="G1932:G1944">
    <cfRule type="expression" dxfId="1165" priority="9933">
      <formula>$D1932&gt;1</formula>
    </cfRule>
    <cfRule type="expression" dxfId="1164" priority="9934">
      <formula>$C1932="%IN"</formula>
    </cfRule>
    <cfRule type="expression" dxfId="1163" priority="9935" stopIfTrue="1">
      <formula>$E1932=0</formula>
    </cfRule>
  </conditionalFormatting>
  <conditionalFormatting sqref="G1976:G1984">
    <cfRule type="expression" dxfId="1162" priority="9939">
      <formula>$D1976&gt;1</formula>
    </cfRule>
    <cfRule type="expression" dxfId="1161" priority="9940">
      <formula>$C1976="%IN"</formula>
    </cfRule>
    <cfRule type="expression" dxfId="1160" priority="9941" stopIfTrue="1">
      <formula>$E1976=0</formula>
    </cfRule>
  </conditionalFormatting>
  <conditionalFormatting sqref="G1991:G1999">
    <cfRule type="expression" dxfId="1159" priority="9942">
      <formula>$D1991&gt;1</formula>
    </cfRule>
    <cfRule type="expression" dxfId="1158" priority="9943">
      <formula>$C1991="%IN"</formula>
    </cfRule>
    <cfRule type="expression" dxfId="1157" priority="9944" stopIfTrue="1">
      <formula>$E1991=0</formula>
    </cfRule>
  </conditionalFormatting>
  <conditionalFormatting sqref="G2004:G2011">
    <cfRule type="expression" dxfId="1156" priority="9945">
      <formula>$D2004&gt;1</formula>
    </cfRule>
    <cfRule type="expression" dxfId="1155" priority="9946">
      <formula>$C2004="%IN"</formula>
    </cfRule>
    <cfRule type="expression" dxfId="1154" priority="9947" stopIfTrue="1">
      <formula>$E2004=0</formula>
    </cfRule>
  </conditionalFormatting>
  <conditionalFormatting sqref="G2024:G2029">
    <cfRule type="expression" dxfId="1153" priority="9948">
      <formula>$D2024&gt;1</formula>
    </cfRule>
    <cfRule type="expression" dxfId="1152" priority="9949">
      <formula>$C2024="%IN"</formula>
    </cfRule>
    <cfRule type="expression" dxfId="1151" priority="9950" stopIfTrue="1">
      <formula>$E2024=0</formula>
    </cfRule>
  </conditionalFormatting>
  <conditionalFormatting sqref="G2035:G2046">
    <cfRule type="expression" dxfId="1150" priority="9951">
      <formula>$D2035&gt;1</formula>
    </cfRule>
    <cfRule type="expression" dxfId="1149" priority="9952">
      <formula>$C2035="%IN"</formula>
    </cfRule>
    <cfRule type="expression" dxfId="1148" priority="9953" stopIfTrue="1">
      <formula>$E2035=0</formula>
    </cfRule>
  </conditionalFormatting>
  <conditionalFormatting sqref="G2053:G2061">
    <cfRule type="expression" dxfId="1147" priority="9954">
      <formula>$D2053&gt;1</formula>
    </cfRule>
    <cfRule type="expression" dxfId="1146" priority="9955">
      <formula>$C2053="%IN"</formula>
    </cfRule>
    <cfRule type="expression" dxfId="1145" priority="9956" stopIfTrue="1">
      <formula>$E2053=0</formula>
    </cfRule>
  </conditionalFormatting>
  <conditionalFormatting sqref="G2123:G2128">
    <cfRule type="expression" dxfId="1144" priority="9969">
      <formula>$D2123&gt;1</formula>
    </cfRule>
    <cfRule type="expression" dxfId="1143" priority="9970">
      <formula>$C2123="%IN"</formula>
    </cfRule>
    <cfRule type="expression" dxfId="1142" priority="9971" stopIfTrue="1">
      <formula>$E2123=0</formula>
    </cfRule>
  </conditionalFormatting>
  <conditionalFormatting sqref="G2184:G2189">
    <cfRule type="expression" dxfId="1141" priority="9972">
      <formula>$D2184&gt;1</formula>
    </cfRule>
    <cfRule type="expression" dxfId="1140" priority="9973">
      <formula>$C2184="%IN"</formula>
    </cfRule>
    <cfRule type="expression" dxfId="1139" priority="9974" stopIfTrue="1">
      <formula>$E2184=0</formula>
    </cfRule>
  </conditionalFormatting>
  <conditionalFormatting sqref="G2207:G2216">
    <cfRule type="expression" dxfId="1138" priority="9975">
      <formula>$D2207&gt;1</formula>
    </cfRule>
    <cfRule type="expression" dxfId="1137" priority="9976">
      <formula>$C2207="%IN"</formula>
    </cfRule>
    <cfRule type="expression" dxfId="1136" priority="9977" stopIfTrue="1">
      <formula>$E2207=0</formula>
    </cfRule>
  </conditionalFormatting>
  <conditionalFormatting sqref="G2221:G2225">
    <cfRule type="expression" dxfId="1135" priority="9978">
      <formula>$D2221&gt;1</formula>
    </cfRule>
    <cfRule type="expression" dxfId="1134" priority="9979">
      <formula>$C2221="%IN"</formula>
    </cfRule>
    <cfRule type="expression" dxfId="1133" priority="9980" stopIfTrue="1">
      <formula>$E2221=0</formula>
    </cfRule>
  </conditionalFormatting>
  <conditionalFormatting sqref="G2237:G2245">
    <cfRule type="expression" dxfId="1132" priority="9981">
      <formula>$D2237&gt;1</formula>
    </cfRule>
    <cfRule type="expression" dxfId="1131" priority="9982">
      <formula>$C2237="%IN"</formula>
    </cfRule>
    <cfRule type="expression" dxfId="1130" priority="9983" stopIfTrue="1">
      <formula>$E2237=0</formula>
    </cfRule>
  </conditionalFormatting>
  <conditionalFormatting sqref="G2250:G2258">
    <cfRule type="expression" dxfId="1129" priority="9984">
      <formula>$D2250&gt;1</formula>
    </cfRule>
    <cfRule type="expression" dxfId="1128" priority="9985">
      <formula>$C2250="%IN"</formula>
    </cfRule>
    <cfRule type="expression" dxfId="1127" priority="9986" stopIfTrue="1">
      <formula>$E2250=0</formula>
    </cfRule>
  </conditionalFormatting>
  <conditionalFormatting sqref="G2263:G2271">
    <cfRule type="expression" dxfId="1126" priority="9987">
      <formula>$D2263&gt;1</formula>
    </cfRule>
    <cfRule type="expression" dxfId="1125" priority="9988">
      <formula>$C2263="%IN"</formula>
    </cfRule>
    <cfRule type="expression" dxfId="1124" priority="9989" stopIfTrue="1">
      <formula>$E2263=0</formula>
    </cfRule>
  </conditionalFormatting>
  <conditionalFormatting sqref="G2278:G2284">
    <cfRule type="expression" dxfId="1123" priority="9990">
      <formula>$D2278&gt;1</formula>
    </cfRule>
    <cfRule type="expression" dxfId="1122" priority="9991">
      <formula>$C2278="%IN"</formula>
    </cfRule>
    <cfRule type="expression" dxfId="1121" priority="9992" stopIfTrue="1">
      <formula>$E2278=0</formula>
    </cfRule>
  </conditionalFormatting>
  <conditionalFormatting sqref="G2298:G2306">
    <cfRule type="expression" dxfId="1120" priority="9993">
      <formula>$D2298&gt;1</formula>
    </cfRule>
    <cfRule type="expression" dxfId="1119" priority="9994">
      <formula>$C2298="%IN"</formula>
    </cfRule>
    <cfRule type="expression" dxfId="1118" priority="9995" stopIfTrue="1">
      <formula>$E2298=0</formula>
    </cfRule>
  </conditionalFormatting>
  <conditionalFormatting sqref="G2335:G2340">
    <cfRule type="expression" dxfId="1117" priority="9996">
      <formula>$D2335&gt;1</formula>
    </cfRule>
    <cfRule type="expression" dxfId="1116" priority="9997">
      <formula>$C2335="%IN"</formula>
    </cfRule>
    <cfRule type="expression" dxfId="1115" priority="9998" stopIfTrue="1">
      <formula>$E2335=0</formula>
    </cfRule>
  </conditionalFormatting>
  <conditionalFormatting sqref="G2381:G2389">
    <cfRule type="expression" dxfId="1114" priority="10002">
      <formula>$D2381&gt;1</formula>
    </cfRule>
    <cfRule type="expression" dxfId="1113" priority="10003">
      <formula>$C2381="%IN"</formula>
    </cfRule>
    <cfRule type="expression" dxfId="1112" priority="10004" stopIfTrue="1">
      <formula>$E2381=0</formula>
    </cfRule>
  </conditionalFormatting>
  <conditionalFormatting sqref="G2394:G2399">
    <cfRule type="expression" dxfId="1111" priority="10005">
      <formula>$D2394&gt;1</formula>
    </cfRule>
    <cfRule type="expression" dxfId="1110" priority="10006">
      <formula>$C2394="%IN"</formula>
    </cfRule>
    <cfRule type="expression" dxfId="1109" priority="10007" stopIfTrue="1">
      <formula>$E2394=0</formula>
    </cfRule>
  </conditionalFormatting>
  <conditionalFormatting sqref="G2371:G2376">
    <cfRule type="expression" dxfId="1108" priority="10008">
      <formula>$D2371&gt;1</formula>
    </cfRule>
    <cfRule type="expression" dxfId="1107" priority="10009">
      <formula>$C2371="%IN"</formula>
    </cfRule>
    <cfRule type="expression" dxfId="1106" priority="10010" stopIfTrue="1">
      <formula>$E2371=0</formula>
    </cfRule>
  </conditionalFormatting>
  <conditionalFormatting sqref="G2468:G2494">
    <cfRule type="expression" dxfId="1105" priority="10011">
      <formula>$D2468&gt;1</formula>
    </cfRule>
    <cfRule type="expression" dxfId="1104" priority="10012">
      <formula>$C2468="%IN"</formula>
    </cfRule>
    <cfRule type="expression" dxfId="1103" priority="10013" stopIfTrue="1">
      <formula>$E2468=0</formula>
    </cfRule>
  </conditionalFormatting>
  <conditionalFormatting sqref="G2509:G2517">
    <cfRule type="expression" dxfId="1102" priority="10014">
      <formula>$D2509&gt;1</formula>
    </cfRule>
    <cfRule type="expression" dxfId="1101" priority="10015">
      <formula>$C2509="%IN"</formula>
    </cfRule>
    <cfRule type="expression" dxfId="1100" priority="10016" stopIfTrue="1">
      <formula>$E2509=0</formula>
    </cfRule>
  </conditionalFormatting>
  <conditionalFormatting sqref="G2631:G2636">
    <cfRule type="expression" dxfId="1099" priority="10017">
      <formula>$D2631&gt;1</formula>
    </cfRule>
    <cfRule type="expression" dxfId="1098" priority="10018">
      <formula>$C2631="%IN"</formula>
    </cfRule>
    <cfRule type="expression" dxfId="1097" priority="10019" stopIfTrue="1">
      <formula>$E2631=0</formula>
    </cfRule>
  </conditionalFormatting>
  <conditionalFormatting sqref="G2722:G2731">
    <cfRule type="expression" dxfId="1096" priority="10020">
      <formula>$D2722&gt;1</formula>
    </cfRule>
    <cfRule type="expression" dxfId="1095" priority="10021">
      <formula>$C2722="%IN"</formula>
    </cfRule>
    <cfRule type="expression" dxfId="1094" priority="10022" stopIfTrue="1">
      <formula>$E2722=0</formula>
    </cfRule>
  </conditionalFormatting>
  <conditionalFormatting sqref="G2736:G2746">
    <cfRule type="expression" dxfId="1093" priority="10023">
      <formula>$D2736&gt;1</formula>
    </cfRule>
    <cfRule type="expression" dxfId="1092" priority="10024">
      <formula>$C2736="%IN"</formula>
    </cfRule>
    <cfRule type="expression" dxfId="1091" priority="10025" stopIfTrue="1">
      <formula>$E2736=0</formula>
    </cfRule>
  </conditionalFormatting>
  <conditionalFormatting sqref="G2751:G2759">
    <cfRule type="expression" dxfId="1090" priority="10026">
      <formula>$D2751&gt;1</formula>
    </cfRule>
    <cfRule type="expression" dxfId="1089" priority="10027">
      <formula>$C2751="%IN"</formula>
    </cfRule>
    <cfRule type="expression" dxfId="1088" priority="10028" stopIfTrue="1">
      <formula>$E2751=0</formula>
    </cfRule>
  </conditionalFormatting>
  <conditionalFormatting sqref="G2708:G2717">
    <cfRule type="expression" dxfId="1087" priority="10029">
      <formula>$D2708&gt;1</formula>
    </cfRule>
    <cfRule type="expression" dxfId="1086" priority="10030">
      <formula>$C2708="%IN"</formula>
    </cfRule>
    <cfRule type="expression" dxfId="1085" priority="10031" stopIfTrue="1">
      <formula>$E2708=0</formula>
    </cfRule>
  </conditionalFormatting>
  <conditionalFormatting sqref="I920">
    <cfRule type="expression" dxfId="1084" priority="153" stopIfTrue="1">
      <formula>$I920="适用"</formula>
    </cfRule>
    <cfRule type="expression" dxfId="1083" priority="154" stopIfTrue="1">
      <formula>$I920="不适用"</formula>
    </cfRule>
  </conditionalFormatting>
  <conditionalFormatting sqref="Q920:Q921 Q923:Q932">
    <cfRule type="expression" dxfId="1082" priority="152" stopIfTrue="1">
      <formula>$Q920="请输入"</formula>
    </cfRule>
  </conditionalFormatting>
  <conditionalFormatting sqref="G923:G931">
    <cfRule type="expression" dxfId="1081" priority="10032">
      <formula>$D923&gt;1</formula>
    </cfRule>
    <cfRule type="expression" dxfId="1080" priority="10033">
      <formula>$C923="%IN"</formula>
    </cfRule>
    <cfRule type="expression" dxfId="1079" priority="10034" stopIfTrue="1">
      <formula>$E923=0</formula>
    </cfRule>
  </conditionalFormatting>
  <conditionalFormatting sqref="G2784:G2794">
    <cfRule type="expression" dxfId="1078" priority="10038">
      <formula>$D2784&gt;1</formula>
    </cfRule>
    <cfRule type="expression" dxfId="1077" priority="10039">
      <formula>$C2784="%IN"</formula>
    </cfRule>
    <cfRule type="expression" dxfId="1076" priority="10040" stopIfTrue="1">
      <formula>$E2784=0</formula>
    </cfRule>
  </conditionalFormatting>
  <conditionalFormatting sqref="G2774:G2779">
    <cfRule type="expression" dxfId="1075" priority="10041">
      <formula>$D2774&gt;1</formula>
    </cfRule>
    <cfRule type="expression" dxfId="1074" priority="10042">
      <formula>$C2774="%IN"</formula>
    </cfRule>
    <cfRule type="expression" dxfId="1073" priority="10043" stopIfTrue="1">
      <formula>$E2774=0</formula>
    </cfRule>
  </conditionalFormatting>
  <conditionalFormatting sqref="G2764:G2769">
    <cfRule type="expression" dxfId="1072" priority="10044">
      <formula>$D2764&gt;1</formula>
    </cfRule>
    <cfRule type="expression" dxfId="1071" priority="10045">
      <formula>$C2764="%IN"</formula>
    </cfRule>
    <cfRule type="expression" dxfId="1070" priority="10046" stopIfTrue="1">
      <formula>$E2764=0</formula>
    </cfRule>
  </conditionalFormatting>
  <conditionalFormatting sqref="G2813:G2818">
    <cfRule type="expression" dxfId="1069" priority="10047">
      <formula>$D2813&gt;1</formula>
    </cfRule>
    <cfRule type="expression" dxfId="1068" priority="10048">
      <formula>$C2813="%IN"</formula>
    </cfRule>
    <cfRule type="expression" dxfId="1067" priority="10049" stopIfTrue="1">
      <formula>$E2813=0</formula>
    </cfRule>
  </conditionalFormatting>
  <conditionalFormatting sqref="G2850:G2860">
    <cfRule type="expression" dxfId="1066" priority="10050">
      <formula>$D2850&gt;1</formula>
    </cfRule>
    <cfRule type="expression" dxfId="1065" priority="10051">
      <formula>$C2850="%IN"</formula>
    </cfRule>
    <cfRule type="expression" dxfId="1064" priority="10052" stopIfTrue="1">
      <formula>$E2850=0</formula>
    </cfRule>
  </conditionalFormatting>
  <conditionalFormatting sqref="G2865:G2875">
    <cfRule type="expression" dxfId="1063" priority="10053">
      <formula>$D2865&gt;1</formula>
    </cfRule>
    <cfRule type="expression" dxfId="1062" priority="10054">
      <formula>$C2865="%IN"</formula>
    </cfRule>
    <cfRule type="expression" dxfId="1061" priority="10055" stopIfTrue="1">
      <formula>$E2865=0</formula>
    </cfRule>
  </conditionalFormatting>
  <conditionalFormatting sqref="G2880:G2888">
    <cfRule type="expression" dxfId="1060" priority="10056">
      <formula>$D2880&gt;1</formula>
    </cfRule>
    <cfRule type="expression" dxfId="1059" priority="10057">
      <formula>$C2880="%IN"</formula>
    </cfRule>
    <cfRule type="expression" dxfId="1058" priority="10058" stopIfTrue="1">
      <formula>$E2880=0</formula>
    </cfRule>
  </conditionalFormatting>
  <conditionalFormatting sqref="G2900:G2905">
    <cfRule type="expression" dxfId="1057" priority="10059">
      <formula>$D2900&gt;1</formula>
    </cfRule>
    <cfRule type="expression" dxfId="1056" priority="10060">
      <formula>$C2900="%IN"</formula>
    </cfRule>
    <cfRule type="expression" dxfId="1055" priority="10061" stopIfTrue="1">
      <formula>$E2900=0</formula>
    </cfRule>
  </conditionalFormatting>
  <conditionalFormatting sqref="G3116:G3124">
    <cfRule type="expression" dxfId="1054" priority="10062">
      <formula>$D3116&gt;1</formula>
    </cfRule>
    <cfRule type="expression" dxfId="1053" priority="10063">
      <formula>$C3116="%IN"</formula>
    </cfRule>
    <cfRule type="expression" dxfId="1052" priority="10064" stopIfTrue="1">
      <formula>$E3116=0</formula>
    </cfRule>
  </conditionalFormatting>
  <conditionalFormatting sqref="G3129:G3134">
    <cfRule type="expression" dxfId="1051" priority="10065">
      <formula>$D3129&gt;1</formula>
    </cfRule>
    <cfRule type="expression" dxfId="1050" priority="10066">
      <formula>$C3129="%IN"</formula>
    </cfRule>
    <cfRule type="expression" dxfId="1049" priority="10067" stopIfTrue="1">
      <formula>$E3129=0</formula>
    </cfRule>
  </conditionalFormatting>
  <conditionalFormatting sqref="G3165:G3172">
    <cfRule type="expression" dxfId="1048" priority="10075">
      <formula>$D3165&gt;1</formula>
    </cfRule>
    <cfRule type="expression" dxfId="1047" priority="10076">
      <formula>$C3165="%IN"</formula>
    </cfRule>
    <cfRule type="expression" dxfId="1046" priority="10077" stopIfTrue="1">
      <formula>$E3165=0</formula>
    </cfRule>
  </conditionalFormatting>
  <conditionalFormatting sqref="L3136">
    <cfRule type="expression" dxfId="1045" priority="10078" stopIfTrue="1">
      <formula>OR($L$3136="F/S",$L$3136="")</formula>
    </cfRule>
    <cfRule type="cellIs" dxfId="1044" priority="10079" stopIfTrue="1" operator="notEqual">
      <formula>0</formula>
    </cfRule>
  </conditionalFormatting>
  <conditionalFormatting sqref="O3136:O3148">
    <cfRule type="expression" dxfId="1043" priority="10080" stopIfTrue="1">
      <formula>OR($O$3136="F/S",$O$3136="")</formula>
    </cfRule>
    <cfRule type="cellIs" dxfId="1042" priority="10081" stopIfTrue="1" operator="notEqual">
      <formula>0</formula>
    </cfRule>
  </conditionalFormatting>
  <conditionalFormatting sqref="I3136">
    <cfRule type="expression" dxfId="1041" priority="139" stopIfTrue="1">
      <formula>$I3136="适用"</formula>
    </cfRule>
    <cfRule type="expression" dxfId="1040" priority="140" stopIfTrue="1">
      <formula>$I3136="不适用"</formula>
    </cfRule>
  </conditionalFormatting>
  <conditionalFormatting sqref="Q3136:Q3161">
    <cfRule type="expression" dxfId="1039" priority="138" stopIfTrue="1">
      <formula>$Q3136="请输入"</formula>
    </cfRule>
  </conditionalFormatting>
  <conditionalFormatting sqref="L3149">
    <cfRule type="expression" dxfId="1038" priority="10085" stopIfTrue="1">
      <formula>OR($L$3149="F/S",$L$3149="")</formula>
    </cfRule>
    <cfRule type="cellIs" dxfId="1037" priority="10086" stopIfTrue="1" operator="notEqual">
      <formula>0</formula>
    </cfRule>
  </conditionalFormatting>
  <conditionalFormatting sqref="O3149">
    <cfRule type="expression" dxfId="1036" priority="10087" stopIfTrue="1">
      <formula>OR($O$3149="F/S",$O$3149="")</formula>
    </cfRule>
    <cfRule type="cellIs" dxfId="1035" priority="10088" stopIfTrue="1" operator="notEqual">
      <formula>0</formula>
    </cfRule>
  </conditionalFormatting>
  <conditionalFormatting sqref="I3149">
    <cfRule type="expression" dxfId="1034" priority="132" stopIfTrue="1">
      <formula>$I3149="适用"</formula>
    </cfRule>
    <cfRule type="expression" dxfId="1033" priority="133" stopIfTrue="1">
      <formula>$I3149="不适用"</formula>
    </cfRule>
  </conditionalFormatting>
  <conditionalFormatting sqref="Q3149:Q3161">
    <cfRule type="expression" dxfId="1032" priority="131" stopIfTrue="1">
      <formula>$Q3149="请输入"</formula>
    </cfRule>
  </conditionalFormatting>
  <conditionalFormatting sqref="G3139:G3147">
    <cfRule type="expression" dxfId="1031" priority="10092">
      <formula>$D3139&gt;1</formula>
    </cfRule>
    <cfRule type="expression" dxfId="1030" priority="10093">
      <formula>$C3139="%IN"</formula>
    </cfRule>
    <cfRule type="expression" dxfId="1029" priority="10094" stopIfTrue="1">
      <formula>$E3139=0</formula>
    </cfRule>
  </conditionalFormatting>
  <conditionalFormatting sqref="G3152:G3160">
    <cfRule type="expression" dxfId="1028" priority="10095">
      <formula>$D3152&gt;1</formula>
    </cfRule>
    <cfRule type="expression" dxfId="1027" priority="10096">
      <formula>$C3152="%IN"</formula>
    </cfRule>
    <cfRule type="expression" dxfId="1026" priority="10097" stopIfTrue="1">
      <formula>$E3152=0</formula>
    </cfRule>
  </conditionalFormatting>
  <conditionalFormatting sqref="G3193:G3198">
    <cfRule type="expression" dxfId="1025" priority="10098">
      <formula>$D3193&gt;1</formula>
    </cfRule>
    <cfRule type="expression" dxfId="1024" priority="10099">
      <formula>$C3193="%IN"</formula>
    </cfRule>
    <cfRule type="expression" dxfId="1023" priority="10100" stopIfTrue="1">
      <formula>$E3193=0</formula>
    </cfRule>
  </conditionalFormatting>
  <conditionalFormatting sqref="G3205:G3210">
    <cfRule type="expression" dxfId="1022" priority="10101">
      <formula>$D3205&gt;1</formula>
    </cfRule>
    <cfRule type="expression" dxfId="1021" priority="10102">
      <formula>$C3205="%IN"</formula>
    </cfRule>
    <cfRule type="expression" dxfId="1020" priority="10103" stopIfTrue="1">
      <formula>$E3205=0</formula>
    </cfRule>
  </conditionalFormatting>
  <conditionalFormatting sqref="G3289:G3296">
    <cfRule type="expression" dxfId="1019" priority="10104">
      <formula>$D3289&gt;1</formula>
    </cfRule>
    <cfRule type="expression" dxfId="1018" priority="10105">
      <formula>$C3289="%IN"</formula>
    </cfRule>
    <cfRule type="expression" dxfId="1017" priority="10106" stopIfTrue="1">
      <formula>$E3289=0</formula>
    </cfRule>
  </conditionalFormatting>
  <conditionalFormatting sqref="G3245:G3254">
    <cfRule type="expression" dxfId="1016" priority="10107">
      <formula>$D3245&gt;1</formula>
    </cfRule>
    <cfRule type="expression" dxfId="1015" priority="10108">
      <formula>$C3245="%IN"</formula>
    </cfRule>
    <cfRule type="expression" dxfId="1014" priority="10109" stopIfTrue="1">
      <formula>$E3245=0</formula>
    </cfRule>
  </conditionalFormatting>
  <conditionalFormatting sqref="G3261:G3267">
    <cfRule type="expression" dxfId="1013" priority="10110">
      <formula>$D3261&gt;1</formula>
    </cfRule>
    <cfRule type="expression" dxfId="1012" priority="10111">
      <formula>$C3261="%IN"</formula>
    </cfRule>
    <cfRule type="expression" dxfId="1011" priority="10112" stopIfTrue="1">
      <formula>$E3261=0</formula>
    </cfRule>
  </conditionalFormatting>
  <conditionalFormatting sqref="G3272:G3274">
    <cfRule type="expression" dxfId="1010" priority="10113">
      <formula>$D3272&gt;1</formula>
    </cfRule>
    <cfRule type="expression" dxfId="1009" priority="10114">
      <formula>$C3272="%IN"</formula>
    </cfRule>
    <cfRule type="expression" dxfId="1008" priority="10115" stopIfTrue="1">
      <formula>$E3272=0</formula>
    </cfRule>
  </conditionalFormatting>
  <conditionalFormatting sqref="G3279:G3284">
    <cfRule type="expression" dxfId="1007" priority="10116">
      <formula>$D3279&gt;1</formula>
    </cfRule>
    <cfRule type="expression" dxfId="1006" priority="10117">
      <formula>$C3279="%IN"</formula>
    </cfRule>
    <cfRule type="expression" dxfId="1005" priority="10118" stopIfTrue="1">
      <formula>$E3279=0</formula>
    </cfRule>
  </conditionalFormatting>
  <conditionalFormatting sqref="G3332:G3337">
    <cfRule type="expression" dxfId="1004" priority="10119">
      <formula>$D3332&gt;1</formula>
    </cfRule>
    <cfRule type="expression" dxfId="1003" priority="10120">
      <formula>$C3332="%IN"</formula>
    </cfRule>
    <cfRule type="expression" dxfId="1002" priority="10121" stopIfTrue="1">
      <formula>$E3332=0</formula>
    </cfRule>
  </conditionalFormatting>
  <conditionalFormatting sqref="G3342:G3347">
    <cfRule type="expression" dxfId="1001" priority="10122">
      <formula>$D3342&gt;1</formula>
    </cfRule>
    <cfRule type="expression" dxfId="1000" priority="10123">
      <formula>$C3342="%IN"</formula>
    </cfRule>
    <cfRule type="expression" dxfId="999" priority="10124" stopIfTrue="1">
      <formula>$E3342=0</formula>
    </cfRule>
  </conditionalFormatting>
  <conditionalFormatting sqref="G3352:G3357">
    <cfRule type="expression" dxfId="998" priority="10125">
      <formula>$D3352&gt;1</formula>
    </cfRule>
    <cfRule type="expression" dxfId="997" priority="10126">
      <formula>$C3352="%IN"</formula>
    </cfRule>
    <cfRule type="expression" dxfId="996" priority="10127" stopIfTrue="1">
      <formula>$E3352=0</formula>
    </cfRule>
  </conditionalFormatting>
  <conditionalFormatting sqref="G3446:G3452">
    <cfRule type="expression" dxfId="995" priority="10128">
      <formula>$D3446&gt;1</formula>
    </cfRule>
    <cfRule type="expression" dxfId="994" priority="10129">
      <formula>$C3446="%IN"</formula>
    </cfRule>
    <cfRule type="expression" dxfId="993" priority="10130" stopIfTrue="1">
      <formula>$E3446=0</formula>
    </cfRule>
  </conditionalFormatting>
  <conditionalFormatting sqref="G3474:G3479">
    <cfRule type="expression" dxfId="992" priority="10131">
      <formula>$D3474&gt;1</formula>
    </cfRule>
    <cfRule type="expression" dxfId="991" priority="10132">
      <formula>$C3474="%IN"</formula>
    </cfRule>
    <cfRule type="expression" dxfId="990" priority="10133" stopIfTrue="1">
      <formula>$E3474=0</formula>
    </cfRule>
  </conditionalFormatting>
  <conditionalFormatting sqref="G3504:G3509">
    <cfRule type="expression" dxfId="989" priority="10134">
      <formula>$D3504&gt;1</formula>
    </cfRule>
    <cfRule type="expression" dxfId="988" priority="10135">
      <formula>$C3504="%IN"</formula>
    </cfRule>
    <cfRule type="expression" dxfId="987" priority="10136" stopIfTrue="1">
      <formula>$E3504=0</formula>
    </cfRule>
  </conditionalFormatting>
  <conditionalFormatting sqref="G3571:G3576">
    <cfRule type="expression" dxfId="986" priority="10137">
      <formula>$D3571&gt;1</formula>
    </cfRule>
    <cfRule type="expression" dxfId="985" priority="10138">
      <formula>$C3571="%IN"</formula>
    </cfRule>
    <cfRule type="expression" dxfId="984" priority="10139" stopIfTrue="1">
      <formula>$E3571=0</formula>
    </cfRule>
  </conditionalFormatting>
  <conditionalFormatting sqref="G3581:G3586">
    <cfRule type="expression" dxfId="983" priority="10140">
      <formula>$D3581&gt;1</formula>
    </cfRule>
    <cfRule type="expression" dxfId="982" priority="10141">
      <formula>$C3581="%IN"</formula>
    </cfRule>
    <cfRule type="expression" dxfId="981" priority="10142" stopIfTrue="1">
      <formula>$E3581=0</formula>
    </cfRule>
  </conditionalFormatting>
  <conditionalFormatting sqref="G3621:G3626">
    <cfRule type="expression" dxfId="980" priority="10143">
      <formula>$D3621&gt;1</formula>
    </cfRule>
    <cfRule type="expression" dxfId="979" priority="10144">
      <formula>$C3621="%IN"</formula>
    </cfRule>
    <cfRule type="expression" dxfId="978" priority="10145" stopIfTrue="1">
      <formula>$E3621=0</formula>
    </cfRule>
  </conditionalFormatting>
  <conditionalFormatting sqref="G3631:G3648">
    <cfRule type="expression" dxfId="977" priority="10146">
      <formula>$D3631&gt;1</formula>
    </cfRule>
    <cfRule type="expression" dxfId="976" priority="10147">
      <formula>$C3631="%IN"</formula>
    </cfRule>
    <cfRule type="expression" dxfId="975" priority="10148" stopIfTrue="1">
      <formula>$E3631=0</formula>
    </cfRule>
  </conditionalFormatting>
  <conditionalFormatting sqref="G3684:G3711">
    <cfRule type="expression" dxfId="974" priority="10152">
      <formula>$D3684&gt;1</formula>
    </cfRule>
    <cfRule type="expression" dxfId="973" priority="10153">
      <formula>$C3684="%IN"</formula>
    </cfRule>
    <cfRule type="expression" dxfId="972" priority="10154" stopIfTrue="1">
      <formula>$E3684=0</formula>
    </cfRule>
  </conditionalFormatting>
  <conditionalFormatting sqref="G3793:G3798">
    <cfRule type="expression" dxfId="971" priority="10155">
      <formula>$D3793&gt;1</formula>
    </cfRule>
    <cfRule type="expression" dxfId="970" priority="10156">
      <formula>$C3793="%IN"</formula>
    </cfRule>
    <cfRule type="expression" dxfId="969" priority="10157" stopIfTrue="1">
      <formula>$E3793=0</formula>
    </cfRule>
  </conditionalFormatting>
  <conditionalFormatting sqref="G3832:G3837">
    <cfRule type="expression" dxfId="968" priority="10158">
      <formula>$D3832&gt;1</formula>
    </cfRule>
    <cfRule type="expression" dxfId="967" priority="10159">
      <formula>$C3832="%IN"</formula>
    </cfRule>
    <cfRule type="expression" dxfId="966" priority="10160" stopIfTrue="1">
      <formula>$E3832=0</formula>
    </cfRule>
  </conditionalFormatting>
  <conditionalFormatting sqref="G3859:G3864">
    <cfRule type="expression" dxfId="965" priority="10161">
      <formula>$D3859&gt;1</formula>
    </cfRule>
    <cfRule type="expression" dxfId="964" priority="10162">
      <formula>$C3859="%IN"</formula>
    </cfRule>
    <cfRule type="expression" dxfId="963" priority="10163" stopIfTrue="1">
      <formula>$E3859=0</formula>
    </cfRule>
  </conditionalFormatting>
  <conditionalFormatting sqref="G3869:G3874">
    <cfRule type="expression" dxfId="962" priority="10164">
      <formula>$D3869&gt;1</formula>
    </cfRule>
    <cfRule type="expression" dxfId="961" priority="10165">
      <formula>$C3869="%IN"</formula>
    </cfRule>
    <cfRule type="expression" dxfId="960" priority="10166" stopIfTrue="1">
      <formula>$E3869=0</formula>
    </cfRule>
  </conditionalFormatting>
  <conditionalFormatting sqref="G3930:G3935">
    <cfRule type="expression" dxfId="959" priority="10167">
      <formula>$D3930&gt;1</formula>
    </cfRule>
    <cfRule type="expression" dxfId="958" priority="10168">
      <formula>$C3930="%IN"</formula>
    </cfRule>
    <cfRule type="expression" dxfId="957" priority="10169" stopIfTrue="1">
      <formula>$E3930=0</formula>
    </cfRule>
  </conditionalFormatting>
  <conditionalFormatting sqref="G3940:G3945">
    <cfRule type="expression" dxfId="956" priority="10170">
      <formula>$D3940&gt;1</formula>
    </cfRule>
    <cfRule type="expression" dxfId="955" priority="10171">
      <formula>$C3940="%IN"</formula>
    </cfRule>
    <cfRule type="expression" dxfId="954" priority="10172" stopIfTrue="1">
      <formula>$E3940=0</formula>
    </cfRule>
  </conditionalFormatting>
  <conditionalFormatting sqref="G3950:G3955">
    <cfRule type="expression" dxfId="953" priority="10173">
      <formula>$D3950&gt;1</formula>
    </cfRule>
    <cfRule type="expression" dxfId="952" priority="10174">
      <formula>$C3950="%IN"</formula>
    </cfRule>
    <cfRule type="expression" dxfId="951" priority="10175" stopIfTrue="1">
      <formula>$E3950=0</formula>
    </cfRule>
  </conditionalFormatting>
  <conditionalFormatting sqref="G3960:G3965">
    <cfRule type="expression" dxfId="950" priority="10176">
      <formula>$D3960&gt;1</formula>
    </cfRule>
    <cfRule type="expression" dxfId="949" priority="10177">
      <formula>$C3960="%IN"</formula>
    </cfRule>
    <cfRule type="expression" dxfId="948" priority="10178" stopIfTrue="1">
      <formula>$E3960=0</formula>
    </cfRule>
  </conditionalFormatting>
  <conditionalFormatting sqref="G4000:G4008">
    <cfRule type="expression" dxfId="947" priority="10179">
      <formula>$D4000&gt;1</formula>
    </cfRule>
    <cfRule type="expression" dxfId="946" priority="10180">
      <formula>$C4000="%IN"</formula>
    </cfRule>
    <cfRule type="expression" dxfId="945" priority="10181" stopIfTrue="1">
      <formula>$E4000=0</formula>
    </cfRule>
  </conditionalFormatting>
  <conditionalFormatting sqref="G4013:G4018">
    <cfRule type="expression" dxfId="944" priority="10182">
      <formula>$D4013&gt;1</formula>
    </cfRule>
    <cfRule type="expression" dxfId="943" priority="10183">
      <formula>$C4013="%IN"</formula>
    </cfRule>
    <cfRule type="expression" dxfId="942" priority="10184" stopIfTrue="1">
      <formula>$E4013=0</formula>
    </cfRule>
  </conditionalFormatting>
  <conditionalFormatting sqref="G4023:G4028">
    <cfRule type="expression" dxfId="941" priority="10185">
      <formula>$D4023&gt;1</formula>
    </cfRule>
    <cfRule type="expression" dxfId="940" priority="10186">
      <formula>$C4023="%IN"</formula>
    </cfRule>
    <cfRule type="expression" dxfId="939" priority="10187" stopIfTrue="1">
      <formula>$E4023=0</formula>
    </cfRule>
  </conditionalFormatting>
  <conditionalFormatting sqref="G4033:G4038">
    <cfRule type="expression" dxfId="938" priority="10188">
      <formula>$D4033&gt;1</formula>
    </cfRule>
    <cfRule type="expression" dxfId="937" priority="10189">
      <formula>$C4033="%IN"</formula>
    </cfRule>
    <cfRule type="expression" dxfId="936" priority="10190" stopIfTrue="1">
      <formula>$E4033=0</formula>
    </cfRule>
  </conditionalFormatting>
  <conditionalFormatting sqref="G4077:G4082">
    <cfRule type="expression" dxfId="935" priority="10191">
      <formula>$D4077&gt;1</formula>
    </cfRule>
    <cfRule type="expression" dxfId="934" priority="10192">
      <formula>$C4077="%IN"</formula>
    </cfRule>
    <cfRule type="expression" dxfId="933" priority="10193" stopIfTrue="1">
      <formula>$E4077=0</formula>
    </cfRule>
  </conditionalFormatting>
  <conditionalFormatting sqref="G4121:G4127">
    <cfRule type="expression" dxfId="932" priority="10194">
      <formula>$D4121&gt;1</formula>
    </cfRule>
    <cfRule type="expression" dxfId="931" priority="10195">
      <formula>$C4121="%IN"</formula>
    </cfRule>
    <cfRule type="expression" dxfId="930" priority="10196" stopIfTrue="1">
      <formula>$E4121=0</formula>
    </cfRule>
  </conditionalFormatting>
  <conditionalFormatting sqref="G4150:G4155">
    <cfRule type="expression" dxfId="929" priority="10197">
      <formula>$D4150&gt;1</formula>
    </cfRule>
    <cfRule type="expression" dxfId="928" priority="10198">
      <formula>$C4150="%IN"</formula>
    </cfRule>
    <cfRule type="expression" dxfId="927" priority="10199" stopIfTrue="1">
      <formula>$E4150=0</formula>
    </cfRule>
  </conditionalFormatting>
  <conditionalFormatting sqref="G4171:G4176">
    <cfRule type="expression" dxfId="926" priority="10200">
      <formula>$D4171&gt;1</formula>
    </cfRule>
    <cfRule type="expression" dxfId="925" priority="10201">
      <formula>$C4171="%IN"</formula>
    </cfRule>
    <cfRule type="expression" dxfId="924" priority="10202" stopIfTrue="1">
      <formula>$E4171=0</formula>
    </cfRule>
  </conditionalFormatting>
  <conditionalFormatting sqref="G4225:G4231">
    <cfRule type="expression" dxfId="923" priority="10212">
      <formula>$D4225&gt;1</formula>
    </cfRule>
    <cfRule type="expression" dxfId="922" priority="10213">
      <formula>$C4225="%IN"</formula>
    </cfRule>
    <cfRule type="expression" dxfId="921" priority="10214" stopIfTrue="1">
      <formula>$E4225=0</formula>
    </cfRule>
  </conditionalFormatting>
  <conditionalFormatting sqref="G4238:G4244">
    <cfRule type="expression" dxfId="920" priority="10215">
      <formula>$D4238&gt;1</formula>
    </cfRule>
    <cfRule type="expression" dxfId="919" priority="10216">
      <formula>$C4238="%IN"</formula>
    </cfRule>
    <cfRule type="expression" dxfId="918" priority="10217" stopIfTrue="1">
      <formula>$E4238=0</formula>
    </cfRule>
  </conditionalFormatting>
  <conditionalFormatting sqref="G4181:G4196">
    <cfRule type="expression" dxfId="917" priority="10221">
      <formula>$D4181&gt;1</formula>
    </cfRule>
    <cfRule type="expression" dxfId="916" priority="10222">
      <formula>$C4181="%IN"</formula>
    </cfRule>
    <cfRule type="expression" dxfId="915" priority="10223" stopIfTrue="1">
      <formula>$E4181=0</formula>
    </cfRule>
  </conditionalFormatting>
  <conditionalFormatting sqref="G4201:G4211">
    <cfRule type="expression" dxfId="914" priority="10224">
      <formula>$D4201&gt;1</formula>
    </cfRule>
    <cfRule type="expression" dxfId="913" priority="10225">
      <formula>$C4201="%IN"</formula>
    </cfRule>
    <cfRule type="expression" dxfId="912" priority="10226" stopIfTrue="1">
      <formula>$E4201=0</formula>
    </cfRule>
  </conditionalFormatting>
  <conditionalFormatting sqref="G4216:G4220">
    <cfRule type="expression" dxfId="911" priority="10227">
      <formula>$D4216&gt;1</formula>
    </cfRule>
    <cfRule type="expression" dxfId="910" priority="10228">
      <formula>$C4216="%IN"</formula>
    </cfRule>
    <cfRule type="expression" dxfId="909" priority="10229" stopIfTrue="1">
      <formula>$E4216=0</formula>
    </cfRule>
  </conditionalFormatting>
  <conditionalFormatting sqref="G4264:G4267">
    <cfRule type="expression" dxfId="908" priority="10230">
      <formula>$D4264&gt;1</formula>
    </cfRule>
    <cfRule type="expression" dxfId="907" priority="10231">
      <formula>$C4264="%IN"</formula>
    </cfRule>
    <cfRule type="expression" dxfId="906" priority="10232" stopIfTrue="1">
      <formula>$E4264=0</formula>
    </cfRule>
  </conditionalFormatting>
  <conditionalFormatting sqref="G4290:G4295">
    <cfRule type="expression" dxfId="905" priority="10236">
      <formula>$D4290&gt;1</formula>
    </cfRule>
    <cfRule type="expression" dxfId="904" priority="10237">
      <formula>$C4290="%IN"</formula>
    </cfRule>
    <cfRule type="expression" dxfId="903" priority="10238" stopIfTrue="1">
      <formula>$E4290=0</formula>
    </cfRule>
  </conditionalFormatting>
  <conditionalFormatting sqref="G4300:G4305">
    <cfRule type="expression" dxfId="902" priority="10239">
      <formula>$D4300&gt;1</formula>
    </cfRule>
    <cfRule type="expression" dxfId="901" priority="10240">
      <formula>$C4300="%IN"</formula>
    </cfRule>
    <cfRule type="expression" dxfId="900" priority="10241" stopIfTrue="1">
      <formula>$E4300=0</formula>
    </cfRule>
  </conditionalFormatting>
  <conditionalFormatting sqref="G4322:G4327">
    <cfRule type="expression" dxfId="899" priority="10242">
      <formula>$D4322&gt;1</formula>
    </cfRule>
    <cfRule type="expression" dxfId="898" priority="10243">
      <formula>$C4322="%IN"</formula>
    </cfRule>
    <cfRule type="expression" dxfId="897" priority="10244" stopIfTrue="1">
      <formula>$E4322=0</formula>
    </cfRule>
  </conditionalFormatting>
  <conditionalFormatting sqref="G4333:G4338">
    <cfRule type="expression" dxfId="896" priority="10245">
      <formula>$D4333&gt;1</formula>
    </cfRule>
    <cfRule type="expression" dxfId="895" priority="10246">
      <formula>$C4333="%IN"</formula>
    </cfRule>
    <cfRule type="expression" dxfId="894" priority="10247" stopIfTrue="1">
      <formula>$E4333=0</formula>
    </cfRule>
  </conditionalFormatting>
  <conditionalFormatting sqref="G4345:G4348">
    <cfRule type="expression" dxfId="893" priority="10248">
      <formula>$D4345&gt;1</formula>
    </cfRule>
    <cfRule type="expression" dxfId="892" priority="10249">
      <formula>$C4345="%IN"</formula>
    </cfRule>
    <cfRule type="expression" dxfId="891" priority="10250" stopIfTrue="1">
      <formula>$E4345=0</formula>
    </cfRule>
  </conditionalFormatting>
  <conditionalFormatting sqref="G4363:G4364">
    <cfRule type="expression" dxfId="890" priority="10254">
      <formula>$D4363&gt;1</formula>
    </cfRule>
    <cfRule type="expression" dxfId="889" priority="10255">
      <formula>$C4363="%IN"</formula>
    </cfRule>
    <cfRule type="expression" dxfId="888" priority="10256" stopIfTrue="1">
      <formula>$E4363=0</formula>
    </cfRule>
  </conditionalFormatting>
  <conditionalFormatting sqref="G4397:G4410">
    <cfRule type="expression" dxfId="887" priority="10257">
      <formula>$D4397&gt;1</formula>
    </cfRule>
    <cfRule type="expression" dxfId="886" priority="10258">
      <formula>$C4397="%IN"</formula>
    </cfRule>
    <cfRule type="expression" dxfId="885" priority="10259" stopIfTrue="1">
      <formula>$E4397=0</formula>
    </cfRule>
  </conditionalFormatting>
  <conditionalFormatting sqref="G4416:G4421">
    <cfRule type="expression" dxfId="884" priority="10260">
      <formula>$D4416&gt;1</formula>
    </cfRule>
    <cfRule type="expression" dxfId="883" priority="10261">
      <formula>$C4416="%IN"</formula>
    </cfRule>
    <cfRule type="expression" dxfId="882" priority="10262" stopIfTrue="1">
      <formula>$E4416=0</formula>
    </cfRule>
  </conditionalFormatting>
  <conditionalFormatting sqref="G4440:G4446">
    <cfRule type="expression" dxfId="881" priority="10263">
      <formula>$D4440&gt;1</formula>
    </cfRule>
    <cfRule type="expression" dxfId="880" priority="10264">
      <formula>$C4440="%IN"</formula>
    </cfRule>
    <cfRule type="expression" dxfId="879" priority="10265" stopIfTrue="1">
      <formula>$E4440=0</formula>
    </cfRule>
  </conditionalFormatting>
  <conditionalFormatting sqref="G4477:G4483">
    <cfRule type="expression" dxfId="878" priority="10266">
      <formula>$D4477&gt;1</formula>
    </cfRule>
    <cfRule type="expression" dxfId="877" priority="10267">
      <formula>$C4477="%IN"</formula>
    </cfRule>
    <cfRule type="expression" dxfId="876" priority="10268" stopIfTrue="1">
      <formula>$E4477=0</formula>
    </cfRule>
  </conditionalFormatting>
  <conditionalFormatting sqref="G4493:G4496">
    <cfRule type="expression" dxfId="875" priority="10269">
      <formula>$D4493&gt;1</formula>
    </cfRule>
    <cfRule type="expression" dxfId="874" priority="10270">
      <formula>$C4493="%IN"</formula>
    </cfRule>
    <cfRule type="expression" dxfId="873" priority="10271" stopIfTrue="1">
      <formula>$E4493=0</formula>
    </cfRule>
  </conditionalFormatting>
  <conditionalFormatting sqref="G4501:G4505">
    <cfRule type="expression" dxfId="872" priority="10272">
      <formula>$D4501&gt;1</formula>
    </cfRule>
    <cfRule type="expression" dxfId="871" priority="10273">
      <formula>$C4501="%IN"</formula>
    </cfRule>
    <cfRule type="expression" dxfId="870" priority="10274" stopIfTrue="1">
      <formula>$E4501=0</formula>
    </cfRule>
  </conditionalFormatting>
  <conditionalFormatting sqref="G4510:G4514">
    <cfRule type="expression" dxfId="869" priority="10275">
      <formula>$D4510&gt;1</formula>
    </cfRule>
    <cfRule type="expression" dxfId="868" priority="10276">
      <formula>$C4510="%IN"</formula>
    </cfRule>
    <cfRule type="expression" dxfId="867" priority="10277" stopIfTrue="1">
      <formula>$E4510=0</formula>
    </cfRule>
  </conditionalFormatting>
  <conditionalFormatting sqref="G4521:G4531">
    <cfRule type="expression" dxfId="866" priority="10278">
      <formula>$D4521&gt;1</formula>
    </cfRule>
    <cfRule type="expression" dxfId="865" priority="10279">
      <formula>$C4521="%IN"</formula>
    </cfRule>
    <cfRule type="expression" dxfId="864" priority="10280" stopIfTrue="1">
      <formula>$E4521=0</formula>
    </cfRule>
  </conditionalFormatting>
  <conditionalFormatting sqref="G4545:G4554">
    <cfRule type="expression" dxfId="863" priority="10281">
      <formula>$D4545&gt;1</formula>
    </cfRule>
    <cfRule type="expression" dxfId="862" priority="10282">
      <formula>$C4545="%IN"</formula>
    </cfRule>
    <cfRule type="expression" dxfId="861" priority="10283" stopIfTrue="1">
      <formula>$E4545=0</formula>
    </cfRule>
  </conditionalFormatting>
  <conditionalFormatting sqref="G4568:G4573">
    <cfRule type="expression" dxfId="860" priority="10284">
      <formula>$D4568&gt;1</formula>
    </cfRule>
    <cfRule type="expression" dxfId="859" priority="10285">
      <formula>$C4568="%IN"</formula>
    </cfRule>
    <cfRule type="expression" dxfId="858" priority="10286" stopIfTrue="1">
      <formula>$E4568=0</formula>
    </cfRule>
  </conditionalFormatting>
  <conditionalFormatting sqref="G4585:G4595">
    <cfRule type="expression" dxfId="857" priority="10287">
      <formula>$D4585&gt;1</formula>
    </cfRule>
    <cfRule type="expression" dxfId="856" priority="10288">
      <formula>$C4585="%IN"</formula>
    </cfRule>
    <cfRule type="expression" dxfId="855" priority="10289" stopIfTrue="1">
      <formula>$E4585=0</formula>
    </cfRule>
  </conditionalFormatting>
  <conditionalFormatting sqref="G4600:G4610">
    <cfRule type="expression" dxfId="854" priority="10290">
      <formula>$D4600&gt;1</formula>
    </cfRule>
    <cfRule type="expression" dxfId="853" priority="10291">
      <formula>$C4600="%IN"</formula>
    </cfRule>
    <cfRule type="expression" dxfId="852" priority="10292" stopIfTrue="1">
      <formula>$E4600=0</formula>
    </cfRule>
  </conditionalFormatting>
  <conditionalFormatting sqref="G4615:G4620">
    <cfRule type="expression" dxfId="851" priority="10293">
      <formula>$D4615&gt;1</formula>
    </cfRule>
    <cfRule type="expression" dxfId="850" priority="10294">
      <formula>$C4615="%IN"</formula>
    </cfRule>
    <cfRule type="expression" dxfId="849" priority="10295" stopIfTrue="1">
      <formula>$E4615=0</formula>
    </cfRule>
  </conditionalFormatting>
  <conditionalFormatting sqref="G4625:G4630">
    <cfRule type="expression" dxfId="848" priority="10296">
      <formula>$D4625&gt;1</formula>
    </cfRule>
    <cfRule type="expression" dxfId="847" priority="10297">
      <formula>$C4625="%IN"</formula>
    </cfRule>
    <cfRule type="expression" dxfId="846" priority="10298" stopIfTrue="1">
      <formula>$E4625=0</formula>
    </cfRule>
  </conditionalFormatting>
  <conditionalFormatting sqref="G4655:G4660">
    <cfRule type="expression" dxfId="845" priority="10302">
      <formula>$D4655&gt;1</formula>
    </cfRule>
    <cfRule type="expression" dxfId="844" priority="10303">
      <formula>$C4655="%IN"</formula>
    </cfRule>
    <cfRule type="expression" dxfId="843" priority="10304" stopIfTrue="1">
      <formula>$E4655=0</formula>
    </cfRule>
  </conditionalFormatting>
  <conditionalFormatting sqref="G4686:G4691">
    <cfRule type="expression" dxfId="842" priority="10305">
      <formula>$D4686&gt;1</formula>
    </cfRule>
    <cfRule type="expression" dxfId="841" priority="10306">
      <formula>$C4686="%IN"</formula>
    </cfRule>
    <cfRule type="expression" dxfId="840" priority="10307" stopIfTrue="1">
      <formula>$E4686=0</formula>
    </cfRule>
  </conditionalFormatting>
  <conditionalFormatting sqref="G4697:G4712">
    <cfRule type="expression" dxfId="839" priority="10308">
      <formula>$D4697&gt;1</formula>
    </cfRule>
    <cfRule type="expression" dxfId="838" priority="10309">
      <formula>$C4697="%IN"</formula>
    </cfRule>
    <cfRule type="expression" dxfId="837" priority="10310" stopIfTrue="1">
      <formula>$E4697=0</formula>
    </cfRule>
  </conditionalFormatting>
  <conditionalFormatting sqref="G4717:G4722">
    <cfRule type="expression" dxfId="836" priority="10311">
      <formula>$D4717&gt;1</formula>
    </cfRule>
    <cfRule type="expression" dxfId="835" priority="10312">
      <formula>$C4717="%IN"</formula>
    </cfRule>
    <cfRule type="expression" dxfId="834" priority="10313" stopIfTrue="1">
      <formula>$E4717=0</formula>
    </cfRule>
  </conditionalFormatting>
  <conditionalFormatting sqref="G4768:G4773">
    <cfRule type="expression" dxfId="833" priority="10314">
      <formula>$D4768&gt;1</formula>
    </cfRule>
    <cfRule type="expression" dxfId="832" priority="10315">
      <formula>$C4768="%IN"</formula>
    </cfRule>
    <cfRule type="expression" dxfId="831" priority="10316" stopIfTrue="1">
      <formula>$E4768=0</formula>
    </cfRule>
  </conditionalFormatting>
  <conditionalFormatting sqref="G4779:G4788">
    <cfRule type="expression" dxfId="830" priority="10317">
      <formula>$D4779&gt;1</formula>
    </cfRule>
    <cfRule type="expression" dxfId="829" priority="10318">
      <formula>$C4779="%IN"</formula>
    </cfRule>
    <cfRule type="expression" dxfId="828" priority="10319" stopIfTrue="1">
      <formula>$E4779=0</formula>
    </cfRule>
  </conditionalFormatting>
  <conditionalFormatting sqref="L4836:L4848">
    <cfRule type="expression" dxfId="827" priority="10320" stopIfTrue="1">
      <formula>OR($L$4836="F/S",$L$4836="")</formula>
    </cfRule>
    <cfRule type="cellIs" dxfId="826" priority="10321" stopIfTrue="1" operator="notEqual">
      <formula>0</formula>
    </cfRule>
  </conditionalFormatting>
  <conditionalFormatting sqref="O4836:O4848">
    <cfRule type="expression" dxfId="825" priority="10322" stopIfTrue="1">
      <formula>OR($O$4836="F/S",$O$4836="")</formula>
    </cfRule>
    <cfRule type="cellIs" dxfId="824" priority="10323" stopIfTrue="1" operator="notEqual">
      <formula>0</formula>
    </cfRule>
  </conditionalFormatting>
  <conditionalFormatting sqref="I4836">
    <cfRule type="expression" dxfId="823" priority="125" stopIfTrue="1">
      <formula>$I4836="适用"</formula>
    </cfRule>
    <cfRule type="expression" dxfId="822" priority="126" stopIfTrue="1">
      <formula>$I4836="不适用"</formula>
    </cfRule>
  </conditionalFormatting>
  <conditionalFormatting sqref="Q4836:Q4848">
    <cfRule type="expression" dxfId="821" priority="124" stopIfTrue="1">
      <formula>$Q4836="请输入"</formula>
    </cfRule>
  </conditionalFormatting>
  <conditionalFormatting sqref="G4839:G4847">
    <cfRule type="expression" dxfId="820" priority="10324">
      <formula>$D4839&gt;1</formula>
    </cfRule>
    <cfRule type="expression" dxfId="819" priority="10325">
      <formula>$C4839="%IN"</formula>
    </cfRule>
    <cfRule type="expression" dxfId="818" priority="10326" stopIfTrue="1">
      <formula>$E4839=0</formula>
    </cfRule>
  </conditionalFormatting>
  <conditionalFormatting sqref="G4852:G4860">
    <cfRule type="expression" dxfId="817" priority="10327">
      <formula>$D4852&gt;1</formula>
    </cfRule>
    <cfRule type="expression" dxfId="816" priority="10328">
      <formula>$C4852="%IN"</formula>
    </cfRule>
    <cfRule type="expression" dxfId="815" priority="10329" stopIfTrue="1">
      <formula>$E4852=0</formula>
    </cfRule>
  </conditionalFormatting>
  <conditionalFormatting sqref="G4452:G4454">
    <cfRule type="expression" dxfId="814" priority="10330">
      <formula>$D4452&gt;1</formula>
    </cfRule>
    <cfRule type="expression" dxfId="813" priority="10331">
      <formula>$C4452="%IN"</formula>
    </cfRule>
    <cfRule type="expression" dxfId="812" priority="10332" stopIfTrue="1">
      <formula>$E4452=0</formula>
    </cfRule>
  </conditionalFormatting>
  <conditionalFormatting sqref="G4930:G4935">
    <cfRule type="expression" dxfId="811" priority="10333">
      <formula>$D4930&gt;1</formula>
    </cfRule>
    <cfRule type="expression" dxfId="810" priority="10334">
      <formula>$C4930="%IN"</formula>
    </cfRule>
    <cfRule type="expression" dxfId="809" priority="10335" stopIfTrue="1">
      <formula>$E4930=0</formula>
    </cfRule>
  </conditionalFormatting>
  <conditionalFormatting sqref="G4948:G4955">
    <cfRule type="expression" dxfId="808" priority="10336">
      <formula>$D4948&gt;1</formula>
    </cfRule>
    <cfRule type="expression" dxfId="807" priority="10337">
      <formula>$C4948="%IN"</formula>
    </cfRule>
    <cfRule type="expression" dxfId="806" priority="10338" stopIfTrue="1">
      <formula>$E4948=0</formula>
    </cfRule>
  </conditionalFormatting>
  <conditionalFormatting sqref="G5002:G5007">
    <cfRule type="expression" dxfId="805" priority="10342">
      <formula>$D5002&gt;1</formula>
    </cfRule>
    <cfRule type="expression" dxfId="804" priority="10343">
      <formula>$C5002="%IN"</formula>
    </cfRule>
    <cfRule type="expression" dxfId="803" priority="10344" stopIfTrue="1">
      <formula>$E5002=0</formula>
    </cfRule>
  </conditionalFormatting>
  <conditionalFormatting sqref="G5012:G5017">
    <cfRule type="expression" dxfId="802" priority="10345">
      <formula>$D5012&gt;1</formula>
    </cfRule>
    <cfRule type="expression" dxfId="801" priority="10346">
      <formula>$C5012="%IN"</formula>
    </cfRule>
    <cfRule type="expression" dxfId="800" priority="10347" stopIfTrue="1">
      <formula>$E5012=0</formula>
    </cfRule>
  </conditionalFormatting>
  <conditionalFormatting sqref="G5024:G5034">
    <cfRule type="expression" dxfId="799" priority="10348">
      <formula>$D5024&gt;1</formula>
    </cfRule>
    <cfRule type="expression" dxfId="798" priority="10349">
      <formula>$C5024="%IN"</formula>
    </cfRule>
    <cfRule type="expression" dxfId="797" priority="10350" stopIfTrue="1">
      <formula>$E5024=0</formula>
    </cfRule>
  </conditionalFormatting>
  <conditionalFormatting sqref="G5040:G5050">
    <cfRule type="expression" dxfId="796" priority="10351">
      <formula>$D5040&gt;1</formula>
    </cfRule>
    <cfRule type="expression" dxfId="795" priority="10352">
      <formula>$C5040="%IN"</formula>
    </cfRule>
    <cfRule type="expression" dxfId="794" priority="10353" stopIfTrue="1">
      <formula>$E5040=0</formula>
    </cfRule>
  </conditionalFormatting>
  <conditionalFormatting sqref="G5056:G5061">
    <cfRule type="expression" dxfId="793" priority="10354">
      <formula>$D5056&gt;1</formula>
    </cfRule>
    <cfRule type="expression" dxfId="792" priority="10355">
      <formula>$C5056="%IN"</formula>
    </cfRule>
    <cfRule type="expression" dxfId="791" priority="10356" stopIfTrue="1">
      <formula>$E5056=0</formula>
    </cfRule>
  </conditionalFormatting>
  <conditionalFormatting sqref="G5067:G5072">
    <cfRule type="expression" dxfId="790" priority="10357">
      <formula>$D5067&gt;1</formula>
    </cfRule>
    <cfRule type="expression" dxfId="789" priority="10358">
      <formula>$C5067="%IN"</formula>
    </cfRule>
    <cfRule type="expression" dxfId="788" priority="10359" stopIfTrue="1">
      <formula>$E5067=0</formula>
    </cfRule>
  </conditionalFormatting>
  <conditionalFormatting sqref="G5078:G5083">
    <cfRule type="expression" dxfId="787" priority="10360">
      <formula>$D5078&gt;1</formula>
    </cfRule>
    <cfRule type="expression" dxfId="786" priority="10361">
      <formula>$C5078="%IN"</formula>
    </cfRule>
    <cfRule type="expression" dxfId="785" priority="10362" stopIfTrue="1">
      <formula>$E5078=0</formula>
    </cfRule>
  </conditionalFormatting>
  <conditionalFormatting sqref="G5089:G5094">
    <cfRule type="expression" dxfId="784" priority="10363">
      <formula>$D5089&gt;1</formula>
    </cfRule>
    <cfRule type="expression" dxfId="783" priority="10364">
      <formula>$C5089="%IN"</formula>
    </cfRule>
    <cfRule type="expression" dxfId="782" priority="10365" stopIfTrue="1">
      <formula>$E5089=0</formula>
    </cfRule>
  </conditionalFormatting>
  <conditionalFormatting sqref="G5176:G5181">
    <cfRule type="expression" dxfId="781" priority="10366">
      <formula>$D5176&gt;1</formula>
    </cfRule>
    <cfRule type="expression" dxfId="780" priority="10367">
      <formula>$C5176="%IN"</formula>
    </cfRule>
    <cfRule type="expression" dxfId="779" priority="10368" stopIfTrue="1">
      <formula>$E5176=0</formula>
    </cfRule>
  </conditionalFormatting>
  <conditionalFormatting sqref="G5198:G5206">
    <cfRule type="expression" dxfId="778" priority="10375">
      <formula>$D5198&gt;1</formula>
    </cfRule>
    <cfRule type="expression" dxfId="777" priority="10376">
      <formula>$C5198="%IN"</formula>
    </cfRule>
    <cfRule type="expression" dxfId="776" priority="10377" stopIfTrue="1">
      <formula>$E5198=0</formula>
    </cfRule>
  </conditionalFormatting>
  <conditionalFormatting sqref="G5552:G5556">
    <cfRule type="expression" dxfId="775" priority="10381">
      <formula>$D5552&gt;1</formula>
    </cfRule>
    <cfRule type="expression" dxfId="774" priority="10382">
      <formula>$C5552="%IN"</formula>
    </cfRule>
    <cfRule type="expression" dxfId="773" priority="10383" stopIfTrue="1">
      <formula>$E5552=0</formula>
    </cfRule>
  </conditionalFormatting>
  <conditionalFormatting sqref="G5625:G5633">
    <cfRule type="expression" dxfId="772" priority="10384">
      <formula>$D5625&gt;1</formula>
    </cfRule>
    <cfRule type="expression" dxfId="771" priority="10385">
      <formula>$C5625="%IN"</formula>
    </cfRule>
    <cfRule type="expression" dxfId="770" priority="10386" stopIfTrue="1">
      <formula>$E5625=0</formula>
    </cfRule>
  </conditionalFormatting>
  <conditionalFormatting sqref="G5638:G5646">
    <cfRule type="expression" dxfId="769" priority="10387">
      <formula>$D5638&gt;1</formula>
    </cfRule>
    <cfRule type="expression" dxfId="768" priority="10388">
      <formula>$C5638="%IN"</formula>
    </cfRule>
    <cfRule type="expression" dxfId="767" priority="10389" stopIfTrue="1">
      <formula>$E5638=0</formula>
    </cfRule>
  </conditionalFormatting>
  <conditionalFormatting sqref="G5651:G5656">
    <cfRule type="expression" dxfId="766" priority="10390">
      <formula>$D5651&gt;1</formula>
    </cfRule>
    <cfRule type="expression" dxfId="765" priority="10391">
      <formula>$C5651="%IN"</formula>
    </cfRule>
    <cfRule type="expression" dxfId="764" priority="10392" stopIfTrue="1">
      <formula>$E5651=0</formula>
    </cfRule>
  </conditionalFormatting>
  <conditionalFormatting sqref="G5661:G5666">
    <cfRule type="expression" dxfId="763" priority="10393">
      <formula>$D5661&gt;1</formula>
    </cfRule>
    <cfRule type="expression" dxfId="762" priority="10394">
      <formula>$C5661="%IN"</formula>
    </cfRule>
    <cfRule type="expression" dxfId="761" priority="10395" stopIfTrue="1">
      <formula>$E5661=0</formula>
    </cfRule>
  </conditionalFormatting>
  <conditionalFormatting sqref="G5671:G5676">
    <cfRule type="expression" dxfId="760" priority="10396">
      <formula>$D5671&gt;1</formula>
    </cfRule>
    <cfRule type="expression" dxfId="759" priority="10397">
      <formula>$C5671="%IN"</formula>
    </cfRule>
    <cfRule type="expression" dxfId="758" priority="10398" stopIfTrue="1">
      <formula>$E5671=0</formula>
    </cfRule>
  </conditionalFormatting>
  <conditionalFormatting sqref="G5681:G5686">
    <cfRule type="expression" dxfId="757" priority="10399">
      <formula>$D5681&gt;1</formula>
    </cfRule>
    <cfRule type="expression" dxfId="756" priority="10400">
      <formula>$C5681="%IN"</formula>
    </cfRule>
    <cfRule type="expression" dxfId="755" priority="10401" stopIfTrue="1">
      <formula>$E5681=0</formula>
    </cfRule>
  </conditionalFormatting>
  <conditionalFormatting sqref="G5701:G5706">
    <cfRule type="expression" dxfId="754" priority="10402">
      <formula>$D5701&gt;1</formula>
    </cfRule>
    <cfRule type="expression" dxfId="753" priority="10403">
      <formula>$C5701="%IN"</formula>
    </cfRule>
    <cfRule type="expression" dxfId="752" priority="10404" stopIfTrue="1">
      <formula>$E5701=0</formula>
    </cfRule>
  </conditionalFormatting>
  <conditionalFormatting sqref="G5721:G5726">
    <cfRule type="expression" dxfId="751" priority="10405">
      <formula>$D5721&gt;1</formula>
    </cfRule>
    <cfRule type="expression" dxfId="750" priority="10406">
      <formula>$C5721="%IN"</formula>
    </cfRule>
    <cfRule type="expression" dxfId="749" priority="10407" stopIfTrue="1">
      <formula>$E5721=0</formula>
    </cfRule>
  </conditionalFormatting>
  <conditionalFormatting sqref="G5751:G5759">
    <cfRule type="expression" dxfId="748" priority="10408">
      <formula>$D5751&gt;1</formula>
    </cfRule>
    <cfRule type="expression" dxfId="747" priority="10409">
      <formula>$C5751="%IN"</formula>
    </cfRule>
    <cfRule type="expression" dxfId="746" priority="10410" stopIfTrue="1">
      <formula>$E5751=0</formula>
    </cfRule>
  </conditionalFormatting>
  <conditionalFormatting sqref="G5764:G5772">
    <cfRule type="expression" dxfId="745" priority="10411">
      <formula>$D5764&gt;1</formula>
    </cfRule>
    <cfRule type="expression" dxfId="744" priority="10412">
      <formula>$C5764="%IN"</formula>
    </cfRule>
    <cfRule type="expression" dxfId="743" priority="10413" stopIfTrue="1">
      <formula>$E5764=0</formula>
    </cfRule>
  </conditionalFormatting>
  <conditionalFormatting sqref="I5796">
    <cfRule type="expression" dxfId="742" priority="112" stopIfTrue="1">
      <formula>$I5796="适用"</formula>
    </cfRule>
    <cfRule type="expression" dxfId="741" priority="113" stopIfTrue="1">
      <formula>$I5796="不适用"</formula>
    </cfRule>
  </conditionalFormatting>
  <conditionalFormatting sqref="G5799:G5802">
    <cfRule type="expression" dxfId="740" priority="10414">
      <formula>$D5799&gt;1</formula>
    </cfRule>
    <cfRule type="expression" dxfId="739" priority="10415">
      <formula>$C5799="%IN"</formula>
    </cfRule>
    <cfRule type="expression" dxfId="738" priority="10416" stopIfTrue="1">
      <formula>$E5799=0</formula>
    </cfRule>
  </conditionalFormatting>
  <conditionalFormatting sqref="G5850:G5855">
    <cfRule type="expression" dxfId="737" priority="10417">
      <formula>$D5850&gt;1</formula>
    </cfRule>
    <cfRule type="expression" dxfId="736" priority="10418">
      <formula>$C5850="%IN"</formula>
    </cfRule>
    <cfRule type="expression" dxfId="735" priority="10419" stopIfTrue="1">
      <formula>$E5850=0</formula>
    </cfRule>
  </conditionalFormatting>
  <conditionalFormatting sqref="G5860:G5865">
    <cfRule type="expression" dxfId="734" priority="10420">
      <formula>$D5860&gt;1</formula>
    </cfRule>
    <cfRule type="expression" dxfId="733" priority="10421">
      <formula>$C5860="%IN"</formula>
    </cfRule>
    <cfRule type="expression" dxfId="732" priority="10422" stopIfTrue="1">
      <formula>$E5860=0</formula>
    </cfRule>
  </conditionalFormatting>
  <conditionalFormatting sqref="G1508">
    <cfRule type="expression" dxfId="731" priority="105">
      <formula>$D1508&gt;1</formula>
    </cfRule>
    <cfRule type="expression" dxfId="730" priority="106">
      <formula>$C1508="%IN"</formula>
    </cfRule>
    <cfRule type="expression" dxfId="729" priority="107" stopIfTrue="1">
      <formula>$E1508=0</formula>
    </cfRule>
  </conditionalFormatting>
  <conditionalFormatting sqref="G4272:G4277">
    <cfRule type="expression" dxfId="728" priority="10423">
      <formula>$D4272&gt;1</formula>
    </cfRule>
    <cfRule type="expression" dxfId="727" priority="10424">
      <formula>$C4272="%IN"</formula>
    </cfRule>
    <cfRule type="expression" dxfId="726" priority="10425" stopIfTrue="1">
      <formula>$E4272=0</formula>
    </cfRule>
  </conditionalFormatting>
  <conditionalFormatting sqref="G6167:G6183">
    <cfRule type="expression" dxfId="725" priority="10426">
      <formula>$D6167&gt;1</formula>
    </cfRule>
    <cfRule type="expression" dxfId="724" priority="10427">
      <formula>$C6167="%IN"</formula>
    </cfRule>
    <cfRule type="expression" dxfId="723" priority="10428" stopIfTrue="1">
      <formula>$E6167=0</formula>
    </cfRule>
  </conditionalFormatting>
  <conditionalFormatting sqref="G141:G144">
    <cfRule type="expression" dxfId="722" priority="10429">
      <formula>$D141&gt;1</formula>
    </cfRule>
    <cfRule type="expression" dxfId="721" priority="10430">
      <formula>$C141="%IN"</formula>
    </cfRule>
    <cfRule type="expression" dxfId="720" priority="10431" stopIfTrue="1">
      <formula>$E141=0</formula>
    </cfRule>
  </conditionalFormatting>
  <conditionalFormatting sqref="G604:G609">
    <cfRule type="expression" dxfId="719" priority="10432">
      <formula>$D604&gt;1</formula>
    </cfRule>
    <cfRule type="expression" dxfId="718" priority="10433">
      <formula>$C604="%IN"</formula>
    </cfRule>
    <cfRule type="expression" dxfId="717" priority="10434" stopIfTrue="1">
      <formula>$E604=0</formula>
    </cfRule>
  </conditionalFormatting>
  <conditionalFormatting sqref="G614:G616">
    <cfRule type="expression" dxfId="716" priority="10435">
      <formula>$D614&gt;1</formula>
    </cfRule>
    <cfRule type="expression" dxfId="715" priority="10436">
      <formula>$C614="%IN"</formula>
    </cfRule>
    <cfRule type="expression" dxfId="714" priority="10437" stopIfTrue="1">
      <formula>$E614=0</formula>
    </cfRule>
  </conditionalFormatting>
  <conditionalFormatting sqref="G621:G626">
    <cfRule type="expression" dxfId="713" priority="10438">
      <formula>$D621&gt;1</formula>
    </cfRule>
    <cfRule type="expression" dxfId="712" priority="10439">
      <formula>$C621="%IN"</formula>
    </cfRule>
    <cfRule type="expression" dxfId="711" priority="10440" stopIfTrue="1">
      <formula>$E621=0</formula>
    </cfRule>
  </conditionalFormatting>
  <conditionalFormatting sqref="G651:G656">
    <cfRule type="expression" dxfId="710" priority="10441">
      <formula>$D651&gt;1</formula>
    </cfRule>
    <cfRule type="expression" dxfId="709" priority="10442">
      <formula>$C651="%IN"</formula>
    </cfRule>
    <cfRule type="expression" dxfId="708" priority="10443" stopIfTrue="1">
      <formula>$E651=0</formula>
    </cfRule>
  </conditionalFormatting>
  <conditionalFormatting sqref="G661:G666">
    <cfRule type="expression" dxfId="707" priority="10444">
      <formula>$D661&gt;1</formula>
    </cfRule>
    <cfRule type="expression" dxfId="706" priority="10445">
      <formula>$C661="%IN"</formula>
    </cfRule>
    <cfRule type="expression" dxfId="705" priority="10446" stopIfTrue="1">
      <formula>$E661=0</formula>
    </cfRule>
  </conditionalFormatting>
  <conditionalFormatting sqref="G1016:G1025">
    <cfRule type="expression" dxfId="704" priority="10447">
      <formula>$D1016&gt;1</formula>
    </cfRule>
    <cfRule type="expression" dxfId="703" priority="10448">
      <formula>$C1016="%IN"</formula>
    </cfRule>
    <cfRule type="expression" dxfId="702" priority="10449" stopIfTrue="1">
      <formula>$E1016=0</formula>
    </cfRule>
  </conditionalFormatting>
  <conditionalFormatting sqref="G1513:G1518">
    <cfRule type="expression" dxfId="701" priority="10450">
      <formula>$D1513&gt;1</formula>
    </cfRule>
    <cfRule type="expression" dxfId="700" priority="10451">
      <formula>$C1513="%IN"</formula>
    </cfRule>
    <cfRule type="expression" dxfId="699" priority="10452" stopIfTrue="1">
      <formula>$E1513=0</formula>
    </cfRule>
  </conditionalFormatting>
  <conditionalFormatting sqref="G1523:G1525">
    <cfRule type="expression" dxfId="698" priority="10453">
      <formula>$D1523&gt;1</formula>
    </cfRule>
    <cfRule type="expression" dxfId="697" priority="10454">
      <formula>$C1523="%IN"</formula>
    </cfRule>
    <cfRule type="expression" dxfId="696" priority="10455" stopIfTrue="1">
      <formula>$E1523=0</formula>
    </cfRule>
  </conditionalFormatting>
  <conditionalFormatting sqref="G1530:G1535">
    <cfRule type="expression" dxfId="695" priority="10456">
      <formula>$D1530&gt;1</formula>
    </cfRule>
    <cfRule type="expression" dxfId="694" priority="10457">
      <formula>$C1530="%IN"</formula>
    </cfRule>
    <cfRule type="expression" dxfId="693" priority="10458" stopIfTrue="1">
      <formula>$E1530=0</formula>
    </cfRule>
  </conditionalFormatting>
  <conditionalFormatting sqref="G1560:G1565">
    <cfRule type="expression" dxfId="692" priority="10459">
      <formula>$D1560&gt;1</formula>
    </cfRule>
    <cfRule type="expression" dxfId="691" priority="10460">
      <formula>$C1560="%IN"</formula>
    </cfRule>
    <cfRule type="expression" dxfId="690" priority="10461" stopIfTrue="1">
      <formula>$E1560=0</formula>
    </cfRule>
  </conditionalFormatting>
  <conditionalFormatting sqref="G1570:G1575">
    <cfRule type="expression" dxfId="689" priority="10462">
      <formula>$D1570&gt;1</formula>
    </cfRule>
    <cfRule type="expression" dxfId="688" priority="10463">
      <formula>$C1570="%IN"</formula>
    </cfRule>
    <cfRule type="expression" dxfId="687" priority="10464" stopIfTrue="1">
      <formula>$E1570=0</formula>
    </cfRule>
  </conditionalFormatting>
  <conditionalFormatting sqref="G1580:G1585">
    <cfRule type="expression" dxfId="686" priority="10465">
      <formula>$D1580&gt;1</formula>
    </cfRule>
    <cfRule type="expression" dxfId="685" priority="10466">
      <formula>$C1580="%IN"</formula>
    </cfRule>
    <cfRule type="expression" dxfId="684" priority="10467" stopIfTrue="1">
      <formula>$E1580=0</formula>
    </cfRule>
  </conditionalFormatting>
  <conditionalFormatting sqref="L236:L250">
    <cfRule type="expression" dxfId="683" priority="10468" stopIfTrue="1">
      <formula>OR($L$236="F/S",$L$236="")</formula>
    </cfRule>
    <cfRule type="cellIs" dxfId="682" priority="10469" stopIfTrue="1" operator="notEqual">
      <formula>0</formula>
    </cfRule>
  </conditionalFormatting>
  <conditionalFormatting sqref="O236:O250">
    <cfRule type="expression" dxfId="681" priority="10470" stopIfTrue="1">
      <formula>OR($O$236="F/S",$O$236="")</formula>
    </cfRule>
    <cfRule type="cellIs" dxfId="680" priority="10471" stopIfTrue="1" operator="notEqual">
      <formula>0</formula>
    </cfRule>
  </conditionalFormatting>
  <conditionalFormatting sqref="I236">
    <cfRule type="expression" dxfId="679" priority="103" stopIfTrue="1">
      <formula>$I236="适用"</formula>
    </cfRule>
    <cfRule type="expression" dxfId="678" priority="104" stopIfTrue="1">
      <formula>$I236="不适用"</formula>
    </cfRule>
  </conditionalFormatting>
  <conditionalFormatting sqref="Q236:Q250">
    <cfRule type="expression" dxfId="677" priority="102" stopIfTrue="1">
      <formula>$Q236="请输入"</formula>
    </cfRule>
  </conditionalFormatting>
  <conditionalFormatting sqref="G241:G249">
    <cfRule type="expression" dxfId="676" priority="10472">
      <formula>$D241&gt;1</formula>
    </cfRule>
    <cfRule type="expression" dxfId="675" priority="10473">
      <formula>$C241="%IN"</formula>
    </cfRule>
    <cfRule type="expression" dxfId="674" priority="10474" stopIfTrue="1">
      <formula>$E241=0</formula>
    </cfRule>
  </conditionalFormatting>
  <conditionalFormatting sqref="G3412:G3418">
    <cfRule type="expression" dxfId="673" priority="10475">
      <formula>$D3412&gt;1</formula>
    </cfRule>
    <cfRule type="expression" dxfId="672" priority="10476">
      <formula>$C3412="%IN"</formula>
    </cfRule>
    <cfRule type="expression" dxfId="671" priority="10477" stopIfTrue="1">
      <formula>$E3412=0</formula>
    </cfRule>
  </conditionalFormatting>
  <conditionalFormatting sqref="G1433:G1440">
    <cfRule type="expression" dxfId="670" priority="10478">
      <formula>$D1433&gt;1</formula>
    </cfRule>
    <cfRule type="expression" dxfId="669" priority="10479">
      <formula>$C1433="%IN"</formula>
    </cfRule>
    <cfRule type="expression" dxfId="668" priority="10480" stopIfTrue="1">
      <formula>$E1433=0</formula>
    </cfRule>
  </conditionalFormatting>
  <conditionalFormatting sqref="G1658:G1663">
    <cfRule type="expression" dxfId="667" priority="10481">
      <formula>$D1658&gt;1</formula>
    </cfRule>
    <cfRule type="expression" dxfId="666" priority="10482">
      <formula>$C1658="%IN"</formula>
    </cfRule>
    <cfRule type="expression" dxfId="665" priority="10483" stopIfTrue="1">
      <formula>$E1658=0</formula>
    </cfRule>
  </conditionalFormatting>
  <conditionalFormatting sqref="G1668:G1673">
    <cfRule type="expression" dxfId="664" priority="10484">
      <formula>$D1668&gt;1</formula>
    </cfRule>
    <cfRule type="expression" dxfId="663" priority="10485">
      <formula>$C1668="%IN"</formula>
    </cfRule>
    <cfRule type="expression" dxfId="662" priority="10486" stopIfTrue="1">
      <formula>$E1668=0</formula>
    </cfRule>
  </conditionalFormatting>
  <conditionalFormatting sqref="G3660:G3672">
    <cfRule type="expression" dxfId="661" priority="10487">
      <formula>$D3660&gt;1</formula>
    </cfRule>
    <cfRule type="expression" dxfId="660" priority="10488">
      <formula>$C3660="%IN"</formula>
    </cfRule>
    <cfRule type="expression" dxfId="659" priority="10489" stopIfTrue="1">
      <formula>$E3660=0</formula>
    </cfRule>
  </conditionalFormatting>
  <conditionalFormatting sqref="Q4297">
    <cfRule type="expression" dxfId="658" priority="97" stopIfTrue="1">
      <formula>$Q4297="请输入"</formula>
    </cfRule>
  </conditionalFormatting>
  <conditionalFormatting sqref="I4297">
    <cfRule type="expression" dxfId="657" priority="95" stopIfTrue="1">
      <formula>$I4297="适用"</formula>
    </cfRule>
    <cfRule type="expression" dxfId="656" priority="96" stopIfTrue="1">
      <formula>$I4297="不适用"</formula>
    </cfRule>
  </conditionalFormatting>
  <conditionalFormatting sqref="G4728:G4734">
    <cfRule type="expression" dxfId="655" priority="10490">
      <formula>$D4728&gt;1</formula>
    </cfRule>
    <cfRule type="expression" dxfId="654" priority="10491">
      <formula>$C4728="%IN"</formula>
    </cfRule>
    <cfRule type="expression" dxfId="653" priority="10492" stopIfTrue="1">
      <formula>$E4728=0</formula>
    </cfRule>
  </conditionalFormatting>
  <conditionalFormatting sqref="G4969:G4982">
    <cfRule type="expression" dxfId="652" priority="10493">
      <formula>$D4969&gt;1</formula>
    </cfRule>
    <cfRule type="expression" dxfId="651" priority="10494">
      <formula>$C4969="%IN"</formula>
    </cfRule>
    <cfRule type="expression" dxfId="650" priority="10495" stopIfTrue="1">
      <formula>$E4969=0</formula>
    </cfRule>
  </conditionalFormatting>
  <conditionalFormatting sqref="G5187:G5192">
    <cfRule type="expression" dxfId="649" priority="10496">
      <formula>$D5187&gt;1</formula>
    </cfRule>
    <cfRule type="expression" dxfId="648" priority="10497">
      <formula>$C5187="%IN"</formula>
    </cfRule>
    <cfRule type="expression" dxfId="647" priority="10498" stopIfTrue="1">
      <formula>$E5187=0</formula>
    </cfRule>
  </conditionalFormatting>
  <conditionalFormatting sqref="I5501">
    <cfRule type="expression" dxfId="646" priority="89" stopIfTrue="1">
      <formula>$I5501="适用"</formula>
    </cfRule>
    <cfRule type="expression" dxfId="645" priority="90" stopIfTrue="1">
      <formula>$I5501="不适用"</formula>
    </cfRule>
  </conditionalFormatting>
  <conditionalFormatting sqref="G5460:G5499">
    <cfRule type="expression" dxfId="644" priority="10502">
      <formula>$D5460&gt;1</formula>
    </cfRule>
    <cfRule type="expression" dxfId="643" priority="10503">
      <formula>$C5460="%IN"</formula>
    </cfRule>
    <cfRule type="expression" dxfId="642" priority="10504" stopIfTrue="1">
      <formula>$E5460=0</formula>
    </cfRule>
  </conditionalFormatting>
  <conditionalFormatting sqref="G5506:G5547">
    <cfRule type="expression" dxfId="641" priority="10505">
      <formula>$D5506&gt;1</formula>
    </cfRule>
    <cfRule type="expression" dxfId="640" priority="10506">
      <formula>$C5506="%IN"</formula>
    </cfRule>
    <cfRule type="expression" dxfId="639" priority="10507" stopIfTrue="1">
      <formula>$E5506=0</formula>
    </cfRule>
  </conditionalFormatting>
  <conditionalFormatting sqref="L4736:L4748">
    <cfRule type="expression" dxfId="638" priority="10508" stopIfTrue="1">
      <formula>OR($L$4736="F/S",$L$4736="")</formula>
    </cfRule>
    <cfRule type="cellIs" dxfId="637" priority="10509" stopIfTrue="1" operator="notEqual">
      <formula>0</formula>
    </cfRule>
  </conditionalFormatting>
  <conditionalFormatting sqref="O4736:O4748">
    <cfRule type="expression" dxfId="636" priority="10510" stopIfTrue="1">
      <formula>OR($O$4736="F/S",$O$4736="")</formula>
    </cfRule>
    <cfRule type="cellIs" dxfId="635" priority="10511" stopIfTrue="1" operator="notEqual">
      <formula>0</formula>
    </cfRule>
  </conditionalFormatting>
  <conditionalFormatting sqref="I4736">
    <cfRule type="expression" dxfId="634" priority="82" stopIfTrue="1">
      <formula>$I4736="适用"</formula>
    </cfRule>
    <cfRule type="expression" dxfId="633" priority="83" stopIfTrue="1">
      <formula>$I4736="不适用"</formula>
    </cfRule>
  </conditionalFormatting>
  <conditionalFormatting sqref="Q4736:Q4748">
    <cfRule type="expression" dxfId="632" priority="81" stopIfTrue="1">
      <formula>$Q4736="请输入"</formula>
    </cfRule>
  </conditionalFormatting>
  <conditionalFormatting sqref="G4739:G4747">
    <cfRule type="expression" dxfId="631" priority="10512">
      <formula>$D4739&gt;1</formula>
    </cfRule>
    <cfRule type="expression" dxfId="630" priority="10513">
      <formula>$C4739="%IN"</formula>
    </cfRule>
    <cfRule type="expression" dxfId="629" priority="10514" stopIfTrue="1">
      <formula>$E4739=0</formula>
    </cfRule>
  </conditionalFormatting>
  <conditionalFormatting sqref="G2835:G2845">
    <cfRule type="expression" dxfId="628" priority="10515">
      <formula>$D2835&gt;1</formula>
    </cfRule>
    <cfRule type="expression" dxfId="627" priority="10516">
      <formula>$C2835="%IN"</formula>
    </cfRule>
    <cfRule type="expression" dxfId="626" priority="10517" stopIfTrue="1">
      <formula>$E2835=0</formula>
    </cfRule>
  </conditionalFormatting>
  <conditionalFormatting sqref="H352">
    <cfRule type="expression" dxfId="625" priority="10518">
      <formula>AND(H$352&lt;&gt;0,H$352&lt;&gt;"")</formula>
    </cfRule>
    <cfRule type="expression" dxfId="624" priority="10519" stopIfTrue="1">
      <formula>H$353&lt;&gt;"√"</formula>
    </cfRule>
  </conditionalFormatting>
  <conditionalFormatting sqref="J352">
    <cfRule type="expression" dxfId="623" priority="10520">
      <formula>AND(J$352&lt;&gt;0,J$352&lt;&gt;"")</formula>
    </cfRule>
    <cfRule type="expression" dxfId="622" priority="10521" stopIfTrue="1">
      <formula>J$353&lt;&gt;"√"</formula>
    </cfRule>
  </conditionalFormatting>
  <conditionalFormatting sqref="L352">
    <cfRule type="expression" dxfId="621" priority="10522">
      <formula>AND(L$352&lt;&gt;0,L$352&lt;&gt;"")</formula>
    </cfRule>
    <cfRule type="expression" dxfId="620" priority="10523" stopIfTrue="1">
      <formula>L$353&lt;&gt;"√"</formula>
    </cfRule>
  </conditionalFormatting>
  <conditionalFormatting sqref="K354">
    <cfRule type="expression" dxfId="619" priority="10524">
      <formula>AND($K$354&lt;&gt;0,$K$354&lt;&gt;"")</formula>
    </cfRule>
    <cfRule type="expression" dxfId="618" priority="10525" stopIfTrue="1">
      <formula>$L$354&lt;&gt;"√"</formula>
    </cfRule>
  </conditionalFormatting>
  <conditionalFormatting sqref="H374">
    <cfRule type="expression" dxfId="617" priority="10526">
      <formula>AND(H$374&lt;&gt;0,H$374&lt;&gt;"")</formula>
    </cfRule>
    <cfRule type="expression" dxfId="616" priority="10527" stopIfTrue="1">
      <formula>H$375&lt;&gt;"√"</formula>
    </cfRule>
  </conditionalFormatting>
  <conditionalFormatting sqref="I374">
    <cfRule type="expression" dxfId="615" priority="10528">
      <formula>AND(I$374&lt;&gt;0,I$374&lt;&gt;"")</formula>
    </cfRule>
    <cfRule type="expression" dxfId="614" priority="10529" stopIfTrue="1">
      <formula>I$375&lt;&gt;"√"</formula>
    </cfRule>
  </conditionalFormatting>
  <conditionalFormatting sqref="K376">
    <cfRule type="expression" dxfId="613" priority="10530">
      <formula>AND($K$376&lt;&gt;0,$K$376&lt;&gt;"")</formula>
    </cfRule>
    <cfRule type="expression" dxfId="612" priority="10531" stopIfTrue="1">
      <formula>$L$376&lt;&gt;"√"</formula>
    </cfRule>
  </conditionalFormatting>
  <conditionalFormatting sqref="H396">
    <cfRule type="expression" dxfId="611" priority="10532">
      <formula>AND(H$396&lt;&gt;0,H$396&lt;&gt;"")</formula>
    </cfRule>
    <cfRule type="expression" dxfId="610" priority="10533" stopIfTrue="1">
      <formula>H$397&lt;&gt;"√"</formula>
    </cfRule>
  </conditionalFormatting>
  <conditionalFormatting sqref="I396">
    <cfRule type="expression" dxfId="609" priority="10534">
      <formula>AND(I$396&lt;&gt;0,I$396&lt;&gt;"")</formula>
    </cfRule>
    <cfRule type="expression" dxfId="608" priority="10535" stopIfTrue="1">
      <formula>I$397&lt;&gt;"√"</formula>
    </cfRule>
  </conditionalFormatting>
  <conditionalFormatting sqref="K398">
    <cfRule type="expression" dxfId="607" priority="10536">
      <formula>AND($K$398&lt;&gt;0,$K$398&lt;&gt;"")</formula>
    </cfRule>
    <cfRule type="expression" dxfId="606" priority="10537" stopIfTrue="1">
      <formula>$L$398&lt;&gt;"√"</formula>
    </cfRule>
  </conditionalFormatting>
  <conditionalFormatting sqref="H444">
    <cfRule type="expression" dxfId="605" priority="10538">
      <formula>AND(H$444&lt;&gt;0,H$444&lt;&gt;"")</formula>
    </cfRule>
    <cfRule type="expression" dxfId="604" priority="10539" stopIfTrue="1">
      <formula>H$445&lt;&gt;"√"</formula>
    </cfRule>
  </conditionalFormatting>
  <conditionalFormatting sqref="J444">
    <cfRule type="expression" dxfId="603" priority="10540">
      <formula>AND(J$444&lt;&gt;0,J$444&lt;&gt;"")</formula>
    </cfRule>
    <cfRule type="expression" dxfId="602" priority="10541" stopIfTrue="1">
      <formula>J$445&lt;&gt;"√"</formula>
    </cfRule>
  </conditionalFormatting>
  <conditionalFormatting sqref="L444">
    <cfRule type="expression" dxfId="601" priority="10542">
      <formula>AND(L$444&lt;&gt;0,L$444&lt;&gt;"")</formula>
    </cfRule>
    <cfRule type="expression" dxfId="600" priority="10543" stopIfTrue="1">
      <formula>L$445&lt;&gt;"√"</formula>
    </cfRule>
  </conditionalFormatting>
  <conditionalFormatting sqref="K446">
    <cfRule type="expression" dxfId="599" priority="10544">
      <formula>AND($K$446&lt;&gt;0,$K$446&lt;&gt;"")</formula>
    </cfRule>
    <cfRule type="expression" dxfId="598" priority="10545" stopIfTrue="1">
      <formula>$L$446&lt;&gt;"√"</formula>
    </cfRule>
  </conditionalFormatting>
  <conditionalFormatting sqref="H597">
    <cfRule type="expression" dxfId="597" priority="10546">
      <formula>AND(H$597&lt;&gt;0,H$597&lt;&gt;"")</formula>
    </cfRule>
    <cfRule type="expression" dxfId="596" priority="10547" stopIfTrue="1">
      <formula>H$598&lt;&gt;"√"</formula>
    </cfRule>
  </conditionalFormatting>
  <conditionalFormatting sqref="N597">
    <cfRule type="expression" dxfId="595" priority="10548">
      <formula>AND(N$597&lt;&gt;0,N$597&lt;&gt;"")</formula>
    </cfRule>
    <cfRule type="expression" dxfId="594" priority="10549" stopIfTrue="1">
      <formula>N$598&lt;&gt;"√"</formula>
    </cfRule>
  </conditionalFormatting>
  <conditionalFormatting sqref="K599">
    <cfRule type="expression" dxfId="593" priority="10550">
      <formula>AND($K$599&lt;&gt;0,$K$599&lt;&gt;"")</formula>
    </cfRule>
    <cfRule type="expression" dxfId="592" priority="10551" stopIfTrue="1">
      <formula>$L$599&lt;&gt;"√"</formula>
    </cfRule>
  </conditionalFormatting>
  <conditionalFormatting sqref="H464">
    <cfRule type="expression" dxfId="591" priority="10552">
      <formula>AND(H$464&lt;&gt;0,H$464&lt;&gt;"")</formula>
    </cfRule>
    <cfRule type="expression" dxfId="590" priority="10553" stopIfTrue="1">
      <formula>H$465&lt;&gt;"√"</formula>
    </cfRule>
  </conditionalFormatting>
  <conditionalFormatting sqref="I464">
    <cfRule type="expression" dxfId="589" priority="10554">
      <formula>AND(I$464&lt;&gt;0,I$464&lt;&gt;"")</formula>
    </cfRule>
    <cfRule type="expression" dxfId="588" priority="10555" stopIfTrue="1">
      <formula>I$465&lt;&gt;"√"</formula>
    </cfRule>
  </conditionalFormatting>
  <conditionalFormatting sqref="K466">
    <cfRule type="expression" dxfId="587" priority="10556">
      <formula>AND($K$466&lt;&gt;0,$K$466&lt;&gt;"")</formula>
    </cfRule>
    <cfRule type="expression" dxfId="586" priority="10557" stopIfTrue="1">
      <formula>$L$466&lt;&gt;"√"</formula>
    </cfRule>
  </conditionalFormatting>
  <conditionalFormatting sqref="H531">
    <cfRule type="expression" dxfId="585" priority="10558">
      <formula>AND(H$531&lt;&gt;0,H$531&lt;&gt;"")</formula>
    </cfRule>
    <cfRule type="expression" dxfId="584" priority="10559" stopIfTrue="1">
      <formula>H$532&lt;&gt;"√"</formula>
    </cfRule>
  </conditionalFormatting>
  <conditionalFormatting sqref="I531">
    <cfRule type="expression" dxfId="583" priority="10560">
      <formula>AND(I$531&lt;&gt;0,I$531&lt;&gt;"")</formula>
    </cfRule>
    <cfRule type="expression" dxfId="582" priority="10561" stopIfTrue="1">
      <formula>I$532&lt;&gt;"√"</formula>
    </cfRule>
  </conditionalFormatting>
  <conditionalFormatting sqref="K533">
    <cfRule type="expression" dxfId="581" priority="10562">
      <formula>AND($K$533&lt;&gt;0,$K$533&lt;&gt;"")</formula>
    </cfRule>
    <cfRule type="expression" dxfId="580" priority="10563" stopIfTrue="1">
      <formula>$L$533&lt;&gt;"√"</formula>
    </cfRule>
  </conditionalFormatting>
  <conditionalFormatting sqref="H555">
    <cfRule type="expression" dxfId="579" priority="10564">
      <formula>AND(H$555&lt;&gt;0,H$555&lt;&gt;"")</formula>
    </cfRule>
    <cfRule type="expression" dxfId="578" priority="10565" stopIfTrue="1">
      <formula>H$556&lt;&gt;"√"</formula>
    </cfRule>
  </conditionalFormatting>
  <conditionalFormatting sqref="I555">
    <cfRule type="expression" dxfId="577" priority="10566">
      <formula>AND(I$555&lt;&gt;0,I$555&lt;&gt;"")</formula>
    </cfRule>
    <cfRule type="expression" dxfId="576" priority="10567" stopIfTrue="1">
      <formula>I$556&lt;&gt;"√"</formula>
    </cfRule>
  </conditionalFormatting>
  <conditionalFormatting sqref="K557">
    <cfRule type="expression" dxfId="575" priority="10568">
      <formula>AND($K$557&lt;&gt;0,$K$557&lt;&gt;"")</formula>
    </cfRule>
    <cfRule type="expression" dxfId="574" priority="10569" stopIfTrue="1">
      <formula>$L$557&lt;&gt;"√"</formula>
    </cfRule>
  </conditionalFormatting>
  <conditionalFormatting sqref="H1039">
    <cfRule type="expression" dxfId="573" priority="10587">
      <formula>AND(H$1039&lt;&gt;0,H$1039&lt;&gt;"")</formula>
    </cfRule>
    <cfRule type="expression" dxfId="572" priority="10588" stopIfTrue="1">
      <formula>H$1040&lt;&gt;"√"</formula>
    </cfRule>
  </conditionalFormatting>
  <conditionalFormatting sqref="I1039">
    <cfRule type="expression" dxfId="571" priority="10589">
      <formula>AND(I$1039&lt;&gt;0,I$1039&lt;&gt;"")</formula>
    </cfRule>
    <cfRule type="expression" dxfId="570" priority="10590" stopIfTrue="1">
      <formula>I$1040&lt;&gt;"√"</formula>
    </cfRule>
  </conditionalFormatting>
  <conditionalFormatting sqref="J1039">
    <cfRule type="expression" dxfId="569" priority="10591">
      <formula>AND(J$1039&lt;&gt;0,J$1039&lt;&gt;"")</formula>
    </cfRule>
    <cfRule type="expression" dxfId="568" priority="10592" stopIfTrue="1">
      <formula>J$1040&lt;&gt;"√"</formula>
    </cfRule>
  </conditionalFormatting>
  <conditionalFormatting sqref="K1041">
    <cfRule type="expression" dxfId="567" priority="10593">
      <formula>AND($K$1041&lt;&gt;0,$K$1041&lt;&gt;"")</formula>
    </cfRule>
    <cfRule type="expression" dxfId="566" priority="10594" stopIfTrue="1">
      <formula>$L$1041&lt;&gt;"√"</formula>
    </cfRule>
  </conditionalFormatting>
  <conditionalFormatting sqref="H1322">
    <cfRule type="expression" dxfId="565" priority="10595">
      <formula>AND(H$1322&lt;&gt;0,H$1322&lt;&gt;"")</formula>
    </cfRule>
    <cfRule type="expression" dxfId="564" priority="10596" stopIfTrue="1">
      <formula>H$1323&lt;&gt;"√"</formula>
    </cfRule>
  </conditionalFormatting>
  <conditionalFormatting sqref="J1322">
    <cfRule type="expression" dxfId="563" priority="10597">
      <formula>AND(J$1322&lt;&gt;0,J$1322&lt;&gt;"")</formula>
    </cfRule>
    <cfRule type="expression" dxfId="562" priority="10598" stopIfTrue="1">
      <formula>J$1323&lt;&gt;"√"</formula>
    </cfRule>
  </conditionalFormatting>
  <conditionalFormatting sqref="L1322">
    <cfRule type="expression" dxfId="561" priority="10599">
      <formula>AND(L$1322&lt;&gt;0,L$1322&lt;&gt;"")</formula>
    </cfRule>
    <cfRule type="expression" dxfId="560" priority="10600" stopIfTrue="1">
      <formula>L$1323&lt;&gt;"√"</formula>
    </cfRule>
  </conditionalFormatting>
  <conditionalFormatting sqref="K1324">
    <cfRule type="expression" dxfId="559" priority="10601">
      <formula>AND($K$1324&lt;&gt;0,$K$1324&lt;&gt;"")</formula>
    </cfRule>
    <cfRule type="expression" dxfId="558" priority="10602" stopIfTrue="1">
      <formula>$L$1324&lt;&gt;"√"</formula>
    </cfRule>
  </conditionalFormatting>
  <conditionalFormatting sqref="H1487">
    <cfRule type="expression" dxfId="557" priority="10603">
      <formula>AND(H$1487&lt;&gt;0,H$1487&lt;&gt;"")</formula>
    </cfRule>
    <cfRule type="expression" dxfId="556" priority="10604" stopIfTrue="1">
      <formula>H$1488&lt;&gt;"√"</formula>
    </cfRule>
  </conditionalFormatting>
  <conditionalFormatting sqref="N1487">
    <cfRule type="expression" dxfId="555" priority="10605">
      <formula>AND(N$1487&lt;&gt;0,N$1487&lt;&gt;"")</formula>
    </cfRule>
    <cfRule type="expression" dxfId="554" priority="10606" stopIfTrue="1">
      <formula>N$1488&lt;&gt;"√"</formula>
    </cfRule>
  </conditionalFormatting>
  <conditionalFormatting sqref="K1489">
    <cfRule type="expression" dxfId="553" priority="10607">
      <formula>AND($K$1489&lt;&gt;0,$K$1489&lt;&gt;"")</formula>
    </cfRule>
    <cfRule type="expression" dxfId="552" priority="10608" stopIfTrue="1">
      <formula>$L$1489&lt;&gt;"√"</formula>
    </cfRule>
  </conditionalFormatting>
  <conditionalFormatting sqref="H1075">
    <cfRule type="expression" dxfId="551" priority="10610">
      <formula>AND(H$1075&lt;&gt;0,H$1075&lt;&gt;"")</formula>
    </cfRule>
    <cfRule type="expression" dxfId="550" priority="10611" stopIfTrue="1">
      <formula>H$1076&lt;&gt;"√"</formula>
    </cfRule>
  </conditionalFormatting>
  <conditionalFormatting sqref="I1075">
    <cfRule type="expression" dxfId="549" priority="10612">
      <formula>AND(I$1075&lt;&gt;0,I$1075&lt;&gt;"")</formula>
    </cfRule>
    <cfRule type="expression" dxfId="548" priority="10613" stopIfTrue="1">
      <formula>I$1076&lt;&gt;"√"</formula>
    </cfRule>
  </conditionalFormatting>
  <conditionalFormatting sqref="K1077">
    <cfRule type="expression" dxfId="547" priority="10614">
      <formula>AND($K$1077&lt;&gt;0,$K$1077&lt;&gt;"")</formula>
    </cfRule>
    <cfRule type="expression" dxfId="546" priority="10615" stopIfTrue="1">
      <formula>$L$1077&lt;&gt;"√"</formula>
    </cfRule>
  </conditionalFormatting>
  <conditionalFormatting sqref="H1097">
    <cfRule type="expression" dxfId="545" priority="10616">
      <formula>AND(H$1097&lt;&gt;0,H$1097&lt;&gt;"")</formula>
    </cfRule>
    <cfRule type="expression" dxfId="544" priority="10617" stopIfTrue="1">
      <formula>H$1098&lt;&gt;"√"</formula>
    </cfRule>
  </conditionalFormatting>
  <conditionalFormatting sqref="I1097">
    <cfRule type="expression" dxfId="543" priority="10618">
      <formula>AND(I$1097&lt;&gt;0,I$1097&lt;&gt;"")</formula>
    </cfRule>
    <cfRule type="expression" dxfId="542" priority="10619" stopIfTrue="1">
      <formula>I$1098&lt;&gt;"√"</formula>
    </cfRule>
  </conditionalFormatting>
  <conditionalFormatting sqref="K1099">
    <cfRule type="expression" dxfId="541" priority="10620">
      <formula>AND($K$1099&lt;&gt;0,$K$1099&lt;&gt;"")</formula>
    </cfRule>
    <cfRule type="expression" dxfId="540" priority="10621" stopIfTrue="1">
      <formula>$L$1099&lt;&gt;"√"</formula>
    </cfRule>
  </conditionalFormatting>
  <conditionalFormatting sqref="H1163">
    <cfRule type="expression" dxfId="539" priority="10622">
      <formula>AND(H$1163&lt;&gt;0,H$1163&lt;&gt;"")</formula>
    </cfRule>
    <cfRule type="expression" dxfId="538" priority="10623" stopIfTrue="1">
      <formula>H$1164&lt;&gt;"√"</formula>
    </cfRule>
  </conditionalFormatting>
  <conditionalFormatting sqref="I1163">
    <cfRule type="expression" dxfId="537" priority="10624">
      <formula>AND(I$1163&lt;&gt;0,I$1163&lt;&gt;"")</formula>
    </cfRule>
    <cfRule type="expression" dxfId="536" priority="10625" stopIfTrue="1">
      <formula>I$1164&lt;&gt;"√"</formula>
    </cfRule>
  </conditionalFormatting>
  <conditionalFormatting sqref="K1165">
    <cfRule type="expression" dxfId="535" priority="10626">
      <formula>AND($K$1165&lt;&gt;0,$K$1165&lt;&gt;"")</formula>
    </cfRule>
    <cfRule type="expression" dxfId="534" priority="10627" stopIfTrue="1">
      <formula>$L$1165&lt;&gt;"√"</formula>
    </cfRule>
  </conditionalFormatting>
  <conditionalFormatting sqref="H1185">
    <cfRule type="expression" dxfId="533" priority="10628">
      <formula>AND(H$1185&lt;&gt;0,H$1185&lt;&gt;"")</formula>
    </cfRule>
    <cfRule type="expression" dxfId="532" priority="10629" stopIfTrue="1">
      <formula>H$1186&lt;&gt;"√"</formula>
    </cfRule>
  </conditionalFormatting>
  <conditionalFormatting sqref="I1185">
    <cfRule type="expression" dxfId="531" priority="10630">
      <formula>AND(I$1185&lt;&gt;0,I$1185&lt;&gt;"")</formula>
    </cfRule>
    <cfRule type="expression" dxfId="530" priority="10631" stopIfTrue="1">
      <formula>I$1186&lt;&gt;"√"</formula>
    </cfRule>
  </conditionalFormatting>
  <conditionalFormatting sqref="K1187">
    <cfRule type="expression" dxfId="529" priority="10632">
      <formula>AND($K$1187&lt;&gt;0,$K$1187&lt;&gt;"")</formula>
    </cfRule>
    <cfRule type="expression" dxfId="528" priority="10633" stopIfTrue="1">
      <formula>$L$1187&lt;&gt;"√"</formula>
    </cfRule>
  </conditionalFormatting>
  <conditionalFormatting sqref="H1251">
    <cfRule type="expression" dxfId="527" priority="10634">
      <formula>AND(H$1251&lt;&gt;0,H$1251&lt;&gt;"")</formula>
    </cfRule>
    <cfRule type="expression" dxfId="526" priority="10635" stopIfTrue="1">
      <formula>H$1252&lt;&gt;"√"</formula>
    </cfRule>
  </conditionalFormatting>
  <conditionalFormatting sqref="I1251">
    <cfRule type="expression" dxfId="525" priority="10636">
      <formula>AND(I$1251&lt;&gt;0,I$1251&lt;&gt;"")</formula>
    </cfRule>
    <cfRule type="expression" dxfId="524" priority="10637" stopIfTrue="1">
      <formula>I$1252&lt;&gt;"√"</formula>
    </cfRule>
  </conditionalFormatting>
  <conditionalFormatting sqref="K1253">
    <cfRule type="expression" dxfId="523" priority="10638">
      <formula>AND($K$1253&lt;&gt;0,$K$1253&lt;&gt;"")</formula>
    </cfRule>
    <cfRule type="expression" dxfId="522" priority="10639" stopIfTrue="1">
      <formula>$L$1253&lt;&gt;"√"</formula>
    </cfRule>
  </conditionalFormatting>
  <conditionalFormatting sqref="H1273">
    <cfRule type="expression" dxfId="521" priority="10640">
      <formula>AND(H$1273&lt;&gt;0,H$1273&lt;&gt;"")</formula>
    </cfRule>
    <cfRule type="expression" dxfId="520" priority="10641" stopIfTrue="1">
      <formula>H$1274&lt;&gt;"√"</formula>
    </cfRule>
  </conditionalFormatting>
  <conditionalFormatting sqref="I1273">
    <cfRule type="expression" dxfId="519" priority="10642">
      <formula>AND(I$1273&lt;&gt;0,I$1273&lt;&gt;"")</formula>
    </cfRule>
    <cfRule type="expression" dxfId="518" priority="10643" stopIfTrue="1">
      <formula>I$1274&lt;&gt;"√"</formula>
    </cfRule>
  </conditionalFormatting>
  <conditionalFormatting sqref="K1275">
    <cfRule type="expression" dxfId="517" priority="10644">
      <formula>AND($K$1275&lt;&gt;0,$K$1275&lt;&gt;"")</formula>
    </cfRule>
    <cfRule type="expression" dxfId="516" priority="10645" stopIfTrue="1">
      <formula>$L$1275&lt;&gt;"√"</formula>
    </cfRule>
  </conditionalFormatting>
  <conditionalFormatting sqref="H1344">
    <cfRule type="expression" dxfId="515" priority="10646">
      <formula>AND(H$1344&lt;&gt;0,H$1344&lt;&gt;"")</formula>
    </cfRule>
    <cfRule type="expression" dxfId="514" priority="10647" stopIfTrue="1">
      <formula>H$1345&lt;&gt;"√"</formula>
    </cfRule>
  </conditionalFormatting>
  <conditionalFormatting sqref="I1344">
    <cfRule type="expression" dxfId="513" priority="10648">
      <formula>AND(I$1344&lt;&gt;0,I$1344&lt;&gt;"")</formula>
    </cfRule>
    <cfRule type="expression" dxfId="512" priority="10649" stopIfTrue="1">
      <formula>I$1345&lt;&gt;"√"</formula>
    </cfRule>
  </conditionalFormatting>
  <conditionalFormatting sqref="K1346">
    <cfRule type="expression" dxfId="511" priority="10650">
      <formula>AND($K$1346&lt;&gt;0,$K$1346&lt;&gt;"")</formula>
    </cfRule>
    <cfRule type="expression" dxfId="510" priority="10651" stopIfTrue="1">
      <formula>$L$1346&lt;&gt;"√"</formula>
    </cfRule>
  </conditionalFormatting>
  <conditionalFormatting sqref="H1383">
    <cfRule type="expression" dxfId="509" priority="10652">
      <formula>AND(H$1383&lt;&gt;0,H$1383&lt;&gt;"")</formula>
    </cfRule>
    <cfRule type="expression" dxfId="508" priority="10653" stopIfTrue="1">
      <formula>H$1384&lt;&gt;"√"</formula>
    </cfRule>
  </conditionalFormatting>
  <conditionalFormatting sqref="J1383">
    <cfRule type="expression" dxfId="507" priority="10654">
      <formula>AND(J$1383&lt;&gt;0,J$1383&lt;&gt;"")</formula>
    </cfRule>
    <cfRule type="expression" dxfId="506" priority="10655" stopIfTrue="1">
      <formula>J$1384&lt;&gt;"√"</formula>
    </cfRule>
  </conditionalFormatting>
  <conditionalFormatting sqref="L1383">
    <cfRule type="expression" dxfId="505" priority="10656">
      <formula>AND(L$1383&lt;&gt;0,L$1383&lt;&gt;"")</formula>
    </cfRule>
    <cfRule type="expression" dxfId="504" priority="10657" stopIfTrue="1">
      <formula>L$1384&lt;&gt;"√"</formula>
    </cfRule>
  </conditionalFormatting>
  <conditionalFormatting sqref="K1385">
    <cfRule type="expression" dxfId="503" priority="10658">
      <formula>AND($K$1385&lt;&gt;0,$K$1385&lt;&gt;"")</formula>
    </cfRule>
    <cfRule type="expression" dxfId="502" priority="10659" stopIfTrue="1">
      <formula>$L$1385&lt;&gt;"√"</formula>
    </cfRule>
  </conditionalFormatting>
  <conditionalFormatting sqref="H1405">
    <cfRule type="expression" dxfId="501" priority="10660">
      <formula>AND(H$1405&lt;&gt;0,H$1405&lt;&gt;"")</formula>
    </cfRule>
    <cfRule type="expression" dxfId="500" priority="10661" stopIfTrue="1">
      <formula>H$1406&lt;&gt;"√"</formula>
    </cfRule>
  </conditionalFormatting>
  <conditionalFormatting sqref="J1405">
    <cfRule type="expression" dxfId="499" priority="10662">
      <formula>AND(J$1405&lt;&gt;0,J$1405&lt;&gt;"")</formula>
    </cfRule>
    <cfRule type="expression" dxfId="498" priority="10663" stopIfTrue="1">
      <formula>J$1406&lt;&gt;"√"</formula>
    </cfRule>
  </conditionalFormatting>
  <conditionalFormatting sqref="L1405">
    <cfRule type="expression" dxfId="497" priority="10664">
      <formula>AND(L$1405&lt;&gt;0,L$1405&lt;&gt;"")</formula>
    </cfRule>
    <cfRule type="expression" dxfId="496" priority="10665" stopIfTrue="1">
      <formula>L$1406&lt;&gt;"√"</formula>
    </cfRule>
  </conditionalFormatting>
  <conditionalFormatting sqref="K1407">
    <cfRule type="expression" dxfId="495" priority="10666">
      <formula>AND($K$1407&lt;&gt;0,$K$1407&lt;&gt;"")</formula>
    </cfRule>
    <cfRule type="expression" dxfId="494" priority="10667" stopIfTrue="1">
      <formula>$L$1407&lt;&gt;"√"</formula>
    </cfRule>
  </conditionalFormatting>
  <conditionalFormatting sqref="H1424">
    <cfRule type="expression" dxfId="493" priority="10668">
      <formula>AND(H$1424&lt;&gt;0,H$1424&lt;&gt;"")</formula>
    </cfRule>
    <cfRule type="expression" dxfId="492" priority="10669" stopIfTrue="1">
      <formula>H$1425&lt;&gt;"√"</formula>
    </cfRule>
  </conditionalFormatting>
  <conditionalFormatting sqref="I1424">
    <cfRule type="expression" dxfId="491" priority="10670">
      <formula>AND(I$1424&lt;&gt;0,I$1424&lt;&gt;"")</formula>
    </cfRule>
    <cfRule type="expression" dxfId="490" priority="10671" stopIfTrue="1">
      <formula>I$1425&lt;&gt;"√"</formula>
    </cfRule>
  </conditionalFormatting>
  <conditionalFormatting sqref="K1426">
    <cfRule type="expression" dxfId="489" priority="10672">
      <formula>AND($K$1426&lt;&gt;0,$K$1426&lt;&gt;"")</formula>
    </cfRule>
    <cfRule type="expression" dxfId="488" priority="10673" stopIfTrue="1">
      <formula>$L$1426&lt;&gt;"√"</formula>
    </cfRule>
  </conditionalFormatting>
  <conditionalFormatting sqref="H1445">
    <cfRule type="expression" dxfId="487" priority="10674">
      <formula>AND(H$1445&lt;&gt;0,H$1445&lt;&gt;"")</formula>
    </cfRule>
    <cfRule type="expression" dxfId="486" priority="10675" stopIfTrue="1">
      <formula>H$1446&lt;&gt;"√"</formula>
    </cfRule>
  </conditionalFormatting>
  <conditionalFormatting sqref="J1445">
    <cfRule type="expression" dxfId="485" priority="10676">
      <formula>AND(J$1445&lt;&gt;0,J$1445&lt;&gt;"")</formula>
    </cfRule>
    <cfRule type="expression" dxfId="484" priority="10677" stopIfTrue="1">
      <formula>J$1446&lt;&gt;"√"</formula>
    </cfRule>
  </conditionalFormatting>
  <conditionalFormatting sqref="K1447">
    <cfRule type="expression" dxfId="483" priority="10678">
      <formula>AND($K$1447&lt;&gt;0,$K$1447&lt;&gt;"")</formula>
    </cfRule>
    <cfRule type="expression" dxfId="482" priority="10679" stopIfTrue="1">
      <formula>$L$1447&lt;&gt;"√"</formula>
    </cfRule>
  </conditionalFormatting>
  <conditionalFormatting sqref="H1009">
    <cfRule type="expression" dxfId="481" priority="10680">
      <formula>AND(H$1009&lt;&gt;0,H$1009&lt;&gt;"")</formula>
    </cfRule>
    <cfRule type="expression" dxfId="480" priority="10681" stopIfTrue="1">
      <formula>H$1010&lt;&gt;"√"</formula>
    </cfRule>
  </conditionalFormatting>
  <conditionalFormatting sqref="I1009">
    <cfRule type="expression" dxfId="479" priority="10682">
      <formula>AND(I$1009&lt;&gt;0,I$1009&lt;&gt;"")</formula>
    </cfRule>
    <cfRule type="expression" dxfId="478" priority="10683" stopIfTrue="1">
      <formula>I$1010&lt;&gt;"√"</formula>
    </cfRule>
  </conditionalFormatting>
  <conditionalFormatting sqref="K1011">
    <cfRule type="expression" dxfId="477" priority="10684">
      <formula>AND($K$1011&lt;&gt;0,$K$1011&lt;&gt;"")</formula>
    </cfRule>
    <cfRule type="expression" dxfId="476" priority="10685" stopIfTrue="1">
      <formula>$L$1011&lt;&gt;"√"</formula>
    </cfRule>
  </conditionalFormatting>
  <conditionalFormatting sqref="H1678">
    <cfRule type="expression" dxfId="475" priority="10686">
      <formula>AND(H$1678&lt;&gt;0,H$1678&lt;&gt;"")</formula>
    </cfRule>
    <cfRule type="expression" dxfId="474" priority="10687" stopIfTrue="1">
      <formula>H$1679&lt;&gt;"√"</formula>
    </cfRule>
  </conditionalFormatting>
  <conditionalFormatting sqref="K1680">
    <cfRule type="expression" dxfId="473" priority="10688">
      <formula>AND($K$1680&lt;&gt;0,$K$1680&lt;&gt;"")</formula>
    </cfRule>
    <cfRule type="expression" dxfId="472" priority="10689" stopIfTrue="1">
      <formula>$L$1680&lt;&gt;"√"</formula>
    </cfRule>
  </conditionalFormatting>
  <conditionalFormatting sqref="K1695">
    <cfRule type="expression" dxfId="471" priority="10690">
      <formula>AND(K$1695&lt;&gt;0,K$1695&lt;&gt;"")</formula>
    </cfRule>
    <cfRule type="expression" dxfId="470" priority="10691" stopIfTrue="1">
      <formula>K$1696&lt;&gt;"√"</formula>
    </cfRule>
  </conditionalFormatting>
  <conditionalFormatting sqref="L1695">
    <cfRule type="expression" dxfId="469" priority="10692">
      <formula>AND(L$1695&lt;&gt;0,L$1695&lt;&gt;"")</formula>
    </cfRule>
    <cfRule type="expression" dxfId="468" priority="10693" stopIfTrue="1">
      <formula>L$1696&lt;&gt;"√"</formula>
    </cfRule>
  </conditionalFormatting>
  <conditionalFormatting sqref="M1695">
    <cfRule type="expression" dxfId="467" priority="10694">
      <formula>AND(M$1695&lt;&gt;0,M$1695&lt;&gt;"")</formula>
    </cfRule>
    <cfRule type="expression" dxfId="466" priority="10695" stopIfTrue="1">
      <formula>M$1696&lt;&gt;"√"</formula>
    </cfRule>
  </conditionalFormatting>
  <conditionalFormatting sqref="K1697">
    <cfRule type="expression" dxfId="465" priority="10696">
      <formula>AND($K$1697&lt;&gt;0,$K$1697&lt;&gt;"")</formula>
    </cfRule>
    <cfRule type="expression" dxfId="464" priority="10697" stopIfTrue="1">
      <formula>$L$1697&lt;&gt;"√"</formula>
    </cfRule>
  </conditionalFormatting>
  <conditionalFormatting sqref="I1712">
    <cfRule type="expression" dxfId="463" priority="10698">
      <formula>AND(I$1712&lt;&gt;0,I$1712&lt;&gt;"")</formula>
    </cfRule>
    <cfRule type="expression" dxfId="462" priority="10699" stopIfTrue="1">
      <formula>I$1713&lt;&gt;"√"</formula>
    </cfRule>
  </conditionalFormatting>
  <conditionalFormatting sqref="L1712">
    <cfRule type="expression" dxfId="461" priority="10700">
      <formula>AND(L$1712&lt;&gt;0,L$1712&lt;&gt;"")</formula>
    </cfRule>
    <cfRule type="expression" dxfId="460" priority="10701" stopIfTrue="1">
      <formula>L$1713&lt;&gt;"√"</formula>
    </cfRule>
  </conditionalFormatting>
  <conditionalFormatting sqref="M1712">
    <cfRule type="expression" dxfId="459" priority="10702">
      <formula>AND(M$1712&lt;&gt;0,M$1712&lt;&gt;"")</formula>
    </cfRule>
    <cfRule type="expression" dxfId="458" priority="10703" stopIfTrue="1">
      <formula>M$1713&lt;&gt;"√"</formula>
    </cfRule>
  </conditionalFormatting>
  <conditionalFormatting sqref="K1714">
    <cfRule type="expression" dxfId="457" priority="10704">
      <formula>AND($K$1714&lt;&gt;0,$K$1714&lt;&gt;"")</formula>
    </cfRule>
    <cfRule type="expression" dxfId="456" priority="10705" stopIfTrue="1">
      <formula>$L$1714&lt;&gt;"√"</formula>
    </cfRule>
  </conditionalFormatting>
  <conditionalFormatting sqref="H1865">
    <cfRule type="expression" dxfId="455" priority="10706">
      <formula>AND(H$1865&lt;&gt;0,H$1865&lt;&gt;"")</formula>
    </cfRule>
    <cfRule type="expression" dxfId="454" priority="10707" stopIfTrue="1">
      <formula>H$1866&lt;&gt;"√"</formula>
    </cfRule>
  </conditionalFormatting>
  <conditionalFormatting sqref="I1865">
    <cfRule type="expression" dxfId="453" priority="10708">
      <formula>AND(I$1865&lt;&gt;0,I$1865&lt;&gt;"")</formula>
    </cfRule>
    <cfRule type="expression" dxfId="452" priority="10709" stopIfTrue="1">
      <formula>I$1866&lt;&gt;"√"</formula>
    </cfRule>
  </conditionalFormatting>
  <conditionalFormatting sqref="J1865">
    <cfRule type="expression" dxfId="451" priority="10710">
      <formula>AND(J$1865&lt;&gt;0,J$1865&lt;&gt;"")</formula>
    </cfRule>
    <cfRule type="expression" dxfId="450" priority="10711" stopIfTrue="1">
      <formula>J$1866&lt;&gt;"√"</formula>
    </cfRule>
  </conditionalFormatting>
  <conditionalFormatting sqref="K1867">
    <cfRule type="expression" dxfId="449" priority="10712">
      <formula>AND($K$1867&lt;&gt;0,$K$1867&lt;&gt;"")</formula>
    </cfRule>
    <cfRule type="expression" dxfId="448" priority="10713" stopIfTrue="1">
      <formula>$L$1867&lt;&gt;"√"</formula>
    </cfRule>
  </conditionalFormatting>
  <conditionalFormatting sqref="H1923">
    <cfRule type="expression" dxfId="447" priority="10714">
      <formula>AND(H$1923&lt;&gt;0,H$1923&lt;&gt;"")</formula>
    </cfRule>
    <cfRule type="expression" dxfId="446" priority="10715" stopIfTrue="1">
      <formula>H$1924&lt;&gt;"√"</formula>
    </cfRule>
  </conditionalFormatting>
  <conditionalFormatting sqref="N1923">
    <cfRule type="expression" dxfId="445" priority="10716">
      <formula>AND(N$1923&lt;&gt;0,N$1923&lt;&gt;"")</formula>
    </cfRule>
    <cfRule type="expression" dxfId="444" priority="10717" stopIfTrue="1">
      <formula>N$1924&lt;&gt;"√"</formula>
    </cfRule>
  </conditionalFormatting>
  <conditionalFormatting sqref="K1925">
    <cfRule type="expression" dxfId="443" priority="10718">
      <formula>AND($K$1925&lt;&gt;0,$K$1925&lt;&gt;"")</formula>
    </cfRule>
    <cfRule type="expression" dxfId="442" priority="10719" stopIfTrue="1">
      <formula>$L$1925&lt;&gt;"√"</formula>
    </cfRule>
  </conditionalFormatting>
  <conditionalFormatting sqref="H2230">
    <cfRule type="expression" dxfId="441" priority="10721">
      <formula>AND(H$2230&lt;&gt;0,H$2230&lt;&gt;"")</formula>
    </cfRule>
    <cfRule type="expression" dxfId="440" priority="10722" stopIfTrue="1">
      <formula>H$2231&lt;&gt;"√"</formula>
    </cfRule>
  </conditionalFormatting>
  <conditionalFormatting sqref="I2230">
    <cfRule type="expression" dxfId="439" priority="10723">
      <formula>AND(I$2230&lt;&gt;0,I$2230&lt;&gt;"")</formula>
    </cfRule>
    <cfRule type="expression" dxfId="438" priority="10724" stopIfTrue="1">
      <formula>I$2231&lt;&gt;"√"</formula>
    </cfRule>
  </conditionalFormatting>
  <conditionalFormatting sqref="J2230">
    <cfRule type="expression" dxfId="437" priority="10725">
      <formula>AND(J$2230&lt;&gt;0,J$2230&lt;&gt;"")</formula>
    </cfRule>
    <cfRule type="expression" dxfId="436" priority="10726" stopIfTrue="1">
      <formula>J$2231&lt;&gt;"√"</formula>
    </cfRule>
  </conditionalFormatting>
  <conditionalFormatting sqref="K2232">
    <cfRule type="expression" dxfId="435" priority="10727">
      <formula>AND($K$2232&lt;&gt;0,$K$2232&lt;&gt;"")</formula>
    </cfRule>
    <cfRule type="expression" dxfId="434" priority="10728" stopIfTrue="1">
      <formula>$L$2232&lt;&gt;"√"</formula>
    </cfRule>
  </conditionalFormatting>
  <conditionalFormatting sqref="H2289">
    <cfRule type="expression" dxfId="433" priority="10730">
      <formula>AND(H$2289&lt;&gt;0,H$2289&lt;&gt;"")</formula>
    </cfRule>
    <cfRule type="expression" dxfId="432" priority="10731" stopIfTrue="1">
      <formula>H$2290&lt;&gt;"√"</formula>
    </cfRule>
  </conditionalFormatting>
  <conditionalFormatting sqref="J2289">
    <cfRule type="expression" dxfId="431" priority="10732">
      <formula>AND(J$2289&lt;&gt;0,J$2289&lt;&gt;"")</formula>
    </cfRule>
    <cfRule type="expression" dxfId="430" priority="10733" stopIfTrue="1">
      <formula>J$2290&lt;&gt;"√"</formula>
    </cfRule>
  </conditionalFormatting>
  <conditionalFormatting sqref="L2289">
    <cfRule type="expression" dxfId="429" priority="10734">
      <formula>AND(L$2289&lt;&gt;0,L$2289&lt;&gt;"")</formula>
    </cfRule>
    <cfRule type="expression" dxfId="428" priority="10735" stopIfTrue="1">
      <formula>L$2290&lt;&gt;"√"</formula>
    </cfRule>
  </conditionalFormatting>
  <conditionalFormatting sqref="K2291">
    <cfRule type="expression" dxfId="427" priority="10736">
      <formula>AND($K$2291&lt;&gt;0,$K$2291&lt;&gt;"")</formula>
    </cfRule>
    <cfRule type="expression" dxfId="426" priority="10737" stopIfTrue="1">
      <formula>$L$2291&lt;&gt;"√"</formula>
    </cfRule>
  </conditionalFormatting>
  <conditionalFormatting sqref="H2311">
    <cfRule type="expression" dxfId="425" priority="10738">
      <formula>AND(H$2311&lt;&gt;0,H$2311&lt;&gt;"")</formula>
    </cfRule>
    <cfRule type="expression" dxfId="424" priority="10739" stopIfTrue="1">
      <formula>H$2312&lt;&gt;"√"</formula>
    </cfRule>
  </conditionalFormatting>
  <conditionalFormatting sqref="I2311">
    <cfRule type="expression" dxfId="423" priority="10740">
      <formula>AND(I$2311&lt;&gt;0,I$2311&lt;&gt;"")</formula>
    </cfRule>
    <cfRule type="expression" dxfId="422" priority="10741" stopIfTrue="1">
      <formula>I$2312&lt;&gt;"√"</formula>
    </cfRule>
  </conditionalFormatting>
  <conditionalFormatting sqref="K2313">
    <cfRule type="expression" dxfId="421" priority="10742">
      <formula>AND($K$2313&lt;&gt;0,$K$2313&lt;&gt;"")</formula>
    </cfRule>
    <cfRule type="expression" dxfId="420" priority="10743" stopIfTrue="1">
      <formula>$L$2313&lt;&gt;"√"</formula>
    </cfRule>
  </conditionalFormatting>
  <conditionalFormatting sqref="H2345">
    <cfRule type="expression" dxfId="419" priority="10744">
      <formula>AND(H$2345&lt;&gt;0,H$2345&lt;&gt;"")</formula>
    </cfRule>
    <cfRule type="expression" dxfId="418" priority="10745" stopIfTrue="1">
      <formula>H$2346&lt;&gt;"√"</formula>
    </cfRule>
  </conditionalFormatting>
  <conditionalFormatting sqref="N2345">
    <cfRule type="expression" dxfId="417" priority="10746">
      <formula>AND(N$2345&lt;&gt;0,N$2345&lt;&gt;"")</formula>
    </cfRule>
    <cfRule type="expression" dxfId="416" priority="10747" stopIfTrue="1">
      <formula>N$2346&lt;&gt;"√"</formula>
    </cfRule>
  </conditionalFormatting>
  <conditionalFormatting sqref="K2347">
    <cfRule type="expression" dxfId="415" priority="10748">
      <formula>AND($K$2347&lt;&gt;0,$K$2347&lt;&gt;"")</formula>
    </cfRule>
    <cfRule type="expression" dxfId="414" priority="10749" stopIfTrue="1">
      <formula>$L$2347&lt;&gt;"√"</formula>
    </cfRule>
  </conditionalFormatting>
  <conditionalFormatting sqref="H2459">
    <cfRule type="expression" dxfId="413" priority="10750">
      <formula>AND(H$2459&lt;&gt;0,H$2459&lt;&gt;"")</formula>
    </cfRule>
    <cfRule type="expression" dxfId="412" priority="10751" stopIfTrue="1">
      <formula>H$2460&lt;&gt;"√"</formula>
    </cfRule>
  </conditionalFormatting>
  <conditionalFormatting sqref="K2459">
    <cfRule type="expression" dxfId="411" priority="10752">
      <formula>AND(K$2459&lt;&gt;0,K$2459&lt;&gt;"")</formula>
    </cfRule>
    <cfRule type="expression" dxfId="410" priority="10753" stopIfTrue="1">
      <formula>K$2460&lt;&gt;"√"</formula>
    </cfRule>
  </conditionalFormatting>
  <conditionalFormatting sqref="M2459">
    <cfRule type="expression" dxfId="409" priority="10754">
      <formula>AND(M$2459&lt;&gt;0,M$2459&lt;&gt;"")</formula>
    </cfRule>
    <cfRule type="expression" dxfId="408" priority="10755" stopIfTrue="1">
      <formula>M$2460&lt;&gt;"√"</formula>
    </cfRule>
  </conditionalFormatting>
  <conditionalFormatting sqref="K2461">
    <cfRule type="expression" dxfId="407" priority="10756">
      <formula>AND($K$2461&lt;&gt;0,$K$2461&lt;&gt;"")</formula>
    </cfRule>
    <cfRule type="expression" dxfId="406" priority="10757" stopIfTrue="1">
      <formula>$L$2461&lt;&gt;"√"</formula>
    </cfRule>
  </conditionalFormatting>
  <conditionalFormatting sqref="I2427">
    <cfRule type="expression" dxfId="405" priority="10758">
      <formula>AND(I$2427&lt;&gt;0,I$2427&lt;&gt;"")</formula>
    </cfRule>
    <cfRule type="expression" dxfId="404" priority="10759" stopIfTrue="1">
      <formula>I$2428&lt;&gt;"√"</formula>
    </cfRule>
  </conditionalFormatting>
  <conditionalFormatting sqref="J2427">
    <cfRule type="expression" dxfId="403" priority="10760">
      <formula>AND(J$2427&lt;&gt;0,J$2427&lt;&gt;"")</formula>
    </cfRule>
    <cfRule type="expression" dxfId="402" priority="10761" stopIfTrue="1">
      <formula>J$2428&lt;&gt;"√"</formula>
    </cfRule>
  </conditionalFormatting>
  <conditionalFormatting sqref="M2427">
    <cfRule type="expression" dxfId="401" priority="10762">
      <formula>AND(M$2427&lt;&gt;0,M$2427&lt;&gt;"")</formula>
    </cfRule>
    <cfRule type="expression" dxfId="400" priority="10763" stopIfTrue="1">
      <formula>M$2428&lt;&gt;"√"</formula>
    </cfRule>
  </conditionalFormatting>
  <conditionalFormatting sqref="K2429">
    <cfRule type="expression" dxfId="399" priority="10764">
      <formula>AND($K$2429&lt;&gt;0,$K$2429&lt;&gt;"")</formula>
    </cfRule>
    <cfRule type="expression" dxfId="398" priority="10765" stopIfTrue="1">
      <formula>$L$2429&lt;&gt;"√"</formula>
    </cfRule>
  </conditionalFormatting>
  <conditionalFormatting sqref="H2893">
    <cfRule type="expression" dxfId="397" priority="10768">
      <formula>AND(H$2893&lt;&gt;0,H$2893&lt;&gt;"")</formula>
    </cfRule>
    <cfRule type="expression" dxfId="396" priority="10769" stopIfTrue="1">
      <formula>H$2894&lt;&gt;"√"</formula>
    </cfRule>
  </conditionalFormatting>
  <conditionalFormatting sqref="I2893">
    <cfRule type="expression" dxfId="395" priority="10770">
      <formula>AND(I$2893&lt;&gt;0,I$2893&lt;&gt;"")</formula>
    </cfRule>
    <cfRule type="expression" dxfId="394" priority="10771" stopIfTrue="1">
      <formula>I$2894&lt;&gt;"√"</formula>
    </cfRule>
  </conditionalFormatting>
  <conditionalFormatting sqref="K2895">
    <cfRule type="expression" dxfId="393" priority="10772">
      <formula>AND($K$2895&lt;&gt;0,$K$2895&lt;&gt;"")</formula>
    </cfRule>
    <cfRule type="expression" dxfId="392" priority="10773" stopIfTrue="1">
      <formula>$L$2895&lt;&gt;"√"</formula>
    </cfRule>
  </conditionalFormatting>
  <conditionalFormatting sqref="H3467">
    <cfRule type="expression" dxfId="391" priority="10774">
      <formula>AND(H$3467&lt;&gt;0,H$3467&lt;&gt;"")</formula>
    </cfRule>
    <cfRule type="expression" dxfId="390" priority="10775" stopIfTrue="1">
      <formula>H$3468&lt;&gt;"√"</formula>
    </cfRule>
  </conditionalFormatting>
  <conditionalFormatting sqref="I3467">
    <cfRule type="expression" dxfId="389" priority="10776">
      <formula>AND(I$3467&lt;&gt;0,I$3467&lt;&gt;"")</formula>
    </cfRule>
    <cfRule type="expression" dxfId="388" priority="10777" stopIfTrue="1">
      <formula>I$3468&lt;&gt;"√"</formula>
    </cfRule>
  </conditionalFormatting>
  <conditionalFormatting sqref="K3469">
    <cfRule type="expression" dxfId="387" priority="10778">
      <formula>AND($K$3469&lt;&gt;0,$K$3469&lt;&gt;"")</formula>
    </cfRule>
    <cfRule type="expression" dxfId="386" priority="10779" stopIfTrue="1">
      <formula>$L$3469&lt;&gt;"√"</formula>
    </cfRule>
  </conditionalFormatting>
  <conditionalFormatting sqref="H3554">
    <cfRule type="expression" dxfId="385" priority="10780">
      <formula>AND(H$3554&lt;&gt;0,H$3554&lt;&gt;"")</formula>
    </cfRule>
    <cfRule type="expression" dxfId="384" priority="10781" stopIfTrue="1">
      <formula>H$3555&lt;&gt;"√"</formula>
    </cfRule>
  </conditionalFormatting>
  <conditionalFormatting sqref="I3554">
    <cfRule type="expression" dxfId="383" priority="10782">
      <formula>AND(I$3554&lt;&gt;0,I$3554&lt;&gt;"")</formula>
    </cfRule>
    <cfRule type="expression" dxfId="382" priority="10783" stopIfTrue="1">
      <formula>I$3555&lt;&gt;"√"</formula>
    </cfRule>
  </conditionalFormatting>
  <conditionalFormatting sqref="K3556">
    <cfRule type="expression" dxfId="381" priority="10784">
      <formula>AND($K$3556&lt;&gt;0,$K$3556&lt;&gt;"")</formula>
    </cfRule>
    <cfRule type="expression" dxfId="380" priority="10785" stopIfTrue="1">
      <formula>$L$3556&lt;&gt;"√"</formula>
    </cfRule>
  </conditionalFormatting>
  <conditionalFormatting sqref="G3544:G3549">
    <cfRule type="expression" dxfId="379" priority="10786">
      <formula>$D3544&gt;1</formula>
    </cfRule>
    <cfRule type="expression" dxfId="378" priority="10787">
      <formula>$C3544="%IN"</formula>
    </cfRule>
    <cfRule type="expression" dxfId="377" priority="10788" stopIfTrue="1">
      <formula>$E3544=0</formula>
    </cfRule>
  </conditionalFormatting>
  <conditionalFormatting sqref="H3653">
    <cfRule type="expression" dxfId="376" priority="10789">
      <formula>AND(H$3653&lt;&gt;0,H$3653&lt;&gt;"")</formula>
    </cfRule>
    <cfRule type="expression" dxfId="375" priority="10790" stopIfTrue="1">
      <formula>H$3654&lt;&gt;"√"</formula>
    </cfRule>
  </conditionalFormatting>
  <conditionalFormatting sqref="I3653">
    <cfRule type="expression" dxfId="374" priority="10791">
      <formula>AND(I$3653&lt;&gt;0,I$3653&lt;&gt;"")</formula>
    </cfRule>
    <cfRule type="expression" dxfId="373" priority="10792" stopIfTrue="1">
      <formula>I$3654&lt;&gt;"√"</formula>
    </cfRule>
  </conditionalFormatting>
  <conditionalFormatting sqref="J3653">
    <cfRule type="expression" dxfId="372" priority="10793">
      <formula>AND(J$3653&lt;&gt;0,J$3653&lt;&gt;"")</formula>
    </cfRule>
    <cfRule type="expression" dxfId="371" priority="10794" stopIfTrue="1">
      <formula>J$3654&lt;&gt;"√"</formula>
    </cfRule>
  </conditionalFormatting>
  <conditionalFormatting sqref="K3653">
    <cfRule type="expression" dxfId="370" priority="10795">
      <formula>AND(K$3653&lt;&gt;0,K$3653&lt;&gt;"")</formula>
    </cfRule>
    <cfRule type="expression" dxfId="369" priority="10796" stopIfTrue="1">
      <formula>K$3654&lt;&gt;"√"</formula>
    </cfRule>
  </conditionalFormatting>
  <conditionalFormatting sqref="K3655">
    <cfRule type="expression" dxfId="368" priority="10797">
      <formula>AND($K$3655&lt;&gt;0,$K$3655&lt;&gt;"")</formula>
    </cfRule>
    <cfRule type="expression" dxfId="367" priority="10798" stopIfTrue="1">
      <formula>$L$3655&lt;&gt;"√"</formula>
    </cfRule>
  </conditionalFormatting>
  <conditionalFormatting sqref="H3677">
    <cfRule type="expression" dxfId="366" priority="10799">
      <formula>AND(H$3677&lt;&gt;0,H$3677&lt;&gt;"")</formula>
    </cfRule>
    <cfRule type="expression" dxfId="365" priority="10800" stopIfTrue="1">
      <formula>H$3678&lt;&gt;"√"</formula>
    </cfRule>
  </conditionalFormatting>
  <conditionalFormatting sqref="I3677">
    <cfRule type="expression" dxfId="364" priority="10801">
      <formula>AND(I$3677&lt;&gt;0,I$3677&lt;&gt;"")</formula>
    </cfRule>
    <cfRule type="expression" dxfId="363" priority="10802" stopIfTrue="1">
      <formula>I$3678&lt;&gt;"√"</formula>
    </cfRule>
  </conditionalFormatting>
  <conditionalFormatting sqref="J3677">
    <cfRule type="expression" dxfId="362" priority="10803">
      <formula>AND(J$3677&lt;&gt;0,J$3677&lt;&gt;"")</formula>
    </cfRule>
    <cfRule type="expression" dxfId="361" priority="10804" stopIfTrue="1">
      <formula>J$3678&lt;&gt;"√"</formula>
    </cfRule>
  </conditionalFormatting>
  <conditionalFormatting sqref="K3677">
    <cfRule type="expression" dxfId="360" priority="10805">
      <formula>AND(K$3677&lt;&gt;0,K$3677&lt;&gt;"")</formula>
    </cfRule>
    <cfRule type="expression" dxfId="359" priority="10806" stopIfTrue="1">
      <formula>K$3678&lt;&gt;"√"</formula>
    </cfRule>
  </conditionalFormatting>
  <conditionalFormatting sqref="K3679">
    <cfRule type="expression" dxfId="358" priority="10807">
      <formula>AND($K$3679&lt;&gt;0,$K$3679&lt;&gt;"")</formula>
    </cfRule>
    <cfRule type="expression" dxfId="357" priority="10808" stopIfTrue="1">
      <formula>$L$3679&lt;&gt;"√"</formula>
    </cfRule>
  </conditionalFormatting>
  <conditionalFormatting sqref="H3852">
    <cfRule type="expression" dxfId="356" priority="10810">
      <formula>AND(H$3852&lt;&gt;0,H$3852&lt;&gt;"")</formula>
    </cfRule>
    <cfRule type="expression" dxfId="355" priority="10811" stopIfTrue="1">
      <formula>H$3853&lt;&gt;"√"</formula>
    </cfRule>
  </conditionalFormatting>
  <conditionalFormatting sqref="I3852">
    <cfRule type="expression" dxfId="354" priority="10812">
      <formula>AND(I$3852&lt;&gt;0,I$3852&lt;&gt;"")</formula>
    </cfRule>
    <cfRule type="expression" dxfId="353" priority="10813" stopIfTrue="1">
      <formula>I$3853&lt;&gt;"√"</formula>
    </cfRule>
  </conditionalFormatting>
  <conditionalFormatting sqref="K3854">
    <cfRule type="expression" dxfId="352" priority="10814">
      <formula>AND($K$3854&lt;&gt;0,$K$3854&lt;&gt;"")</formula>
    </cfRule>
    <cfRule type="expression" dxfId="351" priority="10815" stopIfTrue="1">
      <formula>$L$3854&lt;&gt;"√"</formula>
    </cfRule>
  </conditionalFormatting>
  <conditionalFormatting sqref="H4132">
    <cfRule type="expression" dxfId="350" priority="10816">
      <formula>AND(H$4132&lt;&gt;0,H$4132&lt;&gt;"")</formula>
    </cfRule>
    <cfRule type="expression" dxfId="349" priority="10817" stopIfTrue="1">
      <formula>H$4133&lt;&gt;"√"</formula>
    </cfRule>
  </conditionalFormatting>
  <conditionalFormatting sqref="I4132">
    <cfRule type="expression" dxfId="348" priority="10818">
      <formula>AND(I$4132&lt;&gt;0,I$4132&lt;&gt;"")</formula>
    </cfRule>
    <cfRule type="expression" dxfId="347" priority="10819" stopIfTrue="1">
      <formula>I$4133&lt;&gt;"√"</formula>
    </cfRule>
  </conditionalFormatting>
  <conditionalFormatting sqref="K4134">
    <cfRule type="expression" dxfId="346" priority="10820">
      <formula>AND($K$4134&lt;&gt;0,$K$4134&lt;&gt;"")</formula>
    </cfRule>
    <cfRule type="expression" dxfId="345" priority="10821" stopIfTrue="1">
      <formula>$L$4134&lt;&gt;"√"</formula>
    </cfRule>
  </conditionalFormatting>
  <conditionalFormatting sqref="H4282">
    <cfRule type="expression" dxfId="344" priority="10822">
      <formula>AND(H$4282&lt;&gt;0,H$4282&lt;&gt;"")</formula>
    </cfRule>
    <cfRule type="expression" dxfId="343" priority="10823" stopIfTrue="1">
      <formula>H$4283&lt;&gt;"√"</formula>
    </cfRule>
  </conditionalFormatting>
  <conditionalFormatting sqref="M4282">
    <cfRule type="expression" dxfId="342" priority="10824">
      <formula>AND(M$4282&lt;&gt;0,M$4282&lt;&gt;"")</formula>
    </cfRule>
    <cfRule type="expression" dxfId="341" priority="10825" stopIfTrue="1">
      <formula>M$4283&lt;&gt;"√"</formula>
    </cfRule>
  </conditionalFormatting>
  <conditionalFormatting sqref="K4284">
    <cfRule type="expression" dxfId="340" priority="10826">
      <formula>AND($K$4284&lt;&gt;0,$K$4284&lt;&gt;"")</formula>
    </cfRule>
    <cfRule type="expression" dxfId="339" priority="10827" stopIfTrue="1">
      <formula>$L$4284&lt;&gt;"√"</formula>
    </cfRule>
  </conditionalFormatting>
  <conditionalFormatting sqref="G4641">
    <cfRule type="expression" dxfId="338" priority="10836">
      <formula>$D4640&gt;1</formula>
    </cfRule>
    <cfRule type="expression" dxfId="337" priority="10837">
      <formula>$C4640="%IN"</formula>
    </cfRule>
    <cfRule type="expression" dxfId="336" priority="10838" stopIfTrue="1">
      <formula>$E4640=0</formula>
    </cfRule>
  </conditionalFormatting>
  <conditionalFormatting sqref="G4640">
    <cfRule type="expression" dxfId="335" priority="10843">
      <formula>$D4641&gt;1</formula>
    </cfRule>
    <cfRule type="expression" dxfId="334" priority="10844">
      <formula>$C4641="%IN"</formula>
    </cfRule>
    <cfRule type="expression" dxfId="333" priority="10845" stopIfTrue="1">
      <formula>$E4641=0</formula>
    </cfRule>
  </conditionalFormatting>
  <conditionalFormatting sqref="H4794">
    <cfRule type="expression" dxfId="332" priority="10846">
      <formula>AND(H$4794&lt;&gt;0,H$4794&lt;&gt;"")</formula>
    </cfRule>
    <cfRule type="expression" dxfId="331" priority="10847" stopIfTrue="1">
      <formula>H$4795&lt;&gt;"√"</formula>
    </cfRule>
  </conditionalFormatting>
  <conditionalFormatting sqref="K4796">
    <cfRule type="expression" dxfId="330" priority="10848">
      <formula>AND($K$4796&lt;&gt;0,$K$4796&lt;&gt;"")</formula>
    </cfRule>
    <cfRule type="expression" dxfId="329" priority="10849" stopIfTrue="1">
      <formula>$L$4796&lt;&gt;"√"</formula>
    </cfRule>
  </conditionalFormatting>
  <conditionalFormatting sqref="L777">
    <cfRule type="expression" dxfId="328" priority="10851" stopIfTrue="1">
      <formula>OR($L$777="F/S",$L$777="")</formula>
    </cfRule>
    <cfRule type="cellIs" dxfId="327" priority="10852" stopIfTrue="1" operator="notEqual">
      <formula>0</formula>
    </cfRule>
  </conditionalFormatting>
  <conditionalFormatting sqref="O777">
    <cfRule type="expression" dxfId="326" priority="10853" stopIfTrue="1">
      <formula>OR($O$777="F/S",$O$777="")</formula>
    </cfRule>
    <cfRule type="cellIs" dxfId="325" priority="10854" stopIfTrue="1" operator="notEqual">
      <formula>0</formula>
    </cfRule>
  </conditionalFormatting>
  <conditionalFormatting sqref="I777">
    <cfRule type="expression" dxfId="324" priority="45" stopIfTrue="1">
      <formula>$I777="适用"</formula>
    </cfRule>
    <cfRule type="expression" dxfId="323" priority="46" stopIfTrue="1">
      <formula>$I777="不适用"</formula>
    </cfRule>
  </conditionalFormatting>
  <conditionalFormatting sqref="Q777">
    <cfRule type="expression" dxfId="322" priority="44" stopIfTrue="1">
      <formula>$Q777="请输入"</formula>
    </cfRule>
  </conditionalFormatting>
  <conditionalFormatting sqref="L792:L794 L796:L803">
    <cfRule type="expression" dxfId="321" priority="10858" stopIfTrue="1">
      <formula>OR($L$792="F/S",$L$792="")</formula>
    </cfRule>
    <cfRule type="cellIs" dxfId="320" priority="10859" stopIfTrue="1" operator="notEqual">
      <formula>0</formula>
    </cfRule>
  </conditionalFormatting>
  <conditionalFormatting sqref="O792:O810">
    <cfRule type="expression" dxfId="319" priority="10860" stopIfTrue="1">
      <formula>OR($O$792="F/S",$O$792="")</formula>
    </cfRule>
    <cfRule type="cellIs" dxfId="318" priority="10861" stopIfTrue="1" operator="notEqual">
      <formula>0</formula>
    </cfRule>
  </conditionalFormatting>
  <conditionalFormatting sqref="I792">
    <cfRule type="expression" dxfId="317" priority="35" stopIfTrue="1">
      <formula>$I792="适用"</formula>
    </cfRule>
    <cfRule type="expression" dxfId="316" priority="36" stopIfTrue="1">
      <formula>$I792="不适用"</formula>
    </cfRule>
  </conditionalFormatting>
  <conditionalFormatting sqref="L811:L813 L816:L825">
    <cfRule type="expression" dxfId="315" priority="10865" stopIfTrue="1">
      <formula>OR($L$811="F/S",$L$811="")</formula>
    </cfRule>
    <cfRule type="cellIs" dxfId="314" priority="10866" stopIfTrue="1" operator="notEqual">
      <formula>0</formula>
    </cfRule>
  </conditionalFormatting>
  <conditionalFormatting sqref="O811:O832">
    <cfRule type="expression" dxfId="313" priority="10867" stopIfTrue="1">
      <formula>OR($O$811="F/S",$O$811="")</formula>
    </cfRule>
    <cfRule type="cellIs" dxfId="312" priority="10868" stopIfTrue="1" operator="notEqual">
      <formula>0</formula>
    </cfRule>
  </conditionalFormatting>
  <conditionalFormatting sqref="I811">
    <cfRule type="expression" dxfId="311" priority="25" stopIfTrue="1">
      <formula>$I811="适用"</formula>
    </cfRule>
    <cfRule type="expression" dxfId="310" priority="26" stopIfTrue="1">
      <formula>$I811="不适用"</formula>
    </cfRule>
  </conditionalFormatting>
  <conditionalFormatting sqref="L833:L835 L838:L847">
    <cfRule type="expression" dxfId="309" priority="10872" stopIfTrue="1">
      <formula>OR($L$833="F/S",$L$833="")</formula>
    </cfRule>
    <cfRule type="cellIs" dxfId="308" priority="10873" stopIfTrue="1" operator="notEqual">
      <formula>0</formula>
    </cfRule>
  </conditionalFormatting>
  <conditionalFormatting sqref="O833:O847">
    <cfRule type="expression" dxfId="307" priority="10874" stopIfTrue="1">
      <formula>OR($O$833="F/S",$O$833="")</formula>
    </cfRule>
    <cfRule type="cellIs" dxfId="306" priority="10875" stopIfTrue="1" operator="notEqual">
      <formula>0</formula>
    </cfRule>
  </conditionalFormatting>
  <conditionalFormatting sqref="I833">
    <cfRule type="expression" dxfId="305" priority="18" stopIfTrue="1">
      <formula>$I833="适用"</formula>
    </cfRule>
    <cfRule type="expression" dxfId="304" priority="19" stopIfTrue="1">
      <formula>$I833="不适用"</formula>
    </cfRule>
  </conditionalFormatting>
  <conditionalFormatting sqref="Q833:Q847">
    <cfRule type="expression" dxfId="303" priority="17" stopIfTrue="1">
      <formula>$Q833="请输入"</formula>
    </cfRule>
  </conditionalFormatting>
  <conditionalFormatting sqref="G711:G719">
    <cfRule type="expression" dxfId="302" priority="10891">
      <formula>$D711&gt;1</formula>
    </cfRule>
    <cfRule type="expression" dxfId="301" priority="10892">
      <formula>$C711="%IN"</formula>
    </cfRule>
    <cfRule type="expression" dxfId="300" priority="10893" stopIfTrue="1">
      <formula>$E711=0</formula>
    </cfRule>
  </conditionalFormatting>
  <conditionalFormatting sqref="G726:G731">
    <cfRule type="expression" dxfId="299" priority="10894">
      <formula>$D726&gt;1</formula>
    </cfRule>
    <cfRule type="expression" dxfId="298" priority="10895">
      <formula>$C726="%IN"</formula>
    </cfRule>
    <cfRule type="expression" dxfId="297" priority="10896" stopIfTrue="1">
      <formula>$E726=0</formula>
    </cfRule>
  </conditionalFormatting>
  <conditionalFormatting sqref="G745:G753">
    <cfRule type="expression" dxfId="296" priority="10897">
      <formula>$D745&gt;1</formula>
    </cfRule>
    <cfRule type="expression" dxfId="295" priority="10898">
      <formula>$C745="%IN"</formula>
    </cfRule>
    <cfRule type="expression" dxfId="294" priority="10899" stopIfTrue="1">
      <formula>$E745=0</formula>
    </cfRule>
  </conditionalFormatting>
  <conditionalFormatting sqref="G767:G775">
    <cfRule type="expression" dxfId="293" priority="10900">
      <formula>$D767&gt;1</formula>
    </cfRule>
    <cfRule type="expression" dxfId="292" priority="10901">
      <formula>$C767="%IN"</formula>
    </cfRule>
    <cfRule type="expression" dxfId="291" priority="10902" stopIfTrue="1">
      <formula>$E767=0</formula>
    </cfRule>
  </conditionalFormatting>
  <conditionalFormatting sqref="G782:G790">
    <cfRule type="expression" dxfId="290" priority="10903">
      <formula>$D782&gt;1</formula>
    </cfRule>
    <cfRule type="expression" dxfId="289" priority="10904">
      <formula>$C782="%IN"</formula>
    </cfRule>
    <cfRule type="expression" dxfId="288" priority="10905" stopIfTrue="1">
      <formula>$E782=0</formula>
    </cfRule>
  </conditionalFormatting>
  <conditionalFormatting sqref="G797:G802">
    <cfRule type="expression" dxfId="287" priority="10906">
      <formula>$D797&gt;1</formula>
    </cfRule>
    <cfRule type="expression" dxfId="286" priority="10907">
      <formula>$C797="%IN"</formula>
    </cfRule>
    <cfRule type="expression" dxfId="285" priority="10908" stopIfTrue="1">
      <formula>$E797=0</formula>
    </cfRule>
  </conditionalFormatting>
  <conditionalFormatting sqref="G816:G824">
    <cfRule type="expression" dxfId="284" priority="10909">
      <formula>$D816&gt;1</formula>
    </cfRule>
    <cfRule type="expression" dxfId="283" priority="10910">
      <formula>$C816="%IN"</formula>
    </cfRule>
    <cfRule type="expression" dxfId="282" priority="10911" stopIfTrue="1">
      <formula>$E816=0</formula>
    </cfRule>
  </conditionalFormatting>
  <conditionalFormatting sqref="G838:G846">
    <cfRule type="expression" dxfId="281" priority="10912">
      <formula>$D838&gt;1</formula>
    </cfRule>
    <cfRule type="expression" dxfId="280" priority="10913">
      <formula>$C838="%IN"</formula>
    </cfRule>
    <cfRule type="expression" dxfId="279" priority="10914" stopIfTrue="1">
      <formula>$E838=0</formula>
    </cfRule>
  </conditionalFormatting>
  <conditionalFormatting sqref="J736">
    <cfRule type="expression" dxfId="278" priority="10915">
      <formula>AND(J$736&lt;&gt;0,J$736&lt;&gt;"")</formula>
    </cfRule>
    <cfRule type="expression" dxfId="277" priority="10916" stopIfTrue="1">
      <formula>J$737&lt;&gt;"√"</formula>
    </cfRule>
  </conditionalFormatting>
  <conditionalFormatting sqref="K738">
    <cfRule type="expression" dxfId="276" priority="10917">
      <formula>AND($K$738&lt;&gt;0,$K$738&lt;&gt;"")</formula>
    </cfRule>
    <cfRule type="expression" dxfId="275" priority="10918" stopIfTrue="1">
      <formula>$L$738&lt;&gt;"√"</formula>
    </cfRule>
  </conditionalFormatting>
  <conditionalFormatting sqref="J758">
    <cfRule type="expression" dxfId="274" priority="10919">
      <formula>AND(J$758&lt;&gt;0,J$758&lt;&gt;"")</formula>
    </cfRule>
    <cfRule type="expression" dxfId="273" priority="10920" stopIfTrue="1">
      <formula>J$759&lt;&gt;"√"</formula>
    </cfRule>
  </conditionalFormatting>
  <conditionalFormatting sqref="K760">
    <cfRule type="expression" dxfId="272" priority="10921">
      <formula>AND($K$760&lt;&gt;0,$K$760&lt;&gt;"")</formula>
    </cfRule>
    <cfRule type="expression" dxfId="271" priority="10922" stopIfTrue="1">
      <formula>$L$760&lt;&gt;"√"</formula>
    </cfRule>
  </conditionalFormatting>
  <conditionalFormatting sqref="J807">
    <cfRule type="expression" dxfId="270" priority="10923">
      <formula>AND(J$807&lt;&gt;0,J$807&lt;&gt;"")</formula>
    </cfRule>
    <cfRule type="expression" dxfId="269" priority="10924" stopIfTrue="1">
      <formula>J$808&lt;&gt;"√"</formula>
    </cfRule>
  </conditionalFormatting>
  <conditionalFormatting sqref="K809">
    <cfRule type="expression" dxfId="268" priority="10925">
      <formula>AND($K$809&lt;&gt;0,$K$809&lt;&gt;"")</formula>
    </cfRule>
    <cfRule type="expression" dxfId="267" priority="10926" stopIfTrue="1">
      <formula>$L$809&lt;&gt;"√"</formula>
    </cfRule>
  </conditionalFormatting>
  <conditionalFormatting sqref="J829">
    <cfRule type="expression" dxfId="266" priority="10927">
      <formula>AND(J$829&lt;&gt;0,J$829&lt;&gt;"")</formula>
    </cfRule>
    <cfRule type="expression" dxfId="265" priority="10928" stopIfTrue="1">
      <formula>J$830&lt;&gt;"√"</formula>
    </cfRule>
  </conditionalFormatting>
  <conditionalFormatting sqref="K831">
    <cfRule type="expression" dxfId="264" priority="10929">
      <formula>AND($K$831&lt;&gt;0,$K$831&lt;&gt;"")</formula>
    </cfRule>
    <cfRule type="expression" dxfId="263" priority="10930" stopIfTrue="1">
      <formula>$L$831&lt;&gt;"√"</formula>
    </cfRule>
  </conditionalFormatting>
  <conditionalFormatting sqref="G1966:G1969">
    <cfRule type="expression" dxfId="262" priority="10931">
      <formula>$D1966&gt;1</formula>
    </cfRule>
    <cfRule type="expression" dxfId="261" priority="10932">
      <formula>$C1966="%IN"</formula>
    </cfRule>
    <cfRule type="expression" dxfId="260" priority="10933" stopIfTrue="1">
      <formula>$E1966=0</formula>
    </cfRule>
  </conditionalFormatting>
  <conditionalFormatting sqref="G2066:G2070">
    <cfRule type="expression" dxfId="259" priority="10934">
      <formula>$D2066&gt;1</formula>
    </cfRule>
    <cfRule type="expression" dxfId="258" priority="10935">
      <formula>$C2066="%IN"</formula>
    </cfRule>
    <cfRule type="expression" dxfId="257" priority="10936" stopIfTrue="1">
      <formula>$E2066=0</formula>
    </cfRule>
  </conditionalFormatting>
  <conditionalFormatting sqref="G2082:G2090">
    <cfRule type="expression" dxfId="256" priority="10937">
      <formula>$D2082&gt;1</formula>
    </cfRule>
    <cfRule type="expression" dxfId="255" priority="10938">
      <formula>$C2082="%IN"</formula>
    </cfRule>
    <cfRule type="expression" dxfId="254" priority="10939" stopIfTrue="1">
      <formula>$E2082=0</formula>
    </cfRule>
  </conditionalFormatting>
  <conditionalFormatting sqref="G2095:G2103">
    <cfRule type="expression" dxfId="253" priority="10940">
      <formula>$D2095&gt;1</formula>
    </cfRule>
    <cfRule type="expression" dxfId="252" priority="10941">
      <formula>$C2095="%IN"</formula>
    </cfRule>
    <cfRule type="expression" dxfId="251" priority="10942" stopIfTrue="1">
      <formula>$E2095=0</formula>
    </cfRule>
  </conditionalFormatting>
  <conditionalFormatting sqref="G2108:G2116">
    <cfRule type="expression" dxfId="250" priority="10943">
      <formula>$D2108&gt;1</formula>
    </cfRule>
    <cfRule type="expression" dxfId="249" priority="10944">
      <formula>$C2108="%IN"</formula>
    </cfRule>
    <cfRule type="expression" dxfId="248" priority="10945" stopIfTrue="1">
      <formula>$E2108=0</formula>
    </cfRule>
  </conditionalFormatting>
  <conditionalFormatting sqref="N2133">
    <cfRule type="expression" dxfId="247" priority="10946">
      <formula>AND(N$2133&lt;&gt;0,N$2133&lt;&gt;"")</formula>
    </cfRule>
    <cfRule type="expression" dxfId="246" priority="10947" stopIfTrue="1">
      <formula>N$2134&lt;&gt;"√"</formula>
    </cfRule>
  </conditionalFormatting>
  <conditionalFormatting sqref="K2135">
    <cfRule type="expression" dxfId="245" priority="10948">
      <formula>AND($K$2135&lt;&gt;0,$K$2135&lt;&gt;"")</formula>
    </cfRule>
    <cfRule type="expression" dxfId="244" priority="10949" stopIfTrue="1">
      <formula>$L$2135&lt;&gt;"√"</formula>
    </cfRule>
  </conditionalFormatting>
  <conditionalFormatting sqref="I2075">
    <cfRule type="expression" dxfId="243" priority="10950">
      <formula>AND(I$2075&lt;&gt;0,I$2075&lt;&gt;"")</formula>
    </cfRule>
    <cfRule type="expression" dxfId="242" priority="10951" stopIfTrue="1">
      <formula>I$2076&lt;&gt;"√"</formula>
    </cfRule>
  </conditionalFormatting>
  <conditionalFormatting sqref="K2077">
    <cfRule type="expression" dxfId="241" priority="10952">
      <formula>AND($K$2077&lt;&gt;0,$K$2077&lt;&gt;"")</formula>
    </cfRule>
    <cfRule type="expression" dxfId="240" priority="10953" stopIfTrue="1">
      <formula>$L$2077&lt;&gt;"√"</formula>
    </cfRule>
  </conditionalFormatting>
  <conditionalFormatting sqref="S3:S4 S7">
    <cfRule type="containsText" dxfId="239" priority="6" stopIfTrue="1" operator="containsText" text="删除">
      <formula>NOT(ISERROR(SEARCH("删除",S3)))</formula>
    </cfRule>
    <cfRule type="containsText" dxfId="238" priority="7" stopIfTrue="1" operator="containsText" text="修改">
      <formula>NOT(ISERROR(SEARCH("修改",S3)))</formula>
    </cfRule>
    <cfRule type="containsText" dxfId="237" priority="8" stopIfTrue="1" operator="containsText" text="新增">
      <formula>NOT(ISERROR(SEARCH("新增",S3)))</formula>
    </cfRule>
  </conditionalFormatting>
  <conditionalFormatting sqref="G4818">
    <cfRule type="expression" dxfId="236" priority="1" stopIfTrue="1">
      <formula>$D4818&gt;1</formula>
    </cfRule>
    <cfRule type="expression" dxfId="235" priority="2" stopIfTrue="1">
      <formula>$C4818="%IN"</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4:I5900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3:K5620 H5850:H5856 H5799:M5803 J5866:K5866 M5661:M5667 I5671:J5677 I5681:J5687 H5701:H5707 H5721:H5727 H5751:M5760 I5764:J5773 H6172:H6184 I5905:I5911 H6190:J6196 I6011:I6018 I5949:I5955 I5927:I5933 I5872:I5878 H5553:H5557 H5566:H5567 H5561:H5564 P5638:P5647 H5569 M5552:M5557 H5691:H5697 H5711:H5717 P5561:P5575 H5731:J5737 H5571:H5575 P5764:P5773 M5764:M5773 P5625:P5634 M5625:M5634 I5697:J5697 P5552:P5557 M5638:M5647 H5745:J5745 M5561:M5575 I5717:J5717 P5751:P5760 H5860:H5866 I5625:J5634 H5741:I5744 H6096:H6105 I5638:J5647 H6217:J6225 K5836 I5846:K5846 H5778:I5795 J5856:K5856 H5840:H5846 M5651:M5657 H6110:H6115 H6120:H6124 H6129:H6135 H6140:H6144 H6149:J6153 H6158:J6162 H6245:H6249 H6058:H6062 I5938:I5944 I6035:I6052 I6023:I6030 I6000:I6006 I5979:I5995 I5960:I5974 I5916:I5922 H6227:J6240 H6198:J6211 I5883:I5889 H6087:H6091 H6078:H6082 H6067:H6073 H6167:H6170 I5822:I5836 I5808:I5820 H5808:H5821 H5823:H5836 H5402:I5405 H5397:I5400 H5392:I5395 J5258:J5261 J5263:J5266 H5268:H5274 H5243:H5246 H5248:H5251 H5253:H5256 H5258:H5261 H5263:H5266 K5274 H5309:H5318 P5309:P5318 M5309:M5318 J5309:J5318 J5296:K5305 H5296:H5305 H4272:H4277 P5296:P5305 H5281:H5290 J5281:K5290 I4272:L4278 M4272:M4277 J5268:J5274 J5243:J5246 J5248:J5251 J5253:J5256 K5426:K5453 P5425:P5453 H5359:M5369 H5342:M5353 H5375:M5385 H5325:M5336 L5425:M5453 H5446:I5453 P5342:P5353 P5325:P5336 H5426:I5429 H5431:I5434 H5436:I5439 H5441:I5444 P5385 H5407:I5410 H5412:I5419 P5369 H5507:K5539 H5541:K5548 H5461:K5491 H5493:K5500 J5238:J5241 H4728:I4735 H5176:H5182 H5089:I5095 H5078:I5084 H5067:I5073 H5056:I5062 H5040:I5051 H5024:I5035 H5012:L5018 H5002:N5008 H4948:J4956 H4930:I4936 H4452:K4455 H4852:I4861 H4427:M4436 P4411 H4397:N4411 H4416:K4422 H4477:H4484 H4460:I4473 H4384:H4391 M4493:M4497 M4825:M4834 P4394 P4427:P4436 P4493:P4497 P4825:P4834 H4753:I4764 H4440:K4447 I4833:I4834 H4354:K4358 H4839:I4848 H4372:H4374 I2066:I2070 H4802:H4803 I4802:I4809 K4372:P4383 H4377:H4380 I4372:J4391 K4386:P4391 H4717:I4723 H4697:I4713 H4686:I4692 H4655:I4661 H4636:I4651 H4625:I4631 H4615:I4621 H4600:H4611 H4585:H4596 H4568:K4574 H4545:K4555 H4521:K4532 H4510:I4515 H4501:I4506 H4493:K4497 H5238:H5241 H4768:I4774 H5160:I5172 H5131:I5136 J4825:J4834 H5150:H5156 H5140:H5146 I5156 I5146 H5100:I5119 H5123:I5127 I4874:I4875 H4666:I4682 H4825:H4834 H4917:J4926 H4961:I4965 H4363:K4365 P4866:P4875 H4866:H4875 J4866:J4875 I4880:I4897 H4881 H4884:H4897 H4988:I4998 H4969:I4983 H5198:H5207 J5207:K5207 H4739:I4748 J5228:J5231 J5223:J5226 H5213:H5216 H5228:H5231 H5223:H5226 H5218:H5221 J5193:K5193 H5187:H5193 J5213:J5216 J5218:J5221 H2199:H2200 M5297:M5305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H4809:H4819 I4817:I4819">
      <formula1>-922337203685477</formula1>
      <formula2>922337203685477</formula2>
    </dataValidation>
    <dataValidation type="list" allowBlank="1" showErrorMessage="1" sqref="I6242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1 I4233 I4247 I4261 I4269 I4287 I4297 I4308 I4317 I4330 I4340 I4222 I4213 I4096 I4107 I4118 I4136 I4147 I4157 I4168 I4178 I4198 I4074 I4084 I5796 I5549 I5558 I5576 I5602 I5746 I5728 I5708 I5688 I5668 I5648 I5622 I5775 I5635 I5658 I5678 I5698 I5718 I5738 I5761 I5805 I5837 I5847 I5857 I5869 I5880 I5891 I5902 I5913 I5924 I5935 I5946 I5957 I5976 I5997 I6008 I6020 I6032 I6055 I6064 I6075 I6084 I6093 I6107 I6117 I6126 I6137 I6146 I6155 I6164 I6186 I6213 I5306 I5291 I5276 I5420 I5386 I5370 I5354 I5337 I5320 I5455 I4836 I4351 I4360 I4367 I4392 I4413 I4424 I4437 I4449 I4457 I4474 I4488 I4498 I4507 I4516 I4540 I4563 I4582 I4597 I4612 I4622 I4633 I4652 I4663 I4683 I4694 I4714 I4725 I4750 I4765 I4776 I4799 I4822 I4849 I5173 I5157 I5147 I5137 I5128 I5097 I5086 I5075 I5064 I5053 I5037 I5021 I5009 I4999 I4985 I4966 I4958 I4945 I4927 I4914 I4899 I4877 I4863 I5120 I5209 I5195 I5184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6:K6226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5:K5605 H5570:K5570 H5568:K5568 H5565:K5565 H6171:K6171 H5552:J5552 H5594:R5595 H5590:R5590 H5581:R5581 H5612:K5612 H6216:K6216 H6189:K6189 H6197:K6197 H5267:J5267 H5262:J5262 H5257:J5257 H5252:J5252 H5247:J5247 H5401:J5401 H5396:J5396 H5391:J5391 H5425:J5425 H5430:J5430 H5435:J5435 H5440:J5440 H5445:J5445 H5411:J5411 H5406:J5406 H5540:K5540 H5506:K5506 H5492:K5492 H5460:K5460 H5242:J5242 H5227:J5227 H5217:J5217 H5222:J5222 H5212:J5212 H5237:J5237 I5232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2 H1952:J1955 I1793:I1794 H2162:J2168 H3412:H3417 H4880 H4804:H4808 K4384:P4385 H4882:H4883 J2194:J2198 H2194:H2198 H5232:H5236 J5232:J5236 H101:H105 H94:H99">
      <formula1>"—"</formula1>
    </dataValidation>
    <dataValidation type="list" showDropDown="1" showErrorMessage="1" errorTitle="REAL" error="该单元格不能填写，显示为‘—’。" prompt="如已执行新金融准则，则该单元格不能填写，显示为‘—’" sqref="I5821 J1935 H1936:I1936 H1937 I1934:J1934 H2035:H2044 H2046 L2053:O2061 J3246:K3246 H4375:H4376 H4381:H4383 H853:H855 I701:I703">
      <formula1>"—"</formula1>
    </dataValidation>
    <dataValidation type="decimal" allowBlank="1" showInputMessage="1" showErrorMessage="1" errorTitle="WPE" error="请输入数值！" sqref="I5177:I5182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6:I4873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5:I4832">
      <formula1>"—"</formula1>
    </dataValidation>
    <dataValidation type="list" allowBlank="1" showInputMessage="1" showErrorMessage="1" sqref="L4942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1:I4941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2" location="Notes!G7" display="^"/>
    <hyperlink ref="O24" location="Notes!NOTE_1704a" display="Notes!NOTE_1704a"/>
    <hyperlink ref="O1639" location="Notes!NOTE_1400a" display="Notes!NOTE_1400a"/>
    <hyperlink ref="K4866" location="Notes!NOTE_1121i" display="Notes!NOTE_1121i"/>
    <hyperlink ref="K4867" location="Notes!NOTE_1122u" display="Notes!NOTE_1122u"/>
    <hyperlink ref="K4868" location="Notes!NOTE_1221y" display="Notes!NOTE_1221y"/>
    <hyperlink ref="K4869" location="Notes!NOTE_1124f" display="Notes!NOTE_1124f"/>
    <hyperlink ref="K4870" location="Notes!NOTE_1505k" display="Notes!NOTE_1505k"/>
    <hyperlink ref="K4871" location="Notes!NOTE_1508k" display="Notes!NOTE_1508k"/>
    <hyperlink ref="K4872" location="Notes!NOTE_1531g" display="Notes!NOTE_1531g"/>
    <hyperlink ref="K4881" location="Notes!NOTE_1400b" display="Notes!NOTE_1400b"/>
    <hyperlink ref="K4884" location="Notes!NOTE_1511b" display="Notes!NOTE_1511b"/>
    <hyperlink ref="K4885" location="Notes!NOTE_1521h" display="Notes!NOTE_1521h"/>
    <hyperlink ref="K4886" location="Notes!NOTE_1601k" display="Notes!NOTE_1601k"/>
    <hyperlink ref="K4887" location="Notes!NOTE_1605a" display="Notes!NOTE_1605a"/>
    <hyperlink ref="K4888" location="Notes!NOTE_1604g" display="Notes!NOTE_1604g"/>
    <hyperlink ref="K4889" location="Notes!NOTE_1621c" display="Notes!NOTE_1621c"/>
    <hyperlink ref="K4890" location="Notes!NOTE_1631b" display="Notes!NOTE_1631b"/>
    <hyperlink ref="K4891" location="Notes!NOTE_1701a" display="Notes!NOTE_1701a"/>
    <hyperlink ref="K4892" location="Notes!NOTE_1711b" display="Notes!NOTE_1711b"/>
    <hyperlink ref="K4893"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2" location="Notes!NOTE_1015a" display="Notes!NOTE_1015a"/>
    <hyperlink ref="K5217" location="Notes!NOTE_1121m" display="Notes!NOTE_1121m"/>
    <hyperlink ref="K5222" location="Notes!NOTE_1122c" display="Notes!NOTE_1122c"/>
    <hyperlink ref="K5227" location="Notes!NOTE_1221c" display="Notes!NOTE_1221c"/>
    <hyperlink ref="K5232" location="Notes!NOTE_1501f" display="Notes!NOTE_1501f"/>
    <hyperlink ref="K5237" location="Notes!NOTE_1531f" display="Notes!NOTE_1531f"/>
    <hyperlink ref="K5252" location="Notes!NOTE_2001c" display="Notes!NOTE_2001c"/>
    <hyperlink ref="K5242" location="Notes!NOTE_2202d" display="Notes!NOTE_2202d"/>
    <hyperlink ref="K5247" location="Notes!NOTE_2241g" display="Notes!NOTE_2241g"/>
    <hyperlink ref="K5262" location="Notes!NOTE_2501c" display="Notes!NOTE_2501c"/>
    <hyperlink ref="K5257" location="Notes!NOTE_2502e" display="Notes!NOTE_2502e"/>
    <hyperlink ref="K5267"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1" location="Notes!NOTE_2401b" display="Notes!NOTE_2401b"/>
    <hyperlink ref="N5296"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8" location="Notes!NOTE_6710a" display="Notes!NOTE_6710a"/>
    <hyperlink ref="L4930" location="Notes!NOTE_9371h" display="Notes!NOTE_9371h"/>
    <hyperlink ref="L4931" location="Notes!NOTE_9371i" display="Notes!NOTE_9371i"/>
    <hyperlink ref="N5282" location="Notes!NOTE_6710b" display="Notes!NOTE_6710b"/>
    <hyperlink ref="N5297" location="Notes!NOTE_6710b" display="Notes!NOTE_6710b"/>
    <hyperlink ref="M4961"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3"/>
  <sheetViews>
    <sheetView topLeftCell="A4" workbookViewId="0">
      <selection activeCell="I11" sqref="I11"/>
    </sheetView>
  </sheetViews>
  <sheetFormatPr defaultRowHeight="15.75"/>
  <cols>
    <col min="1" max="1" width="3.42578125" style="3143" customWidth="1"/>
    <col min="2" max="2" width="28" style="3143" customWidth="1"/>
    <col min="3" max="3" width="15" style="3183" customWidth="1"/>
    <col min="4" max="4" width="15.42578125" style="3183" customWidth="1"/>
    <col min="5" max="5" width="14.42578125" style="3183" customWidth="1"/>
    <col min="6" max="6" width="16.28515625" style="3183" customWidth="1"/>
    <col min="7" max="7" width="13.140625" style="3183" customWidth="1"/>
    <col min="8" max="8" width="14.7109375" style="3183" customWidth="1"/>
    <col min="9" max="9" width="17.140625" style="3143" customWidth="1"/>
    <col min="10" max="10" width="15.140625" style="3143" bestFit="1" customWidth="1"/>
    <col min="11" max="11" width="12.85546875" style="3143" customWidth="1"/>
    <col min="12" max="16384" width="9.140625" style="3143"/>
  </cols>
  <sheetData>
    <row r="1" spans="2:12" ht="31.5">
      <c r="B1" s="3378" t="s">
        <v>6872</v>
      </c>
      <c r="C1" s="3379"/>
      <c r="D1" s="3379"/>
      <c r="E1" s="3379"/>
      <c r="F1" s="3379"/>
      <c r="G1" s="3379"/>
      <c r="H1" s="3379"/>
    </row>
    <row r="2" spans="2:12">
      <c r="B2" s="3380" t="s">
        <v>6873</v>
      </c>
      <c r="C2" s="3381"/>
      <c r="D2" s="3381"/>
      <c r="E2" s="3381"/>
      <c r="F2" s="3381"/>
      <c r="G2" s="3381"/>
      <c r="H2" s="3381"/>
    </row>
    <row r="3" spans="2:12" ht="15.75" customHeight="1">
      <c r="B3" s="3144"/>
      <c r="C3" s="3145"/>
      <c r="D3" s="3145"/>
      <c r="E3" s="3145"/>
      <c r="F3" s="3145"/>
      <c r="G3" s="3145"/>
      <c r="H3" s="3146"/>
    </row>
    <row r="4" spans="2:12" ht="16.5" thickBot="1">
      <c r="B4" s="3147"/>
      <c r="C4" s="3145"/>
      <c r="D4" s="3145"/>
      <c r="E4" s="3145"/>
      <c r="F4" s="3145"/>
      <c r="G4" s="3145"/>
      <c r="H4" s="3146"/>
    </row>
    <row r="5" spans="2:12" ht="43.5" customHeight="1" thickTop="1">
      <c r="B5" s="3148" t="s">
        <v>6874</v>
      </c>
      <c r="C5" s="3149" t="s">
        <v>6875</v>
      </c>
      <c r="D5" s="3149" t="s">
        <v>6876</v>
      </c>
      <c r="E5" s="3149" t="s">
        <v>6877</v>
      </c>
      <c r="F5" s="3150" t="s">
        <v>6878</v>
      </c>
      <c r="G5" s="3151" t="s">
        <v>6879</v>
      </c>
      <c r="H5" s="3152" t="s">
        <v>6880</v>
      </c>
    </row>
    <row r="6" spans="2:12">
      <c r="B6" s="3153" t="s">
        <v>6881</v>
      </c>
      <c r="C6" s="3154"/>
      <c r="D6" s="3155">
        <v>0.25</v>
      </c>
      <c r="E6" s="3156"/>
      <c r="F6" s="3155">
        <v>0.25</v>
      </c>
      <c r="G6" s="3156"/>
      <c r="H6" s="3157"/>
    </row>
    <row r="7" spans="2:12" ht="18" customHeight="1">
      <c r="B7" s="3158" t="s">
        <v>6882</v>
      </c>
      <c r="C7" s="3159"/>
      <c r="D7" s="3160">
        <f>C7*$D$6</f>
        <v>0</v>
      </c>
      <c r="E7" s="3160">
        <f>[5]Notes!J200</f>
        <v>0</v>
      </c>
      <c r="F7" s="3160">
        <f>ROUND(E7*$F$6,2)</f>
        <v>0</v>
      </c>
      <c r="G7" s="3161"/>
      <c r="H7" s="3162">
        <f>F7-G7</f>
        <v>0</v>
      </c>
      <c r="I7" s="3163"/>
    </row>
    <row r="8" spans="2:12" ht="18" customHeight="1">
      <c r="B8" s="3158" t="s">
        <v>6883</v>
      </c>
      <c r="C8" s="3159"/>
      <c r="D8" s="3160">
        <f t="shared" ref="D8:D12" si="0">C8*$D$6</f>
        <v>0</v>
      </c>
      <c r="E8" s="3160"/>
      <c r="F8" s="3160">
        <f t="shared" ref="F8" si="1">ROUND(E8*$F$6,2)</f>
        <v>0</v>
      </c>
      <c r="G8" s="3161"/>
      <c r="H8" s="3162">
        <f>F8-G8</f>
        <v>0</v>
      </c>
      <c r="I8" s="3163"/>
    </row>
    <row r="9" spans="2:12" ht="18" customHeight="1">
      <c r="B9" s="3158" t="s">
        <v>6884</v>
      </c>
      <c r="C9" s="3164"/>
      <c r="D9" s="3160">
        <f t="shared" si="0"/>
        <v>0</v>
      </c>
      <c r="E9" s="3165"/>
      <c r="F9" s="3160">
        <f>ROUND(E9*$F$6,2)</f>
        <v>0</v>
      </c>
      <c r="G9" s="3161"/>
      <c r="H9" s="3162">
        <f>F9-G9</f>
        <v>0</v>
      </c>
      <c r="I9" s="3163"/>
    </row>
    <row r="10" spans="2:12" ht="18" customHeight="1">
      <c r="B10" s="3166" t="s">
        <v>6885</v>
      </c>
      <c r="C10" s="3164"/>
      <c r="D10" s="3160">
        <f t="shared" si="0"/>
        <v>0</v>
      </c>
      <c r="E10" s="3167"/>
      <c r="F10" s="3160">
        <f>ROUND(E10*$F$6,2)</f>
        <v>0</v>
      </c>
      <c r="G10" s="3161"/>
      <c r="H10" s="3162">
        <f>F10-G10</f>
        <v>0</v>
      </c>
      <c r="I10" s="3163"/>
      <c r="J10" s="3168"/>
    </row>
    <row r="11" spans="2:12" ht="36">
      <c r="B11" s="3169" t="s">
        <v>6886</v>
      </c>
      <c r="C11" s="3170"/>
      <c r="D11" s="3160">
        <f t="shared" si="0"/>
        <v>0</v>
      </c>
      <c r="E11" s="3171"/>
      <c r="F11" s="3160">
        <f>ROUND(E11*$F$6,2)</f>
        <v>0</v>
      </c>
      <c r="G11" s="3161"/>
      <c r="H11" s="3162">
        <f>F11-G11</f>
        <v>0</v>
      </c>
      <c r="I11" s="3163"/>
    </row>
    <row r="12" spans="2:12" ht="18" customHeight="1">
      <c r="B12" s="3172" t="s">
        <v>6887</v>
      </c>
      <c r="C12" s="3170">
        <v>3748470.25</v>
      </c>
      <c r="D12" s="3160">
        <f t="shared" si="0"/>
        <v>937117.56</v>
      </c>
      <c r="E12" s="3173">
        <f>C12</f>
        <v>3748470.25</v>
      </c>
      <c r="F12" s="3160">
        <f>ROUND(E12*$F$6,2)</f>
        <v>937117.56</v>
      </c>
      <c r="G12" s="3161">
        <f>D12</f>
        <v>937117.56</v>
      </c>
      <c r="H12" s="3162">
        <f t="shared" ref="H12" si="2">F12-G12</f>
        <v>0</v>
      </c>
      <c r="I12" s="3174" t="s">
        <v>6888</v>
      </c>
    </row>
    <row r="13" spans="2:12" ht="18.75" customHeight="1" thickBot="1">
      <c r="B13" s="3175" t="s">
        <v>6889</v>
      </c>
      <c r="C13" s="3176">
        <f t="shared" ref="C13:G13" si="3">SUM(C7:C12)</f>
        <v>3748470.25</v>
      </c>
      <c r="D13" s="3176">
        <f t="shared" si="3"/>
        <v>937117.56</v>
      </c>
      <c r="E13" s="3176">
        <f t="shared" si="3"/>
        <v>3748470.25</v>
      </c>
      <c r="F13" s="3176">
        <f t="shared" si="3"/>
        <v>937117.56</v>
      </c>
      <c r="G13" s="3176">
        <f t="shared" si="3"/>
        <v>937117.56</v>
      </c>
      <c r="H13" s="3176">
        <f>SUM(H7:H12)</f>
        <v>0</v>
      </c>
      <c r="I13" s="3163"/>
      <c r="K13" s="3163"/>
      <c r="L13" s="3163"/>
    </row>
    <row r="14" spans="2:12" ht="18" customHeight="1" thickTop="1">
      <c r="B14" s="3158" t="s">
        <v>6890</v>
      </c>
      <c r="C14" s="3164"/>
      <c r="D14" s="3177"/>
      <c r="E14" s="3177"/>
      <c r="F14" s="3160">
        <f>ROUND(E14*$F$6,2)</f>
        <v>0</v>
      </c>
      <c r="G14" s="3161"/>
      <c r="H14" s="3178"/>
      <c r="I14" s="3163"/>
    </row>
    <row r="15" spans="2:12" ht="18" customHeight="1">
      <c r="B15" s="3158"/>
      <c r="C15" s="3164"/>
      <c r="D15" s="3177"/>
      <c r="E15" s="3177"/>
      <c r="F15" s="3177"/>
      <c r="G15" s="3161"/>
      <c r="H15" s="3178"/>
      <c r="I15" s="3168"/>
    </row>
    <row r="16" spans="2:12" ht="18.75" customHeight="1">
      <c r="B16" s="3158"/>
      <c r="C16" s="3164"/>
      <c r="D16" s="3177"/>
      <c r="E16" s="3177"/>
      <c r="F16" s="3177"/>
      <c r="G16" s="3177"/>
      <c r="H16" s="3162">
        <f>F16-G16</f>
        <v>0</v>
      </c>
      <c r="I16" s="3168"/>
    </row>
    <row r="17" spans="2:10" ht="18.75" customHeight="1" thickBot="1">
      <c r="B17" s="3175" t="s">
        <v>6891</v>
      </c>
      <c r="C17" s="3179"/>
      <c r="D17" s="3180"/>
      <c r="E17" s="3180"/>
      <c r="F17" s="3180"/>
      <c r="G17" s="3180"/>
      <c r="H17" s="3181"/>
      <c r="J17" s="3182"/>
    </row>
    <row r="18" spans="2:10" ht="16.5" thickTop="1">
      <c r="J18" s="3182"/>
    </row>
    <row r="19" spans="2:10">
      <c r="B19" s="3184" t="s">
        <v>6892</v>
      </c>
      <c r="D19" s="3183">
        <f>preBS!F60</f>
        <v>937117.56</v>
      </c>
      <c r="F19" s="3183">
        <f>[6]BS!G35</f>
        <v>2472321.16</v>
      </c>
      <c r="H19" s="3183">
        <f>[5]BS!G35</f>
        <v>937117.56</v>
      </c>
    </row>
    <row r="20" spans="2:10">
      <c r="G20" s="3185"/>
    </row>
    <row r="21" spans="2:10">
      <c r="B21" s="3143" t="s">
        <v>6893</v>
      </c>
      <c r="D21" s="3183">
        <f>D13-D19</f>
        <v>0</v>
      </c>
      <c r="F21" s="3183">
        <f>F13-F19</f>
        <v>-1535203.6</v>
      </c>
      <c r="H21" s="3183">
        <f>H13-H19</f>
        <v>-937117.56</v>
      </c>
    </row>
    <row r="23" spans="2:10">
      <c r="B23" s="3186" t="s">
        <v>6894</v>
      </c>
      <c r="F23" s="3183">
        <f>F19-D19</f>
        <v>1535203.6</v>
      </c>
    </row>
  </sheetData>
  <protectedRanges>
    <protectedRange password="CC99" sqref="C7:F12" name="区域1"/>
  </protectedRanges>
  <mergeCells count="2">
    <mergeCell ref="B1:H1"/>
    <mergeCell ref="B2:H2"/>
  </mergeCells>
  <phoneticPr fontId="16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55" workbookViewId="0">
      <selection activeCell="G42" sqref="G42"/>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382" t="s">
        <v>5807</v>
      </c>
      <c r="F2" s="3382"/>
      <c r="G2" s="3382"/>
      <c r="H2" s="3382"/>
      <c r="I2" s="3382"/>
      <c r="J2" s="3382"/>
      <c r="K2" s="3382"/>
      <c r="L2" s="3382"/>
      <c r="M2" s="1664"/>
      <c r="N2" s="1664"/>
      <c r="O2" s="1664"/>
      <c r="P2" s="1664"/>
    </row>
    <row r="3" spans="1:16" ht="27" customHeight="1">
      <c r="A3" s="2840"/>
      <c r="B3" s="2840"/>
      <c r="C3" s="2840"/>
      <c r="D3" s="2840"/>
      <c r="E3" s="3383" t="str">
        <f>TEXT(Lead!$F$5,"yyyy 年 m 月 d 日")</f>
        <v>2019 年 12 月 31 日</v>
      </c>
      <c r="F3" s="3383"/>
      <c r="G3" s="3383"/>
      <c r="H3" s="3383"/>
      <c r="I3" s="3383"/>
      <c r="J3" s="3383"/>
      <c r="K3" s="3383"/>
      <c r="L3" s="3383"/>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编制单位：北京天马金信供应链管理有限公司</v>
      </c>
      <c r="F5" s="2013"/>
      <c r="G5" s="2013"/>
      <c r="H5" s="2013"/>
      <c r="I5" s="2013"/>
      <c r="J5" s="2013"/>
      <c r="K5" s="2013" t="s">
        <v>5750</v>
      </c>
      <c r="L5" s="2013" t="s">
        <v>5751</v>
      </c>
      <c r="M5" s="1664"/>
      <c r="N5" s="1664"/>
      <c r="O5" s="1664"/>
      <c r="P5" s="1664"/>
    </row>
    <row r="6" spans="1:16" ht="18" customHeight="1">
      <c r="A6" s="2885" t="s">
        <v>5810</v>
      </c>
      <c r="B6" s="2885" t="s">
        <v>2557</v>
      </c>
      <c r="C6" s="2885" t="s">
        <v>5811</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4299668.37</v>
      </c>
      <c r="H8" s="2018">
        <f t="shared" si="4"/>
        <v>91308.84</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1200000</v>
      </c>
      <c r="H13" s="2018">
        <f t="shared" si="4"/>
        <v>0</v>
      </c>
      <c r="I13" s="2019" t="str">
        <f t="shared" si="5"/>
        <v>应付账款</v>
      </c>
      <c r="J13" s="2016"/>
      <c r="K13" s="2017">
        <f t="shared" si="6"/>
        <v>0</v>
      </c>
      <c r="L13" s="2029">
        <f t="shared" si="7"/>
        <v>182031</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0</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0</v>
      </c>
      <c r="I15" s="2019" t="str">
        <f t="shared" si="5"/>
        <v>应付职工薪酬</v>
      </c>
      <c r="J15" s="2016"/>
      <c r="K15" s="2017">
        <f t="shared" si="6"/>
        <v>621334.09</v>
      </c>
      <c r="L15" s="2029">
        <f t="shared" si="7"/>
        <v>306477.86</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50300000</v>
      </c>
      <c r="H16" s="3196">
        <f t="shared" si="4"/>
        <v>35000000</v>
      </c>
      <c r="I16" s="2019" t="str">
        <f t="shared" si="5"/>
        <v>应交税费</v>
      </c>
      <c r="J16" s="2016"/>
      <c r="K16" s="2017">
        <f t="shared" si="6"/>
        <v>101055.66</v>
      </c>
      <c r="L16" s="2029">
        <f t="shared" si="7"/>
        <v>27898.14</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2017">
        <f t="shared" si="6"/>
        <v>4224459.3600000003</v>
      </c>
      <c r="L17" s="3195">
        <f t="shared" si="7"/>
        <v>113852180.2</v>
      </c>
      <c r="M17" s="1850" t="s">
        <v>6940</v>
      </c>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17540765.449999999</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2966551.07</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55799668.369999997</v>
      </c>
      <c r="H23" s="2018">
        <f>SUM(H8:H22)-SUM(H17,H18)</f>
        <v>55598625.359999999</v>
      </c>
      <c r="I23" s="2021" t="str">
        <f t="shared" si="5"/>
        <v>流动负债合计</v>
      </c>
      <c r="J23" s="2016"/>
      <c r="K23" s="2017">
        <f>SUM(K8:K22)-SUM(K18,K19)</f>
        <v>4946849.1100000003</v>
      </c>
      <c r="L23" s="2029">
        <f>SUM(L8:L22)-SUM(L18,L19)</f>
        <v>114368587.2</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50000000</v>
      </c>
      <c r="H30" s="2018">
        <f t="shared" si="9"/>
        <v>162000000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11018.74</v>
      </c>
      <c r="H34" s="2018">
        <f t="shared" si="9"/>
        <v>16540.18</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4946849.1100000003</v>
      </c>
      <c r="L36" s="2029">
        <f>SUM(L23,L35)</f>
        <v>114368587.2</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0</v>
      </c>
      <c r="I38" s="2023" t="str">
        <f t="shared" si="5"/>
        <v>股本</v>
      </c>
      <c r="J38" s="2016"/>
      <c r="K38" s="2017">
        <f t="shared" si="12"/>
        <v>100000000</v>
      </c>
      <c r="L38" s="2029">
        <f t="shared" si="13"/>
        <v>100000000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0</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0</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937117.56</v>
      </c>
      <c r="H42" s="2018">
        <f t="shared" si="9"/>
        <v>937117.56</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418369.59</v>
      </c>
      <c r="L46" s="2029">
        <f t="shared" si="13"/>
        <v>418369.59</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1382585.97</v>
      </c>
      <c r="L48" s="2029">
        <f t="shared" si="13"/>
        <v>3765326.31</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50948136.299999997</v>
      </c>
      <c r="H49" s="2018">
        <f>SUM(H25:H48)</f>
        <v>162953657.74000001</v>
      </c>
      <c r="I49" s="2025" t="str">
        <f t="shared" si="5"/>
        <v>所有者权益合计</v>
      </c>
      <c r="J49" s="2016"/>
      <c r="K49" s="2017">
        <f>SUM(K38:K39,K42,-K43,K44:K48)</f>
        <v>101800955.56</v>
      </c>
      <c r="L49" s="2029">
        <f>SUM(L38:L39,L42,-L43,L44:L48)</f>
        <v>104183695.90000001</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106747804.67</v>
      </c>
      <c r="H50" s="2035">
        <f>SUM(H23,H49)</f>
        <v>218552283.09999999</v>
      </c>
      <c r="I50" s="2036" t="str">
        <f t="shared" si="5"/>
        <v>负债和所有者权益总计</v>
      </c>
      <c r="J50" s="2033"/>
      <c r="K50" s="2034">
        <f>SUM(K36,K49)</f>
        <v>106747804.67</v>
      </c>
      <c r="L50" s="2037">
        <f>SUM(L36,L49)</f>
        <v>218552283.09999999</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5813</v>
      </c>
      <c r="F55" s="1854"/>
      <c r="G55" s="1855"/>
      <c r="H55" s="1855"/>
      <c r="I55" s="1855"/>
      <c r="J55" s="1855"/>
      <c r="K55" s="1855"/>
      <c r="L55" s="1856"/>
      <c r="M55" s="1857"/>
      <c r="N55" s="1850"/>
      <c r="O55" s="1850"/>
      <c r="P55" s="1850"/>
    </row>
    <row r="56" spans="1:16" s="1851" customFormat="1" ht="17.25">
      <c r="A56" s="2885" t="s">
        <v>2565</v>
      </c>
      <c r="B56" s="2885"/>
      <c r="C56" s="2885"/>
      <c r="D56" s="2885"/>
      <c r="E56" s="1858" t="s">
        <v>5814</v>
      </c>
      <c r="F56" s="1855"/>
      <c r="G56" s="1855"/>
      <c r="H56" s="1855" t="s">
        <v>5815</v>
      </c>
      <c r="I56" s="1855" t="s">
        <v>5755</v>
      </c>
      <c r="J56" s="1859"/>
      <c r="K56" s="1855" t="s">
        <v>5756</v>
      </c>
      <c r="L56" s="1860" t="s">
        <v>2550</v>
      </c>
      <c r="M56" s="1857"/>
      <c r="N56" s="1850"/>
      <c r="O56" s="1850"/>
      <c r="P56" s="1850"/>
    </row>
    <row r="57" spans="1:16" s="1851" customFormat="1" ht="18">
      <c r="A57" s="2889" t="s">
        <v>2565</v>
      </c>
      <c r="B57" s="2885"/>
      <c r="C57" s="2885"/>
      <c r="D57" s="2885"/>
      <c r="E57" s="1861" t="s">
        <v>5816</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106747804.67</v>
      </c>
      <c r="I59" s="1865" t="str">
        <f>I50</f>
        <v>负债和所有者权益总计</v>
      </c>
      <c r="J59" s="1863"/>
      <c r="K59" s="1873">
        <f>K50</f>
        <v>106747804.67</v>
      </c>
      <c r="L59" s="1867">
        <f>ROUND(H59-K59,2)</f>
        <v>0</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218552283.09999999</v>
      </c>
      <c r="I61" s="1882" t="str">
        <f>I50</f>
        <v>负债和所有者权益总计</v>
      </c>
      <c r="J61" s="1880"/>
      <c r="K61" s="1883">
        <f>L50</f>
        <v>218552283.09999999</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234" priority="108" stopIfTrue="1">
      <formula>#REF!=TRUE</formula>
    </cfRule>
  </conditionalFormatting>
  <conditionalFormatting sqref="L60 L58 L62">
    <cfRule type="cellIs" dxfId="233" priority="107" stopIfTrue="1" operator="notEqual">
      <formula>0</formula>
    </cfRule>
  </conditionalFormatting>
  <conditionalFormatting sqref="E55:F55">
    <cfRule type="expression" dxfId="232" priority="106" stopIfTrue="1">
      <formula>#REF!=TRUE</formula>
    </cfRule>
  </conditionalFormatting>
  <conditionalFormatting sqref="L59 L57 L61">
    <cfRule type="cellIs" dxfId="231" priority="105" stopIfTrue="1" operator="notEqual">
      <formula>0</formula>
    </cfRule>
  </conditionalFormatting>
  <conditionalFormatting sqref="E55:F55">
    <cfRule type="expression" dxfId="230" priority="104" stopIfTrue="1">
      <formula>#REF!=TRUE</formula>
    </cfRule>
  </conditionalFormatting>
  <conditionalFormatting sqref="L59 L57 L61">
    <cfRule type="cellIs" dxfId="229" priority="103" stopIfTrue="1" operator="notEqual">
      <formula>0</formula>
    </cfRule>
  </conditionalFormatting>
  <conditionalFormatting sqref="E56:F56">
    <cfRule type="expression" dxfId="228" priority="102" stopIfTrue="1">
      <formula>#REF!=TRUE</formula>
    </cfRule>
  </conditionalFormatting>
  <conditionalFormatting sqref="L60 L58">
    <cfRule type="cellIs" dxfId="227" priority="101" stopIfTrue="1" operator="notEqual">
      <formula>0</formula>
    </cfRule>
  </conditionalFormatting>
  <conditionalFormatting sqref="E55:F55">
    <cfRule type="expression" dxfId="226" priority="100" stopIfTrue="1">
      <formula>#REF!=TRUE</formula>
    </cfRule>
  </conditionalFormatting>
  <conditionalFormatting sqref="L59 L57 L61">
    <cfRule type="cellIs" dxfId="225" priority="99" stopIfTrue="1" operator="notEqual">
      <formula>0</formula>
    </cfRule>
  </conditionalFormatting>
  <conditionalFormatting sqref="E55:F55">
    <cfRule type="expression" dxfId="224" priority="98" stopIfTrue="1">
      <formula>#REF!=TRUE</formula>
    </cfRule>
  </conditionalFormatting>
  <conditionalFormatting sqref="L59 L57 L61">
    <cfRule type="cellIs" dxfId="223" priority="97" stopIfTrue="1" operator="notEqual">
      <formula>0</formula>
    </cfRule>
  </conditionalFormatting>
  <conditionalFormatting sqref="E56:F56">
    <cfRule type="expression" dxfId="222" priority="96" stopIfTrue="1">
      <formula>#REF!=TRUE</formula>
    </cfRule>
  </conditionalFormatting>
  <conditionalFormatting sqref="L60 L58">
    <cfRule type="cellIs" dxfId="221" priority="95" stopIfTrue="1" operator="notEqual">
      <formula>0</formula>
    </cfRule>
  </conditionalFormatting>
  <conditionalFormatting sqref="E55:F55">
    <cfRule type="expression" dxfId="220" priority="94" stopIfTrue="1">
      <formula>#REF!=TRUE</formula>
    </cfRule>
  </conditionalFormatting>
  <conditionalFormatting sqref="L59 L57 L61">
    <cfRule type="cellIs" dxfId="219" priority="93" stopIfTrue="1" operator="notEqual">
      <formula>0</formula>
    </cfRule>
  </conditionalFormatting>
  <conditionalFormatting sqref="E55:F55">
    <cfRule type="expression" dxfId="218" priority="92" stopIfTrue="1">
      <formula>#REF!=TRUE</formula>
    </cfRule>
  </conditionalFormatting>
  <conditionalFormatting sqref="L59 L57 L61">
    <cfRule type="cellIs" dxfId="217" priority="91" stopIfTrue="1" operator="notEqual">
      <formula>0</formula>
    </cfRule>
  </conditionalFormatting>
  <conditionalFormatting sqref="E56:F56">
    <cfRule type="expression" dxfId="216" priority="90" stopIfTrue="1">
      <formula>#REF!=TRUE</formula>
    </cfRule>
  </conditionalFormatting>
  <conditionalFormatting sqref="L60 L58">
    <cfRule type="cellIs" dxfId="215" priority="89" stopIfTrue="1" operator="notEqual">
      <formula>0</formula>
    </cfRule>
  </conditionalFormatting>
  <conditionalFormatting sqref="E55:F55">
    <cfRule type="expression" dxfId="214" priority="88" stopIfTrue="1">
      <formula>#REF!=TRUE</formula>
    </cfRule>
  </conditionalFormatting>
  <conditionalFormatting sqref="L59 L57 L61">
    <cfRule type="cellIs" dxfId="213" priority="87" stopIfTrue="1" operator="notEqual">
      <formula>0</formula>
    </cfRule>
  </conditionalFormatting>
  <conditionalFormatting sqref="E55:F55">
    <cfRule type="expression" dxfId="212" priority="86" stopIfTrue="1">
      <formula>#REF!=TRUE</formula>
    </cfRule>
  </conditionalFormatting>
  <conditionalFormatting sqref="L59 L57 L61">
    <cfRule type="cellIs" dxfId="211" priority="85" stopIfTrue="1" operator="notEqual">
      <formula>0</formula>
    </cfRule>
  </conditionalFormatting>
  <conditionalFormatting sqref="E56:F56">
    <cfRule type="expression" dxfId="210" priority="84" stopIfTrue="1">
      <formula>#REF!=TRUE</formula>
    </cfRule>
  </conditionalFormatting>
  <conditionalFormatting sqref="L57:L61">
    <cfRule type="cellIs" dxfId="209" priority="83" stopIfTrue="1" operator="notEqual">
      <formula>0</formula>
    </cfRule>
  </conditionalFormatting>
  <conditionalFormatting sqref="E55:F56">
    <cfRule type="expression" dxfId="208" priority="82" stopIfTrue="1">
      <formula>#REF!=TRUE</formula>
    </cfRule>
  </conditionalFormatting>
  <conditionalFormatting sqref="E56:F56">
    <cfRule type="expression" dxfId="207" priority="81" stopIfTrue="1">
      <formula>#REF!=TRUE</formula>
    </cfRule>
  </conditionalFormatting>
  <conditionalFormatting sqref="L60 L58">
    <cfRule type="cellIs" dxfId="206" priority="80" stopIfTrue="1" operator="notEqual">
      <formula>0</formula>
    </cfRule>
  </conditionalFormatting>
  <conditionalFormatting sqref="E55:F55">
    <cfRule type="expression" dxfId="205" priority="79" stopIfTrue="1">
      <formula>#REF!=TRUE</formula>
    </cfRule>
  </conditionalFormatting>
  <conditionalFormatting sqref="L59 L57 L61">
    <cfRule type="cellIs" dxfId="204" priority="78" stopIfTrue="1" operator="notEqual">
      <formula>0</formula>
    </cfRule>
  </conditionalFormatting>
  <conditionalFormatting sqref="E55:F55">
    <cfRule type="expression" dxfId="203" priority="77" stopIfTrue="1">
      <formula>#REF!=TRUE</formula>
    </cfRule>
  </conditionalFormatting>
  <conditionalFormatting sqref="L59 L57 L61">
    <cfRule type="cellIs" dxfId="202" priority="76" stopIfTrue="1" operator="notEqual">
      <formula>0</formula>
    </cfRule>
  </conditionalFormatting>
  <conditionalFormatting sqref="E56:F56">
    <cfRule type="expression" dxfId="201" priority="75" stopIfTrue="1">
      <formula>#REF!=TRUE</formula>
    </cfRule>
  </conditionalFormatting>
  <conditionalFormatting sqref="L60 L58">
    <cfRule type="cellIs" dxfId="200" priority="74" stopIfTrue="1" operator="notEqual">
      <formula>0</formula>
    </cfRule>
  </conditionalFormatting>
  <conditionalFormatting sqref="E55:F55">
    <cfRule type="expression" dxfId="199" priority="73" stopIfTrue="1">
      <formula>#REF!=TRUE</formula>
    </cfRule>
  </conditionalFormatting>
  <conditionalFormatting sqref="L59 L57 L61">
    <cfRule type="cellIs" dxfId="198" priority="72" stopIfTrue="1" operator="notEqual">
      <formula>0</formula>
    </cfRule>
  </conditionalFormatting>
  <conditionalFormatting sqref="E55:F55">
    <cfRule type="expression" dxfId="197" priority="71" stopIfTrue="1">
      <formula>#REF!=TRUE</formula>
    </cfRule>
  </conditionalFormatting>
  <conditionalFormatting sqref="L59 L57 L61">
    <cfRule type="cellIs" dxfId="196" priority="70" stopIfTrue="1" operator="notEqual">
      <formula>0</formula>
    </cfRule>
  </conditionalFormatting>
  <conditionalFormatting sqref="E56:F56">
    <cfRule type="expression" dxfId="195" priority="69" stopIfTrue="1">
      <formula>#REF!=TRUE</formula>
    </cfRule>
  </conditionalFormatting>
  <conditionalFormatting sqref="L60 L58">
    <cfRule type="cellIs" dxfId="194" priority="68" stopIfTrue="1" operator="notEqual">
      <formula>0</formula>
    </cfRule>
  </conditionalFormatting>
  <conditionalFormatting sqref="E55:F55">
    <cfRule type="expression" dxfId="193" priority="67" stopIfTrue="1">
      <formula>#REF!=TRUE</formula>
    </cfRule>
  </conditionalFormatting>
  <conditionalFormatting sqref="L59 L57 L61">
    <cfRule type="cellIs" dxfId="192" priority="66" stopIfTrue="1" operator="notEqual">
      <formula>0</formula>
    </cfRule>
  </conditionalFormatting>
  <conditionalFormatting sqref="E55:F55">
    <cfRule type="expression" dxfId="191" priority="65" stopIfTrue="1">
      <formula>#REF!=TRUE</formula>
    </cfRule>
  </conditionalFormatting>
  <conditionalFormatting sqref="L59 L57 L61">
    <cfRule type="cellIs" dxfId="190" priority="64" stopIfTrue="1" operator="notEqual">
      <formula>0</formula>
    </cfRule>
  </conditionalFormatting>
  <conditionalFormatting sqref="E56:F56">
    <cfRule type="expression" dxfId="189" priority="63" stopIfTrue="1">
      <formula>#REF!=TRUE</formula>
    </cfRule>
  </conditionalFormatting>
  <conditionalFormatting sqref="L60 L58">
    <cfRule type="cellIs" dxfId="188" priority="62" stopIfTrue="1" operator="notEqual">
      <formula>0</formula>
    </cfRule>
  </conditionalFormatting>
  <conditionalFormatting sqref="E55:F55">
    <cfRule type="expression" dxfId="187" priority="61" stopIfTrue="1">
      <formula>#REF!=TRUE</formula>
    </cfRule>
  </conditionalFormatting>
  <conditionalFormatting sqref="L59 L57 L61">
    <cfRule type="cellIs" dxfId="186" priority="60" stopIfTrue="1" operator="notEqual">
      <formula>0</formula>
    </cfRule>
  </conditionalFormatting>
  <conditionalFormatting sqref="E55:F55">
    <cfRule type="expression" dxfId="185" priority="59" stopIfTrue="1">
      <formula>#REF!=TRUE</formula>
    </cfRule>
  </conditionalFormatting>
  <conditionalFormatting sqref="L59 L57 L61">
    <cfRule type="cellIs" dxfId="184" priority="58" stopIfTrue="1" operator="notEqual">
      <formula>0</formula>
    </cfRule>
  </conditionalFormatting>
  <conditionalFormatting sqref="E56:F56">
    <cfRule type="expression" dxfId="183" priority="57" stopIfTrue="1">
      <formula>#REF!=TRUE</formula>
    </cfRule>
  </conditionalFormatting>
  <conditionalFormatting sqref="L57:L61">
    <cfRule type="cellIs" dxfId="182" priority="56" stopIfTrue="1" operator="notEqual">
      <formula>0</formula>
    </cfRule>
  </conditionalFormatting>
  <conditionalFormatting sqref="E55:F56">
    <cfRule type="expression" dxfId="181" priority="55" stopIfTrue="1">
      <formula>#REF!=TRUE</formula>
    </cfRule>
  </conditionalFormatting>
  <conditionalFormatting sqref="E56:F56">
    <cfRule type="expression" dxfId="180" priority="54" stopIfTrue="1">
      <formula>#REF!=TRUE</formula>
    </cfRule>
  </conditionalFormatting>
  <conditionalFormatting sqref="L60 L58">
    <cfRule type="cellIs" dxfId="179" priority="53" stopIfTrue="1" operator="notEqual">
      <formula>0</formula>
    </cfRule>
  </conditionalFormatting>
  <conditionalFormatting sqref="E55:F55">
    <cfRule type="expression" dxfId="178" priority="52" stopIfTrue="1">
      <formula>#REF!=TRUE</formula>
    </cfRule>
  </conditionalFormatting>
  <conditionalFormatting sqref="L59 L57 L61">
    <cfRule type="cellIs" dxfId="177" priority="51" stopIfTrue="1" operator="notEqual">
      <formula>0</formula>
    </cfRule>
  </conditionalFormatting>
  <conditionalFormatting sqref="E55:F55">
    <cfRule type="expression" dxfId="176" priority="50" stopIfTrue="1">
      <formula>#REF!=TRUE</formula>
    </cfRule>
  </conditionalFormatting>
  <conditionalFormatting sqref="L59 L57 L61">
    <cfRule type="cellIs" dxfId="175" priority="49" stopIfTrue="1" operator="notEqual">
      <formula>0</formula>
    </cfRule>
  </conditionalFormatting>
  <conditionalFormatting sqref="E56:F56">
    <cfRule type="expression" dxfId="174" priority="48" stopIfTrue="1">
      <formula>#REF!=TRUE</formula>
    </cfRule>
  </conditionalFormatting>
  <conditionalFormatting sqref="L60 L58">
    <cfRule type="cellIs" dxfId="173" priority="47" stopIfTrue="1" operator="notEqual">
      <formula>0</formula>
    </cfRule>
  </conditionalFormatting>
  <conditionalFormatting sqref="E55:F55">
    <cfRule type="expression" dxfId="172" priority="46" stopIfTrue="1">
      <formula>#REF!=TRUE</formula>
    </cfRule>
  </conditionalFormatting>
  <conditionalFormatting sqref="L59 L57 L61">
    <cfRule type="cellIs" dxfId="171" priority="45" stopIfTrue="1" operator="notEqual">
      <formula>0</formula>
    </cfRule>
  </conditionalFormatting>
  <conditionalFormatting sqref="E55:F55">
    <cfRule type="expression" dxfId="170" priority="44" stopIfTrue="1">
      <formula>#REF!=TRUE</formula>
    </cfRule>
  </conditionalFormatting>
  <conditionalFormatting sqref="L59 L57 L61">
    <cfRule type="cellIs" dxfId="169" priority="43" stopIfTrue="1" operator="notEqual">
      <formula>0</formula>
    </cfRule>
  </conditionalFormatting>
  <conditionalFormatting sqref="E56:F56">
    <cfRule type="expression" dxfId="168" priority="42" stopIfTrue="1">
      <formula>#REF!=TRUE</formula>
    </cfRule>
  </conditionalFormatting>
  <conditionalFormatting sqref="L60 L58">
    <cfRule type="cellIs" dxfId="167" priority="41" stopIfTrue="1" operator="notEqual">
      <formula>0</formula>
    </cfRule>
  </conditionalFormatting>
  <conditionalFormatting sqref="E55:F55">
    <cfRule type="expression" dxfId="166" priority="40" stopIfTrue="1">
      <formula>#REF!=TRUE</formula>
    </cfRule>
  </conditionalFormatting>
  <conditionalFormatting sqref="L59 L57 L61">
    <cfRule type="cellIs" dxfId="165" priority="39" stopIfTrue="1" operator="notEqual">
      <formula>0</formula>
    </cfRule>
  </conditionalFormatting>
  <conditionalFormatting sqref="E55:F55">
    <cfRule type="expression" dxfId="164" priority="38" stopIfTrue="1">
      <formula>#REF!=TRUE</formula>
    </cfRule>
  </conditionalFormatting>
  <conditionalFormatting sqref="L59 L57 L61">
    <cfRule type="cellIs" dxfId="163" priority="37" stopIfTrue="1" operator="notEqual">
      <formula>0</formula>
    </cfRule>
  </conditionalFormatting>
  <conditionalFormatting sqref="E56:F56">
    <cfRule type="expression" dxfId="162" priority="36" stopIfTrue="1">
      <formula>#REF!=TRUE</formula>
    </cfRule>
  </conditionalFormatting>
  <conditionalFormatting sqref="L60 L58">
    <cfRule type="cellIs" dxfId="161" priority="35" stopIfTrue="1" operator="notEqual">
      <formula>0</formula>
    </cfRule>
  </conditionalFormatting>
  <conditionalFormatting sqref="E55:F55">
    <cfRule type="expression" dxfId="160" priority="34" stopIfTrue="1">
      <formula>#REF!=TRUE</formula>
    </cfRule>
  </conditionalFormatting>
  <conditionalFormatting sqref="L59 L57 L61">
    <cfRule type="cellIs" dxfId="159" priority="33" stopIfTrue="1" operator="notEqual">
      <formula>0</formula>
    </cfRule>
  </conditionalFormatting>
  <conditionalFormatting sqref="E55:F55">
    <cfRule type="expression" dxfId="158" priority="32" stopIfTrue="1">
      <formula>#REF!=TRUE</formula>
    </cfRule>
  </conditionalFormatting>
  <conditionalFormatting sqref="L59 L57 L61">
    <cfRule type="cellIs" dxfId="157" priority="31" stopIfTrue="1" operator="notEqual">
      <formula>0</formula>
    </cfRule>
  </conditionalFormatting>
  <conditionalFormatting sqref="E56:F56">
    <cfRule type="expression" dxfId="156" priority="30" stopIfTrue="1">
      <formula>#REF!=TRUE</formula>
    </cfRule>
  </conditionalFormatting>
  <conditionalFormatting sqref="L57:L61">
    <cfRule type="cellIs" dxfId="155" priority="29" stopIfTrue="1" operator="notEqual">
      <formula>0</formula>
    </cfRule>
  </conditionalFormatting>
  <conditionalFormatting sqref="E55:F56">
    <cfRule type="expression" dxfId="154" priority="28" stopIfTrue="1">
      <formula>#REF!=TRUE</formula>
    </cfRule>
  </conditionalFormatting>
  <conditionalFormatting sqref="E56:F56">
    <cfRule type="expression" dxfId="153" priority="27" stopIfTrue="1">
      <formula>#REF!=TRUE</formula>
    </cfRule>
  </conditionalFormatting>
  <conditionalFormatting sqref="L60 L58">
    <cfRule type="cellIs" dxfId="152" priority="26" stopIfTrue="1" operator="notEqual">
      <formula>0</formula>
    </cfRule>
  </conditionalFormatting>
  <conditionalFormatting sqref="E55:F55">
    <cfRule type="expression" dxfId="151" priority="25" stopIfTrue="1">
      <formula>#REF!=TRUE</formula>
    </cfRule>
  </conditionalFormatting>
  <conditionalFormatting sqref="L59 L57 L61">
    <cfRule type="cellIs" dxfId="150" priority="24" stopIfTrue="1" operator="notEqual">
      <formula>0</formula>
    </cfRule>
  </conditionalFormatting>
  <conditionalFormatting sqref="E55:F55">
    <cfRule type="expression" dxfId="149" priority="23" stopIfTrue="1">
      <formula>#REF!=TRUE</formula>
    </cfRule>
  </conditionalFormatting>
  <conditionalFormatting sqref="L59 L57 L61">
    <cfRule type="cellIs" dxfId="148" priority="22" stopIfTrue="1" operator="notEqual">
      <formula>0</formula>
    </cfRule>
  </conditionalFormatting>
  <conditionalFormatting sqref="E56:F56">
    <cfRule type="expression" dxfId="147" priority="21" stopIfTrue="1">
      <formula>#REF!=TRUE</formula>
    </cfRule>
  </conditionalFormatting>
  <conditionalFormatting sqref="L60 L58">
    <cfRule type="cellIs" dxfId="146" priority="20" stopIfTrue="1" operator="notEqual">
      <formula>0</formula>
    </cfRule>
  </conditionalFormatting>
  <conditionalFormatting sqref="E55:F55">
    <cfRule type="expression" dxfId="145" priority="19" stopIfTrue="1">
      <formula>#REF!=TRUE</formula>
    </cfRule>
  </conditionalFormatting>
  <conditionalFormatting sqref="L59 L57 L61">
    <cfRule type="cellIs" dxfId="144" priority="18" stopIfTrue="1" operator="notEqual">
      <formula>0</formula>
    </cfRule>
  </conditionalFormatting>
  <conditionalFormatting sqref="E55:F55">
    <cfRule type="expression" dxfId="143" priority="17" stopIfTrue="1">
      <formula>#REF!=TRUE</formula>
    </cfRule>
  </conditionalFormatting>
  <conditionalFormatting sqref="L59 L57 L61">
    <cfRule type="cellIs" dxfId="142" priority="16" stopIfTrue="1" operator="notEqual">
      <formula>0</formula>
    </cfRule>
  </conditionalFormatting>
  <conditionalFormatting sqref="E56:F56">
    <cfRule type="expression" dxfId="141" priority="15" stopIfTrue="1">
      <formula>#REF!=TRUE</formula>
    </cfRule>
  </conditionalFormatting>
  <conditionalFormatting sqref="L60 L58">
    <cfRule type="cellIs" dxfId="140" priority="14" stopIfTrue="1" operator="notEqual">
      <formula>0</formula>
    </cfRule>
  </conditionalFormatting>
  <conditionalFormatting sqref="E55:F55">
    <cfRule type="expression" dxfId="139" priority="13" stopIfTrue="1">
      <formula>#REF!=TRUE</formula>
    </cfRule>
  </conditionalFormatting>
  <conditionalFormatting sqref="L59 L57 L61">
    <cfRule type="cellIs" dxfId="138" priority="12" stopIfTrue="1" operator="notEqual">
      <formula>0</formula>
    </cfRule>
  </conditionalFormatting>
  <conditionalFormatting sqref="E55:F55">
    <cfRule type="expression" dxfId="137" priority="11" stopIfTrue="1">
      <formula>#REF!=TRUE</formula>
    </cfRule>
  </conditionalFormatting>
  <conditionalFormatting sqref="L59 L57 L61">
    <cfRule type="cellIs" dxfId="136" priority="10" stopIfTrue="1" operator="notEqual">
      <formula>0</formula>
    </cfRule>
  </conditionalFormatting>
  <conditionalFormatting sqref="E56:F56">
    <cfRule type="expression" dxfId="135" priority="9" stopIfTrue="1">
      <formula>#REF!=TRUE</formula>
    </cfRule>
  </conditionalFormatting>
  <conditionalFormatting sqref="L60 L58">
    <cfRule type="cellIs" dxfId="134" priority="8" stopIfTrue="1" operator="notEqual">
      <formula>0</formula>
    </cfRule>
  </conditionalFormatting>
  <conditionalFormatting sqref="E55:F55">
    <cfRule type="expression" dxfId="133" priority="7" stopIfTrue="1">
      <formula>#REF!=TRUE</formula>
    </cfRule>
  </conditionalFormatting>
  <conditionalFormatting sqref="L59 L57 L61">
    <cfRule type="cellIs" dxfId="132" priority="6" stopIfTrue="1" operator="notEqual">
      <formula>0</formula>
    </cfRule>
  </conditionalFormatting>
  <conditionalFormatting sqref="E55:F55">
    <cfRule type="expression" dxfId="131" priority="5" stopIfTrue="1">
      <formula>#REF!=TRUE</formula>
    </cfRule>
  </conditionalFormatting>
  <conditionalFormatting sqref="L59 L57 L61">
    <cfRule type="cellIs" dxfId="130" priority="4" stopIfTrue="1" operator="notEqual">
      <formula>0</formula>
    </cfRule>
  </conditionalFormatting>
  <conditionalFormatting sqref="E56:F56">
    <cfRule type="expression" dxfId="129" priority="3" stopIfTrue="1">
      <formula>#REF!=TRUE</formula>
    </cfRule>
  </conditionalFormatting>
  <conditionalFormatting sqref="L57:L61">
    <cfRule type="cellIs" dxfId="128" priority="2" stopIfTrue="1" operator="notEqual">
      <formula>0</formula>
    </cfRule>
  </conditionalFormatting>
  <conditionalFormatting sqref="E55:F56">
    <cfRule type="expression" dxfId="127"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70" workbookViewId="0">
      <selection activeCell="E29" sqref="E29"/>
    </sheetView>
  </sheetViews>
  <sheetFormatPr defaultRowHeight="12"/>
  <cols>
    <col min="1" max="2" width="0.140625" style="2797" customWidth="1"/>
    <col min="3" max="3" width="70.7109375" style="1665" customWidth="1"/>
    <col min="4" max="4" width="12.7109375" style="1665" customWidth="1"/>
    <col min="5" max="6" width="26.7109375" style="1665" customWidth="1"/>
    <col min="7" max="8" width="9.140625" style="1665"/>
    <col min="9" max="9" width="13" style="1665" bestFit="1" customWidth="1"/>
    <col min="10"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384" t="s">
        <v>5808</v>
      </c>
      <c r="D2" s="3384"/>
      <c r="E2" s="3384"/>
      <c r="F2" s="3384"/>
      <c r="G2" s="1664"/>
      <c r="H2" s="1664"/>
      <c r="I2" s="1664"/>
      <c r="J2" s="1664"/>
    </row>
    <row r="3" spans="1:10" ht="27" customHeight="1">
      <c r="A3" s="2840"/>
      <c r="B3" s="2841"/>
      <c r="C3" s="3383" t="str">
        <f>Lead!$F$7</f>
        <v>2019年度</v>
      </c>
      <c r="D3" s="3383"/>
      <c r="E3" s="3383"/>
      <c r="F3" s="3383"/>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编制单位：北京天马金信供应链管理有限公司</v>
      </c>
      <c r="D5" s="2039"/>
      <c r="E5" s="2040" t="s">
        <v>2554</v>
      </c>
      <c r="F5" s="2041" t="s">
        <v>2555</v>
      </c>
      <c r="G5" s="1664"/>
      <c r="H5" s="1664"/>
      <c r="I5" s="1664"/>
      <c r="J5" s="1664"/>
    </row>
    <row r="6" spans="1:10" ht="20.100000000000001" customHeight="1">
      <c r="A6" s="2885" t="s">
        <v>2556</v>
      </c>
      <c r="B6" s="2883" t="s">
        <v>2558</v>
      </c>
      <c r="C6" s="2043" t="s">
        <v>5134</v>
      </c>
      <c r="D6" s="2044" t="s">
        <v>5847</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20266366.969999999</v>
      </c>
      <c r="F7" s="2050">
        <f t="shared" ref="F7:F24" si="3">IF($B7="","",VLOOKUP($B7,Sheet_Trialbal,10,0))</f>
        <v>9961204.6999999993</v>
      </c>
      <c r="G7" s="1885"/>
      <c r="H7" s="1885"/>
      <c r="I7" s="1664"/>
      <c r="J7" s="1664"/>
    </row>
    <row r="8" spans="1:10" ht="20.100000000000001" customHeight="1">
      <c r="A8" s="2863">
        <f t="shared" si="0"/>
        <v>0</v>
      </c>
      <c r="B8" s="2856">
        <v>6401</v>
      </c>
      <c r="C8" s="2051" t="str">
        <f t="shared" si="1"/>
        <v>减：营业成本</v>
      </c>
      <c r="D8" s="2052"/>
      <c r="E8" s="2049">
        <f t="shared" si="2"/>
        <v>17540765.449999999</v>
      </c>
      <c r="F8" s="2050">
        <f t="shared" si="3"/>
        <v>8620689.6300000008</v>
      </c>
      <c r="G8" s="1885"/>
      <c r="H8" s="1885"/>
      <c r="I8" s="1664"/>
      <c r="J8" s="1664"/>
    </row>
    <row r="9" spans="1:10" ht="20.100000000000001" customHeight="1">
      <c r="A9" s="2863">
        <f t="shared" si="0"/>
        <v>0</v>
      </c>
      <c r="B9" s="2856">
        <v>6600</v>
      </c>
      <c r="C9" s="2030" t="str">
        <f t="shared" si="1"/>
        <v>税金及附加</v>
      </c>
      <c r="D9" s="2052"/>
      <c r="E9" s="2049">
        <f t="shared" si="2"/>
        <v>78151.759999999995</v>
      </c>
      <c r="F9" s="2050">
        <f t="shared" si="3"/>
        <v>68861.460000000006</v>
      </c>
      <c r="G9" s="1885"/>
      <c r="H9" s="1885"/>
      <c r="I9" s="1664"/>
      <c r="J9" s="1664"/>
    </row>
    <row r="10" spans="1:10" ht="20.100000000000001" customHeight="1">
      <c r="A10" s="2863">
        <f t="shared" si="0"/>
        <v>0</v>
      </c>
      <c r="B10" s="2856">
        <v>6601</v>
      </c>
      <c r="C10" s="2030" t="str">
        <f t="shared" si="1"/>
        <v>销售费用</v>
      </c>
      <c r="D10" s="2052"/>
      <c r="E10" s="2049">
        <f t="shared" si="2"/>
        <v>0</v>
      </c>
      <c r="F10" s="2050">
        <f t="shared" si="3"/>
        <v>0</v>
      </c>
      <c r="G10" s="1885"/>
      <c r="H10" s="1885"/>
      <c r="I10" s="1664"/>
      <c r="J10" s="1664"/>
    </row>
    <row r="11" spans="1:10" ht="20.100000000000001" customHeight="1">
      <c r="A11" s="2863">
        <f t="shared" si="0"/>
        <v>0</v>
      </c>
      <c r="B11" s="2856">
        <v>6602</v>
      </c>
      <c r="C11" s="2030" t="str">
        <f t="shared" si="1"/>
        <v>管理费用</v>
      </c>
      <c r="D11" s="2052"/>
      <c r="E11" s="2049">
        <f t="shared" si="2"/>
        <v>5051217.3499999996</v>
      </c>
      <c r="F11" s="2050">
        <f t="shared" si="3"/>
        <v>5160685.92</v>
      </c>
      <c r="G11" s="1885"/>
      <c r="H11" s="1885"/>
      <c r="I11" s="3106"/>
      <c r="J11" s="1664"/>
    </row>
    <row r="12" spans="1:10" ht="20.100000000000001" customHeight="1">
      <c r="A12" s="2863">
        <f t="shared" si="0"/>
        <v>0</v>
      </c>
      <c r="B12" s="2856">
        <v>6606</v>
      </c>
      <c r="C12" s="2030" t="str">
        <f t="shared" si="1"/>
        <v>研发费用</v>
      </c>
      <c r="D12" s="2052"/>
      <c r="E12" s="2049">
        <f t="shared" si="2"/>
        <v>0</v>
      </c>
      <c r="F12" s="2050">
        <f t="shared" si="3"/>
        <v>0</v>
      </c>
      <c r="G12" s="1885"/>
      <c r="H12" s="1885"/>
      <c r="I12" s="1664"/>
      <c r="J12" s="1664"/>
    </row>
    <row r="13" spans="1:10" ht="20.100000000000001" customHeight="1">
      <c r="A13" s="2863">
        <f t="shared" si="0"/>
        <v>0</v>
      </c>
      <c r="B13" s="2856">
        <v>6603</v>
      </c>
      <c r="C13" s="2030" t="str">
        <f t="shared" si="1"/>
        <v>财务费用</v>
      </c>
      <c r="D13" s="2052"/>
      <c r="E13" s="2049">
        <f t="shared" si="2"/>
        <v>-10537.07</v>
      </c>
      <c r="F13" s="2050">
        <f t="shared" si="3"/>
        <v>-4939.1400000000003</v>
      </c>
      <c r="G13" s="1885"/>
      <c r="H13" s="1885"/>
      <c r="I13" s="1664"/>
      <c r="J13" s="1664"/>
    </row>
    <row r="14" spans="1:10" ht="20.100000000000001" customHeight="1">
      <c r="A14" s="2863">
        <f t="shared" si="0"/>
        <v>0</v>
      </c>
      <c r="B14" s="2856" t="s">
        <v>803</v>
      </c>
      <c r="C14" s="2031" t="str">
        <f t="shared" si="1"/>
        <v>其中：利息费用</v>
      </c>
      <c r="D14" s="2052"/>
      <c r="E14" s="2049">
        <f t="shared" si="2"/>
        <v>0</v>
      </c>
      <c r="F14" s="2050">
        <f t="shared" si="3"/>
        <v>0</v>
      </c>
      <c r="G14" s="1885"/>
      <c r="H14" s="1885"/>
      <c r="I14" s="1664"/>
      <c r="J14" s="1664"/>
    </row>
    <row r="15" spans="1:10" ht="20.100000000000001" customHeight="1">
      <c r="A15" s="2863">
        <f t="shared" si="0"/>
        <v>0</v>
      </c>
      <c r="B15" s="2856" t="s">
        <v>810</v>
      </c>
      <c r="C15" s="2031" t="str">
        <f t="shared" si="1"/>
        <v>利息收入</v>
      </c>
      <c r="D15" s="2052"/>
      <c r="E15" s="2049">
        <f t="shared" si="2"/>
        <v>10615</v>
      </c>
      <c r="F15" s="2050">
        <v>5039.1400000000003</v>
      </c>
      <c r="G15" s="1885"/>
      <c r="H15" s="1885"/>
      <c r="I15" s="1664"/>
      <c r="J15" s="1664"/>
    </row>
    <row r="16" spans="1:10" ht="20.100000000000001" customHeight="1">
      <c r="A16" s="2863">
        <f t="shared" si="0"/>
        <v>0</v>
      </c>
      <c r="B16" s="2856">
        <v>6181</v>
      </c>
      <c r="C16" s="2028" t="str">
        <f t="shared" si="1"/>
        <v>加：其他收益</v>
      </c>
      <c r="D16" s="2052"/>
      <c r="E16" s="2049">
        <f t="shared" si="2"/>
        <v>10490.18</v>
      </c>
      <c r="F16" s="2050">
        <f t="shared" si="3"/>
        <v>0</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5521086.3499999996</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0</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0</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-2382740.34</v>
      </c>
      <c r="F25" s="2050">
        <f>SUM(F7)-SUM(F8:F13)+SUM(F16:F24)-SUM(F18,F19)</f>
        <v>1636993.18</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0</v>
      </c>
      <c r="F26" s="2050">
        <f>IF($B26="","",VLOOKUP($B26,Sheet_Trialbal,10,0))</f>
        <v>0</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0</v>
      </c>
      <c r="F27" s="2050">
        <f>IF($B27="","",VLOOKUP($B27,Sheet_Trialbal,10,0))</f>
        <v>0</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-2382740.34</v>
      </c>
      <c r="F28" s="2050">
        <f>SUM(F25,F26,-F27)</f>
        <v>1636993.18</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0</v>
      </c>
      <c r="F29" s="2050">
        <f>IF($B29="","",VLOOKUP($B29,Sheet_Trialbal,10,0))</f>
        <v>-926583.97</v>
      </c>
      <c r="G29" s="1885"/>
      <c r="H29" s="1885"/>
      <c r="I29" s="1664"/>
      <c r="J29" s="1664"/>
    </row>
    <row r="30" spans="1:10" ht="20.100000000000001" customHeight="1">
      <c r="A30" s="2863" t="str">
        <f t="shared" si="0"/>
        <v>＝</v>
      </c>
      <c r="B30" s="2856">
        <v>6799</v>
      </c>
      <c r="C30" s="2056" t="str">
        <f t="shared" si="1"/>
        <v>四、净利润（净亏损以“-”号填列）</v>
      </c>
      <c r="D30" s="2052"/>
      <c r="E30" s="2049">
        <f>SUM(E28,-E29)</f>
        <v>-2382740.34</v>
      </c>
      <c r="F30" s="2050">
        <f>SUM(F28,-F29)</f>
        <v>2563577.15</v>
      </c>
      <c r="G30" s="1886"/>
      <c r="H30" s="1885"/>
      <c r="I30" s="1664"/>
      <c r="J30" s="1664"/>
    </row>
    <row r="31" spans="1:10" ht="20.100000000000001" customHeight="1">
      <c r="A31" s="2863">
        <f t="shared" si="0"/>
        <v>0</v>
      </c>
      <c r="B31" s="2856">
        <v>6816</v>
      </c>
      <c r="C31" s="2030" t="str">
        <f t="shared" si="1"/>
        <v>（一）持续经营净利润（净亏损以“-”号填列）</v>
      </c>
      <c r="D31" s="2052" t="s">
        <v>19</v>
      </c>
      <c r="E31" s="2053">
        <f>E30</f>
        <v>-2382740.34</v>
      </c>
      <c r="F31" s="2050">
        <f>F30</f>
        <v>2563577.15</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-2382740.34</v>
      </c>
      <c r="F52" s="2050">
        <f>SUM(F30,F33)</f>
        <v>2563577.15</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385"/>
      <c r="D56" s="3385"/>
      <c r="E56" s="3385"/>
      <c r="F56" s="3385"/>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5752</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5757</v>
      </c>
      <c r="D63" s="1893"/>
      <c r="E63" s="1894"/>
      <c r="F63" s="1867"/>
      <c r="G63" s="1895"/>
      <c r="H63" s="1895"/>
      <c r="I63" s="1664"/>
      <c r="J63" s="1664"/>
    </row>
    <row r="64" spans="1:10" ht="18">
      <c r="A64" s="2889" t="s">
        <v>2565</v>
      </c>
      <c r="B64" s="2890"/>
      <c r="C64" s="1897" t="str">
        <f>C30</f>
        <v>四、净利润（净亏损以“-”号填列）</v>
      </c>
      <c r="D64" s="1893" t="s">
        <v>5763</v>
      </c>
      <c r="E64" s="1898">
        <f>E30</f>
        <v>-2382740.34</v>
      </c>
      <c r="F64" s="1899">
        <f>F30</f>
        <v>2563577.15</v>
      </c>
      <c r="G64" s="1895"/>
      <c r="H64" s="1895"/>
      <c r="I64" s="1664"/>
      <c r="J64" s="1664"/>
    </row>
    <row r="65" spans="1:10" ht="24">
      <c r="A65" s="2889" t="s">
        <v>2565</v>
      </c>
      <c r="B65" s="2890"/>
      <c r="C65" s="1896" t="str">
        <f>C31 &amp; "+" &amp;C32</f>
        <v>（一）持续经营净利润（净亏损以“-”号填列）+（二）终止经营净利润（净亏损以“-”号填列）</v>
      </c>
      <c r="D65" s="1893" t="s">
        <v>5763</v>
      </c>
      <c r="E65" s="1898">
        <f>E31+E32</f>
        <v>-2382740.34</v>
      </c>
      <c r="F65" s="1899">
        <f>F31+F32</f>
        <v>2563577.15</v>
      </c>
      <c r="G65" s="1895"/>
      <c r="H65" s="1895"/>
      <c r="I65" s="1664"/>
      <c r="J65" s="1664"/>
    </row>
    <row r="66" spans="1:10" ht="18.75" thickBot="1">
      <c r="A66" s="2889" t="s">
        <v>2565</v>
      </c>
      <c r="B66" s="2890"/>
      <c r="C66" s="1901" t="s">
        <v>5765</v>
      </c>
      <c r="D66" s="1893"/>
      <c r="E66" s="1902">
        <f>ROUND(E64-E65,2)</f>
        <v>0</v>
      </c>
      <c r="F66" s="1903">
        <f>ROUND(F64-F65,2)</f>
        <v>0</v>
      </c>
      <c r="G66" s="1895"/>
      <c r="H66" s="1895"/>
      <c r="I66" s="1664"/>
      <c r="J66" s="1664"/>
    </row>
    <row r="67" spans="1:10" ht="18.75" thickTop="1">
      <c r="A67" s="2889" t="s">
        <v>2565</v>
      </c>
      <c r="B67" s="2890"/>
      <c r="C67" s="1904" t="s">
        <v>5761</v>
      </c>
      <c r="D67" s="1893"/>
      <c r="E67" s="1905" t="str">
        <f>IF(E66=0,"√","×")</f>
        <v>√</v>
      </c>
      <c r="F67" s="1906" t="str">
        <f>IF(F66=0,"√","×")</f>
        <v>√</v>
      </c>
      <c r="G67" s="1895"/>
      <c r="H67" s="1895"/>
      <c r="I67" s="1664"/>
      <c r="J67" s="1664"/>
    </row>
    <row r="68" spans="1:10" ht="18">
      <c r="A68" s="2889" t="s">
        <v>2565</v>
      </c>
      <c r="B68" s="2890"/>
      <c r="C68" s="1861" t="s">
        <v>5762</v>
      </c>
      <c r="D68" s="1893"/>
      <c r="E68" s="1894"/>
      <c r="F68" s="1867"/>
      <c r="G68" s="1895"/>
      <c r="H68" s="1895"/>
      <c r="I68" s="1664"/>
      <c r="J68" s="1664"/>
    </row>
    <row r="69" spans="1:10" ht="18">
      <c r="A69" s="2889" t="s">
        <v>2565</v>
      </c>
      <c r="B69" s="2890"/>
      <c r="C69" s="1897" t="str">
        <f>C30</f>
        <v>四、净利润（净亏损以“-”号填列）</v>
      </c>
      <c r="D69" s="1893" t="s">
        <v>5763</v>
      </c>
      <c r="E69" s="1898">
        <f>E30</f>
        <v>-2382740.34</v>
      </c>
      <c r="F69" s="1899">
        <f>F30</f>
        <v>2563577.15</v>
      </c>
      <c r="G69" s="1895"/>
      <c r="H69" s="1895"/>
      <c r="I69" s="1664"/>
      <c r="J69" s="1664"/>
    </row>
    <row r="70" spans="1:10" ht="18">
      <c r="A70" s="2889" t="s">
        <v>2565</v>
      </c>
      <c r="B70" s="2890"/>
      <c r="C70" s="1900" t="str">
        <f>CE!$C$15&amp;" | "&amp;CE!$N$7</f>
        <v>（一）综合收益总额 | 未分配利润</v>
      </c>
      <c r="D70" s="1893" t="s">
        <v>5764</v>
      </c>
      <c r="E70" s="1898">
        <f>CE!N15</f>
        <v>-2382740.34</v>
      </c>
      <c r="F70" s="1899">
        <f>CE!AA15</f>
        <v>2563577.15</v>
      </c>
      <c r="G70" s="1895"/>
      <c r="H70" s="1895"/>
      <c r="I70" s="1664"/>
      <c r="J70" s="1664"/>
    </row>
    <row r="71" spans="1:10" ht="18.75" thickBot="1">
      <c r="A71" s="2889" t="s">
        <v>2565</v>
      </c>
      <c r="B71" s="2890"/>
      <c r="C71" s="1901" t="s">
        <v>5765</v>
      </c>
      <c r="D71" s="1893"/>
      <c r="E71" s="1902">
        <f>ROUND(E69-E70,2)</f>
        <v>0</v>
      </c>
      <c r="F71" s="1903">
        <f>ROUND(F69-F70,2)</f>
        <v>0</v>
      </c>
      <c r="G71" s="1895"/>
      <c r="H71" s="1895"/>
      <c r="I71" s="1664"/>
      <c r="J71" s="1664"/>
    </row>
    <row r="72" spans="1:10" ht="18.75" thickTop="1">
      <c r="A72" s="2889" t="s">
        <v>2565</v>
      </c>
      <c r="B72" s="2890"/>
      <c r="C72" s="1904" t="s">
        <v>5761</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5817</v>
      </c>
      <c r="E73" s="1898">
        <f>E33</f>
        <v>0</v>
      </c>
      <c r="F73" s="1899">
        <f>F33</f>
        <v>0</v>
      </c>
      <c r="G73" s="1895"/>
      <c r="H73" s="1895"/>
      <c r="I73" s="1664"/>
      <c r="J73" s="1664"/>
    </row>
    <row r="74" spans="1:10" ht="18">
      <c r="A74" s="2889" t="s">
        <v>2565</v>
      </c>
      <c r="B74" s="2890"/>
      <c r="C74" s="1900" t="str">
        <f>CE!$C$15&amp;" | "&amp;CE!$J$7</f>
        <v>（一）综合收益总额 | 其他综合收益</v>
      </c>
      <c r="D74" s="1893" t="s">
        <v>5818</v>
      </c>
      <c r="E74" s="1898">
        <f>CE!J15</f>
        <v>0</v>
      </c>
      <c r="F74" s="1899">
        <f ca="1">CE!W15</f>
        <v>0</v>
      </c>
      <c r="G74" s="1895"/>
      <c r="H74" s="1895"/>
      <c r="I74" s="1664"/>
      <c r="J74" s="1664"/>
    </row>
    <row r="75" spans="1:10" ht="18.75" thickBot="1">
      <c r="A75" s="2889" t="s">
        <v>2565</v>
      </c>
      <c r="B75" s="2890"/>
      <c r="C75" s="1901" t="s">
        <v>5819</v>
      </c>
      <c r="D75" s="1893"/>
      <c r="E75" s="1902">
        <f>ROUND(E73-E74,2)</f>
        <v>0</v>
      </c>
      <c r="F75" s="1903">
        <f ca="1">ROUND(F73-F74,2)</f>
        <v>0</v>
      </c>
      <c r="G75" s="1895"/>
      <c r="H75" s="1895"/>
      <c r="I75" s="1664"/>
      <c r="J75" s="1664"/>
    </row>
    <row r="76" spans="1:10" ht="18.75" thickTop="1">
      <c r="A76" s="2889" t="s">
        <v>2565</v>
      </c>
      <c r="B76" s="2890"/>
      <c r="C76" s="1904" t="s">
        <v>5820</v>
      </c>
      <c r="D76" s="1893"/>
      <c r="E76" s="1905" t="str">
        <f>IF(E75=0,"√","×")</f>
        <v>√</v>
      </c>
      <c r="F76" s="1906" t="str">
        <f ca="1">IF(F75=0,"√","×")</f>
        <v>√</v>
      </c>
      <c r="G76" s="1895"/>
      <c r="H76" s="1885"/>
      <c r="I76" s="1664"/>
      <c r="J76" s="1664"/>
    </row>
    <row r="77" spans="1:10" ht="18">
      <c r="A77" s="2889" t="s">
        <v>2565</v>
      </c>
      <c r="B77" s="2890"/>
      <c r="C77" s="1897" t="str">
        <f>C52</f>
        <v>六、综合收益总额</v>
      </c>
      <c r="D77" s="1893" t="s">
        <v>5821</v>
      </c>
      <c r="E77" s="1898">
        <f>E52</f>
        <v>-2382740.34</v>
      </c>
      <c r="F77" s="1899">
        <f>F52</f>
        <v>2563577.15</v>
      </c>
      <c r="G77" s="1895"/>
      <c r="H77" s="1885"/>
      <c r="I77" s="1664"/>
      <c r="J77" s="1664"/>
    </row>
    <row r="78" spans="1:10" ht="18">
      <c r="A78" s="2889" t="s">
        <v>2565</v>
      </c>
      <c r="B78" s="2890"/>
      <c r="C78" s="1900" t="str">
        <f>CE!$C$15&amp;" | "&amp;CE!$P$7</f>
        <v>（一）综合收益总额 | 所有者权益合计</v>
      </c>
      <c r="D78" s="1893" t="s">
        <v>5818</v>
      </c>
      <c r="E78" s="1898">
        <f>CE!P15</f>
        <v>-2382740.34</v>
      </c>
      <c r="F78" s="1899">
        <f ca="1">CE!AC15</f>
        <v>2563577.15</v>
      </c>
      <c r="G78" s="1895"/>
      <c r="H78" s="1885"/>
      <c r="I78" s="1664"/>
      <c r="J78" s="1664"/>
    </row>
    <row r="79" spans="1:10" ht="18.75" thickBot="1">
      <c r="A79" s="2889" t="s">
        <v>2565</v>
      </c>
      <c r="B79" s="2890"/>
      <c r="C79" s="1901" t="s">
        <v>5819</v>
      </c>
      <c r="D79" s="1893"/>
      <c r="E79" s="1902">
        <f>ROUND(E77-E78,2)</f>
        <v>0</v>
      </c>
      <c r="F79" s="1903">
        <f ca="1">ROUND(F77-F78,2)</f>
        <v>0</v>
      </c>
      <c r="G79" s="1895"/>
      <c r="H79" s="1885"/>
      <c r="I79" s="1664"/>
      <c r="J79" s="1664"/>
    </row>
    <row r="80" spans="1:10" ht="18.75" thickTop="1">
      <c r="A80" s="2889" t="s">
        <v>2565</v>
      </c>
      <c r="B80" s="2890"/>
      <c r="C80" s="1904" t="s">
        <v>5820</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126" priority="84" stopIfTrue="1" operator="notEqual">
      <formula>0</formula>
    </cfRule>
  </conditionalFormatting>
  <conditionalFormatting sqref="D61:D62 C61">
    <cfRule type="expression" dxfId="125" priority="83" stopIfTrue="1">
      <formula>#REF!=TRUE</formula>
    </cfRule>
  </conditionalFormatting>
  <conditionalFormatting sqref="E81:F81 E75:F75 E79:F79 E71:F71">
    <cfRule type="cellIs" dxfId="124" priority="82" stopIfTrue="1" operator="notEqual">
      <formula>0</formula>
    </cfRule>
  </conditionalFormatting>
  <conditionalFormatting sqref="E81:F81 E75:F75 E79:F79 E71:F71">
    <cfRule type="cellIs" dxfId="123" priority="80" stopIfTrue="1" operator="notEqual">
      <formula>0</formula>
    </cfRule>
  </conditionalFormatting>
  <conditionalFormatting sqref="E81:F81 E75:F75 E79:F79 E71:F71">
    <cfRule type="cellIs" dxfId="122" priority="79" stopIfTrue="1" operator="notEqual">
      <formula>0</formula>
    </cfRule>
  </conditionalFormatting>
  <conditionalFormatting sqref="E81:F81 E75:F75 E79:F79 E71:F71">
    <cfRule type="cellIs" dxfId="121" priority="78" stopIfTrue="1" operator="notEqual">
      <formula>0</formula>
    </cfRule>
  </conditionalFormatting>
  <conditionalFormatting sqref="E81:F81 E75:F75 E79:F79 E71:F71">
    <cfRule type="cellIs" dxfId="120" priority="77" stopIfTrue="1" operator="notEqual">
      <formula>0</formula>
    </cfRule>
  </conditionalFormatting>
  <conditionalFormatting sqref="E81:F81 E75:F75 E79:F79 E71:F71">
    <cfRule type="cellIs" dxfId="119" priority="76" stopIfTrue="1" operator="notEqual">
      <formula>0</formula>
    </cfRule>
  </conditionalFormatting>
  <conditionalFormatting sqref="E81:F81 E75:F75 E79:F79 E71:F71">
    <cfRule type="cellIs" dxfId="118" priority="74" stopIfTrue="1" operator="notEqual">
      <formula>0</formula>
    </cfRule>
  </conditionalFormatting>
  <conditionalFormatting sqref="E81:F81 E75:F75 E79:F79 E71:F71">
    <cfRule type="cellIs" dxfId="117" priority="72" stopIfTrue="1" operator="notEqual">
      <formula>0</formula>
    </cfRule>
  </conditionalFormatting>
  <conditionalFormatting sqref="E81:F81 E75:F75 E79:F79 E71:F71">
    <cfRule type="cellIs" dxfId="116" priority="71" stopIfTrue="1" operator="notEqual">
      <formula>0</formula>
    </cfRule>
  </conditionalFormatting>
  <conditionalFormatting sqref="E81:F81 E75:F75 E79:F79 E71:F71">
    <cfRule type="cellIs" dxfId="115" priority="70" stopIfTrue="1" operator="notEqual">
      <formula>0</formula>
    </cfRule>
  </conditionalFormatting>
  <conditionalFormatting sqref="E81:F81 E75:F75 E79:F79 E71:F71">
    <cfRule type="cellIs" dxfId="114" priority="69" stopIfTrue="1" operator="notEqual">
      <formula>0</formula>
    </cfRule>
  </conditionalFormatting>
  <conditionalFormatting sqref="E81:F81 E75:F75 E79:F79 E71:F71">
    <cfRule type="cellIs" dxfId="113" priority="68" stopIfTrue="1" operator="notEqual">
      <formula>0</formula>
    </cfRule>
  </conditionalFormatting>
  <conditionalFormatting sqref="E81:F81 E75:F75 E79:F79 E71:F71">
    <cfRule type="cellIs" dxfId="112" priority="66" stopIfTrue="1" operator="notEqual">
      <formula>0</formula>
    </cfRule>
  </conditionalFormatting>
  <conditionalFormatting sqref="E81:F81 E75:F75 E79:F79 E71:F71">
    <cfRule type="cellIs" dxfId="111" priority="64" stopIfTrue="1" operator="notEqual">
      <formula>0</formula>
    </cfRule>
  </conditionalFormatting>
  <conditionalFormatting sqref="E81:F81 E75:F75 E79:F79 E71:F71">
    <cfRule type="cellIs" dxfId="110" priority="63" stopIfTrue="1" operator="notEqual">
      <formula>0</formula>
    </cfRule>
  </conditionalFormatting>
  <conditionalFormatting sqref="E81:F81 E75:F75 E79:F79 E71:F71">
    <cfRule type="cellIs" dxfId="109" priority="62" stopIfTrue="1" operator="notEqual">
      <formula>0</formula>
    </cfRule>
  </conditionalFormatting>
  <conditionalFormatting sqref="E81:F81 E75:F75 E79:F79 E71:F71">
    <cfRule type="cellIs" dxfId="108" priority="61" stopIfTrue="1" operator="notEqual">
      <formula>0</formula>
    </cfRule>
  </conditionalFormatting>
  <conditionalFormatting sqref="E81:F81 E75:F75 E79:F79 E71:F71">
    <cfRule type="cellIs" dxfId="107" priority="60" stopIfTrue="1" operator="notEqual">
      <formula>0</formula>
    </cfRule>
  </conditionalFormatting>
  <conditionalFormatting sqref="E81:F81 E75:F75 E79:F79 E71:F71">
    <cfRule type="cellIs" dxfId="106" priority="58" stopIfTrue="1" operator="notEqual">
      <formula>0</formula>
    </cfRule>
  </conditionalFormatting>
  <conditionalFormatting sqref="E81:F81 E75:F75 E79:F79 E71:F71">
    <cfRule type="cellIs" dxfId="105" priority="56" stopIfTrue="1" operator="notEqual">
      <formula>0</formula>
    </cfRule>
  </conditionalFormatting>
  <conditionalFormatting sqref="E81:F81 E75:F75 E79:F79 E71:F71">
    <cfRule type="cellIs" dxfId="104" priority="55" stopIfTrue="1" operator="notEqual">
      <formula>0</formula>
    </cfRule>
  </conditionalFormatting>
  <conditionalFormatting sqref="E81:F81 E75:F75 E79:F79 E71:F71">
    <cfRule type="cellIs" dxfId="103" priority="54" stopIfTrue="1" operator="notEqual">
      <formula>0</formula>
    </cfRule>
  </conditionalFormatting>
  <conditionalFormatting sqref="E81:F81 E75:F75 E79:F79 E71:F71">
    <cfRule type="cellIs" dxfId="102" priority="53" stopIfTrue="1" operator="notEqual">
      <formula>0</formula>
    </cfRule>
  </conditionalFormatting>
  <conditionalFormatting sqref="E81:F81 E75:F75 E79:F79 E71:F71">
    <cfRule type="cellIs" dxfId="101" priority="52" stopIfTrue="1" operator="notEqual">
      <formula>0</formula>
    </cfRule>
  </conditionalFormatting>
  <conditionalFormatting sqref="E81:F81 E75:F75 E79:F79 E71:F71">
    <cfRule type="cellIs" dxfId="100" priority="50" stopIfTrue="1" operator="notEqual">
      <formula>0</formula>
    </cfRule>
  </conditionalFormatting>
  <conditionalFormatting sqref="E81:F81 E75:F75 E79:F79 E71:F71">
    <cfRule type="cellIs" dxfId="99" priority="48" stopIfTrue="1" operator="notEqual">
      <formula>0</formula>
    </cfRule>
  </conditionalFormatting>
  <conditionalFormatting sqref="E81:F81 E75:F75 E79:F79 E71:F71">
    <cfRule type="cellIs" dxfId="98" priority="47" stopIfTrue="1" operator="notEqual">
      <formula>0</formula>
    </cfRule>
  </conditionalFormatting>
  <conditionalFormatting sqref="E81:F81 E75:F75 E79:F79 E71:F71">
    <cfRule type="cellIs" dxfId="97" priority="46" stopIfTrue="1" operator="notEqual">
      <formula>0</formula>
    </cfRule>
  </conditionalFormatting>
  <conditionalFormatting sqref="E81:F81 E75:F75 E79:F79 E71:F71">
    <cfRule type="cellIs" dxfId="96" priority="45" stopIfTrue="1" operator="notEqual">
      <formula>0</formula>
    </cfRule>
  </conditionalFormatting>
  <conditionalFormatting sqref="E81:F81 E75:F75 E79:F79 E71:F71">
    <cfRule type="cellIs" dxfId="95" priority="44" stopIfTrue="1" operator="notEqual">
      <formula>0</formula>
    </cfRule>
  </conditionalFormatting>
  <conditionalFormatting sqref="E81:F81 E75:F75 E79:F79 E71:F71">
    <cfRule type="cellIs" dxfId="94" priority="42" stopIfTrue="1" operator="notEqual">
      <formula>0</formula>
    </cfRule>
  </conditionalFormatting>
  <conditionalFormatting sqref="E81:F81 E75:F75 E79:F79 E71:F71">
    <cfRule type="cellIs" dxfId="93" priority="40" stopIfTrue="1" operator="notEqual">
      <formula>0</formula>
    </cfRule>
  </conditionalFormatting>
  <conditionalFormatting sqref="E81:F81 E75:F75 E79:F79 E71:F71">
    <cfRule type="cellIs" dxfId="92" priority="39" stopIfTrue="1" operator="notEqual">
      <formula>0</formula>
    </cfRule>
  </conditionalFormatting>
  <conditionalFormatting sqref="E81:F81 E75:F75 E79:F79 E71:F71">
    <cfRule type="cellIs" dxfId="91" priority="38" stopIfTrue="1" operator="notEqual">
      <formula>0</formula>
    </cfRule>
  </conditionalFormatting>
  <conditionalFormatting sqref="E81:F81 E75:F75 E79:F79 E71:F71">
    <cfRule type="cellIs" dxfId="90"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103" workbookViewId="0">
      <selection activeCell="E8" sqref="E8"/>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384" t="s">
        <v>5809</v>
      </c>
      <c r="D2" s="3384"/>
      <c r="E2" s="3384"/>
      <c r="F2" s="3384"/>
      <c r="G2" s="1664"/>
      <c r="H2" s="1664"/>
      <c r="I2" s="1664"/>
      <c r="J2" s="1664"/>
    </row>
    <row r="3" spans="1:10" ht="27" customHeight="1">
      <c r="A3" s="2840"/>
      <c r="B3" s="2841"/>
      <c r="C3" s="3383" t="str">
        <f>Lead!$F$7</f>
        <v>2019年度</v>
      </c>
      <c r="D3" s="3383"/>
      <c r="E3" s="3383"/>
      <c r="F3" s="3383"/>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编制单位：北京天马金信供应链管理有限公司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57038231</v>
      </c>
      <c r="F8" s="2078">
        <f>VLOOKUP($B8,Sheet_Trialbal,10,0)</f>
        <v>11427639</v>
      </c>
      <c r="G8" s="852"/>
      <c r="H8" s="852"/>
      <c r="I8" s="1664"/>
      <c r="J8" s="1664"/>
    </row>
    <row r="9" spans="1:10" ht="19.5" customHeight="1">
      <c r="A9" s="2842">
        <f t="shared" si="0"/>
        <v>0</v>
      </c>
      <c r="B9" s="2881">
        <v>7031</v>
      </c>
      <c r="C9" s="2079" t="str">
        <f t="shared" si="1"/>
        <v>收到的税费返还</v>
      </c>
      <c r="D9" s="2076"/>
      <c r="E9" s="2077">
        <f>VLOOKUP($B9,Sheet_Trialbal,6,0)</f>
        <v>0</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36993105.18</v>
      </c>
      <c r="F10" s="2078">
        <f>VLOOKUP($B10,Sheet_Trialbal,10,0)</f>
        <v>202044775.52000001</v>
      </c>
      <c r="G10" s="852"/>
      <c r="H10" s="852"/>
      <c r="I10" s="1664"/>
      <c r="J10" s="1664"/>
    </row>
    <row r="11" spans="1:10" ht="19.5" customHeight="1">
      <c r="A11" s="2842" t="str">
        <f t="shared" si="0"/>
        <v>＝</v>
      </c>
      <c r="B11" s="2881">
        <v>7048</v>
      </c>
      <c r="C11" s="2075" t="str">
        <f t="shared" si="1"/>
        <v>经营活动现金流入小计</v>
      </c>
      <c r="D11" s="2076"/>
      <c r="E11" s="2077">
        <f>SUM(E8:E10)</f>
        <v>94031336.180000007</v>
      </c>
      <c r="F11" s="2078">
        <f>SUM(F8:F10)</f>
        <v>213472414.52000001</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0</v>
      </c>
      <c r="F12" s="2078">
        <f>VLOOKUP($B12,Sheet_Trialbal,10,0)</f>
        <v>68088088</v>
      </c>
      <c r="G12" s="852">
        <v>33088088</v>
      </c>
      <c r="H12" s="852" t="s">
        <v>6941</v>
      </c>
      <c r="I12" s="1664"/>
      <c r="J12" s="1664"/>
    </row>
    <row r="13" spans="1:10" ht="19.5" customHeight="1">
      <c r="A13" s="2842">
        <f t="shared" si="0"/>
        <v>0</v>
      </c>
      <c r="B13" s="2881">
        <v>7061</v>
      </c>
      <c r="C13" s="2079" t="str">
        <f t="shared" si="1"/>
        <v>支付给职工以及为职工支付的现金</v>
      </c>
      <c r="D13" s="2076"/>
      <c r="E13" s="2077">
        <f>VLOOKUP($B13,Sheet_Trialbal,6,0)</f>
        <v>4451795.68</v>
      </c>
      <c r="F13" s="2078">
        <f>VLOOKUP($B13,Sheet_Trialbal,10,0)</f>
        <v>2346963.46</v>
      </c>
      <c r="G13" s="852"/>
      <c r="H13" s="852"/>
      <c r="I13" s="1664"/>
      <c r="J13" s="1664"/>
    </row>
    <row r="14" spans="1:10" ht="19.5" customHeight="1">
      <c r="A14" s="2842">
        <f t="shared" si="0"/>
        <v>0</v>
      </c>
      <c r="B14" s="2881">
        <v>7071</v>
      </c>
      <c r="C14" s="2079" t="str">
        <f t="shared" si="1"/>
        <v>支付的各项税费</v>
      </c>
      <c r="D14" s="2076"/>
      <c r="E14" s="2077">
        <f>VLOOKUP($B14,Sheet_Trialbal,6,0)</f>
        <v>42795.23</v>
      </c>
      <c r="F14" s="2078">
        <f>VLOOKUP($B14,Sheet_Trialbal,10,0)</f>
        <v>966124.53</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176928385.74000001</v>
      </c>
      <c r="F15" s="2078">
        <f>VLOOKUP($B15,Sheet_Trialbal,10,0)</f>
        <v>64284370.009999998</v>
      </c>
      <c r="G15" s="852">
        <v>99284370.010000005</v>
      </c>
      <c r="H15" s="852" t="s">
        <v>6942</v>
      </c>
      <c r="I15" s="1664"/>
      <c r="J15" s="1664"/>
    </row>
    <row r="16" spans="1:10" ht="19.5" customHeight="1">
      <c r="A16" s="2842" t="str">
        <f t="shared" si="0"/>
        <v>＝</v>
      </c>
      <c r="B16" s="2881">
        <v>7098</v>
      </c>
      <c r="C16" s="2075" t="str">
        <f t="shared" si="1"/>
        <v>经营活动现金流出小计</v>
      </c>
      <c r="D16" s="2076"/>
      <c r="E16" s="2077">
        <f>SUM(E12:E15)</f>
        <v>181422976.65000001</v>
      </c>
      <c r="F16" s="2078">
        <f>SUM(F12:F15)</f>
        <v>135685546</v>
      </c>
      <c r="G16" s="852"/>
      <c r="H16" s="852"/>
      <c r="I16" s="1664"/>
      <c r="J16" s="1664"/>
    </row>
    <row r="17" spans="1:10" ht="19.5" customHeight="1">
      <c r="A17" s="2842" t="str">
        <f t="shared" si="0"/>
        <v>＝</v>
      </c>
      <c r="B17" s="2881">
        <v>7099</v>
      </c>
      <c r="C17" s="2075" t="str">
        <f t="shared" si="1"/>
        <v>经营活动产生的现金流量净额</v>
      </c>
      <c r="D17" s="2076"/>
      <c r="E17" s="2077">
        <f>SUM(E11,-E16)</f>
        <v>-87391640.469999999</v>
      </c>
      <c r="F17" s="2078">
        <f>SUM(F11,-F16)</f>
        <v>77786868.519999996</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10000000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5521086.3499999996</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91600000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91600000</v>
      </c>
      <c r="F24" s="2078">
        <f>SUM(F19:F23)</f>
        <v>15521086.35</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0</v>
      </c>
      <c r="F25" s="2078">
        <f>VLOOKUP($B25,Sheet_Trialbal,10,0)</f>
        <v>0</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95600000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0</v>
      </c>
      <c r="F29" s="2078">
        <f>SUM(F25:F28)</f>
        <v>95600000</v>
      </c>
      <c r="G29" s="852"/>
      <c r="H29" s="852"/>
      <c r="I29" s="1664"/>
      <c r="J29" s="1664"/>
    </row>
    <row r="30" spans="1:10" ht="19.5" customHeight="1">
      <c r="A30" s="2842" t="str">
        <f t="shared" si="0"/>
        <v>＝</v>
      </c>
      <c r="B30" s="2881">
        <v>7199</v>
      </c>
      <c r="C30" s="2075" t="str">
        <f t="shared" si="1"/>
        <v>投资活动产生的现金流量净额</v>
      </c>
      <c r="D30" s="2076"/>
      <c r="E30" s="2077">
        <f>SUM(E24,-E29)</f>
        <v>91600000</v>
      </c>
      <c r="F30" s="2078">
        <f>SUM(F24,-F29)</f>
        <v>-80078913.650000006</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0</v>
      </c>
      <c r="F35" s="2078">
        <f>SUM(F32:F34)</f>
        <v>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0</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0</v>
      </c>
      <c r="F40" s="2078">
        <f>SUM(F35,-F39)</f>
        <v>0</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4208359.53</v>
      </c>
      <c r="F42" s="2078">
        <f>SUM(F17,F30,F40,F41)</f>
        <v>-2292045.13</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91308.84</v>
      </c>
      <c r="F43" s="2078">
        <f>VLOOKUP($B43,Sheet_Trialbal,10,0)</f>
        <v>2383353.9700000002</v>
      </c>
      <c r="G43" s="852"/>
      <c r="H43" s="852"/>
      <c r="I43" s="1664"/>
      <c r="J43" s="1664"/>
    </row>
    <row r="44" spans="1:16" ht="19.5" customHeight="1" thickBot="1">
      <c r="A44" s="2842" t="str">
        <f t="shared" si="0"/>
        <v>＝</v>
      </c>
      <c r="B44" s="2881">
        <v>7399</v>
      </c>
      <c r="C44" s="2081" t="str">
        <f t="shared" si="1"/>
        <v>六、期末现金及现金等价物余额</v>
      </c>
      <c r="D44" s="2082"/>
      <c r="E44" s="2083">
        <f>SUM(E42,E43)</f>
        <v>4299668.37</v>
      </c>
      <c r="F44" s="2084">
        <f>SUM(F42,F43)</f>
        <v>91308.84</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5822</v>
      </c>
      <c r="D48" s="1916"/>
      <c r="E48" s="1917"/>
      <c r="F48" s="1917"/>
      <c r="G48" s="1850"/>
      <c r="H48" s="1850"/>
      <c r="I48" s="1664"/>
      <c r="J48" s="1664"/>
      <c r="K48" s="1664"/>
      <c r="L48" s="1664"/>
      <c r="M48" s="1664"/>
      <c r="N48" s="1664"/>
      <c r="O48" s="1664"/>
      <c r="P48" s="1664"/>
    </row>
    <row r="49" spans="1:10" ht="18">
      <c r="A49" s="2863"/>
      <c r="B49" s="2883"/>
      <c r="C49" s="1918" t="s">
        <v>5823</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-2382740.34</v>
      </c>
      <c r="F51" s="1925">
        <f>VLOOKUP(6799,Sheet_Trialbal,10,0)</f>
        <v>2563577.15</v>
      </c>
      <c r="G51" s="1857"/>
      <c r="H51" s="1857"/>
      <c r="I51" s="1751"/>
      <c r="J51" s="1664"/>
    </row>
    <row r="52" spans="1:10" ht="18">
      <c r="A52" s="2884">
        <f t="shared" si="4"/>
        <v>0</v>
      </c>
      <c r="B52" s="2864">
        <v>7503</v>
      </c>
      <c r="C52" s="1926" t="str">
        <f>VLOOKUP($B52,Sheet_Items,6,0)</f>
        <v>加：资产减值准备</v>
      </c>
      <c r="D52" s="1923"/>
      <c r="E52" s="1924">
        <f t="shared" ref="E52:E67" si="5">VLOOKUP($B52,Sheet_Trialbal,6,0)</f>
        <v>0</v>
      </c>
      <c r="F52" s="1925">
        <f t="shared" ref="F52:F67" si="6">VLOOKUP($B52,Sheet_Trialbal,10,0)</f>
        <v>0</v>
      </c>
      <c r="G52" s="1857"/>
      <c r="H52" s="1857"/>
      <c r="I52" s="1751"/>
      <c r="J52" s="1664"/>
    </row>
    <row r="53" spans="1:10" ht="18">
      <c r="A53" s="2884" t="str">
        <f t="shared" si="4"/>
        <v>_JR</v>
      </c>
      <c r="B53" s="2864">
        <v>7504</v>
      </c>
      <c r="C53" s="1926" t="str">
        <f t="shared" ref="C53:C78" si="7">VLOOKUP($B53,Sheet_Items,6,0)</f>
        <v>信用减值损失</v>
      </c>
      <c r="D53" s="1923"/>
      <c r="E53" s="1924">
        <f t="shared" si="5"/>
        <v>0</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5521.44</v>
      </c>
      <c r="F54" s="1925">
        <f t="shared" si="6"/>
        <v>5521.44</v>
      </c>
      <c r="G54" s="1857"/>
      <c r="H54" s="3197"/>
      <c r="I54" s="1751"/>
      <c r="J54" s="1664"/>
    </row>
    <row r="55" spans="1:10" ht="18">
      <c r="A55" s="2884">
        <f t="shared" si="4"/>
        <v>0</v>
      </c>
      <c r="B55" s="2864">
        <v>7506</v>
      </c>
      <c r="C55" s="1926" t="str">
        <f t="shared" si="7"/>
        <v>无形资产摊销</v>
      </c>
      <c r="D55" s="1923"/>
      <c r="E55" s="1924">
        <f t="shared" si="5"/>
        <v>0</v>
      </c>
      <c r="F55" s="1925">
        <f t="shared" si="6"/>
        <v>0</v>
      </c>
      <c r="G55" s="1857"/>
      <c r="H55" s="1857"/>
      <c r="I55" s="1751"/>
      <c r="J55" s="1664"/>
    </row>
    <row r="56" spans="1:10" ht="18">
      <c r="A56" s="2884">
        <f t="shared" si="4"/>
        <v>0</v>
      </c>
      <c r="B56" s="2864">
        <v>7507</v>
      </c>
      <c r="C56" s="1926" t="str">
        <f t="shared" si="7"/>
        <v>长期待摊费用摊销</v>
      </c>
      <c r="D56" s="1923"/>
      <c r="E56" s="1924">
        <f t="shared" si="5"/>
        <v>0</v>
      </c>
      <c r="F56" s="1925">
        <f t="shared" si="6"/>
        <v>0</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8">
      <c r="A58" s="2884">
        <f t="shared" si="4"/>
        <v>0</v>
      </c>
      <c r="B58" s="2864">
        <v>7509</v>
      </c>
      <c r="C58" s="1926" t="str">
        <f t="shared" si="7"/>
        <v>固定资产报废损失（收益以“－”号填列）</v>
      </c>
      <c r="D58" s="1923"/>
      <c r="E58" s="1924">
        <f t="shared" si="5"/>
        <v>0</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1924">
        <f t="shared" si="5"/>
        <v>0</v>
      </c>
      <c r="F60" s="1925">
        <f t="shared" si="6"/>
        <v>0</v>
      </c>
      <c r="G60" s="1857"/>
      <c r="H60" s="1857"/>
      <c r="I60" s="1751"/>
      <c r="J60" s="1664"/>
    </row>
    <row r="61" spans="1:10" ht="18">
      <c r="A61" s="2884">
        <f t="shared" si="4"/>
        <v>0</v>
      </c>
      <c r="B61" s="2864">
        <v>7512</v>
      </c>
      <c r="C61" s="1926" t="str">
        <f t="shared" si="7"/>
        <v>投资损失（收益以“－”号填列）</v>
      </c>
      <c r="D61" s="1923"/>
      <c r="E61" s="1924">
        <f t="shared" si="5"/>
        <v>0</v>
      </c>
      <c r="F61" s="1925">
        <f t="shared" si="6"/>
        <v>-5521086.3499999996</v>
      </c>
      <c r="G61" s="1857"/>
      <c r="H61" s="1857"/>
      <c r="I61" s="1751"/>
      <c r="J61" s="1664"/>
    </row>
    <row r="62" spans="1:10" ht="18">
      <c r="A62" s="2884">
        <f t="shared" si="4"/>
        <v>0</v>
      </c>
      <c r="B62" s="2864">
        <v>7515</v>
      </c>
      <c r="C62" s="1926" t="str">
        <f t="shared" si="7"/>
        <v>递延所得税资产减少（增加以“－”号填列）</v>
      </c>
      <c r="D62" s="1923"/>
      <c r="E62" s="1924">
        <f t="shared" si="5"/>
        <v>0</v>
      </c>
      <c r="F62" s="1925">
        <f t="shared" si="6"/>
        <v>-937117.56</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17540765.449999999</v>
      </c>
      <c r="F64" s="1925">
        <f t="shared" si="6"/>
        <v>-17540765.449999999</v>
      </c>
      <c r="G64" s="1857"/>
      <c r="H64" s="1857"/>
      <c r="I64" s="1751"/>
      <c r="J64" s="1664"/>
    </row>
    <row r="65" spans="1:10" ht="18">
      <c r="A65" s="2884">
        <f t="shared" si="4"/>
        <v>0</v>
      </c>
      <c r="B65" s="2864">
        <v>7518</v>
      </c>
      <c r="C65" s="1926" t="str">
        <f t="shared" si="7"/>
        <v>经营性应收项目的减少（增加以“－”号填列）</v>
      </c>
      <c r="D65" s="1923"/>
      <c r="E65" s="1924">
        <f t="shared" si="5"/>
        <v>-68922970.75</v>
      </c>
      <c r="F65" s="1925">
        <f t="shared" si="6"/>
        <v>72371151.260000005</v>
      </c>
      <c r="G65" s="1857"/>
      <c r="H65" s="1857"/>
      <c r="I65" s="1751"/>
      <c r="J65" s="1664"/>
    </row>
    <row r="66" spans="1:10" ht="18">
      <c r="A66" s="2884">
        <f t="shared" si="4"/>
        <v>0</v>
      </c>
      <c r="B66" s="2864">
        <v>7519</v>
      </c>
      <c r="C66" s="1926" t="str">
        <f t="shared" si="7"/>
        <v>经营性应付项目的增加（减少以“－”号填列）</v>
      </c>
      <c r="D66" s="1923"/>
      <c r="E66" s="1924">
        <f t="shared" si="5"/>
        <v>-33632216.270000003</v>
      </c>
      <c r="F66" s="1925">
        <f t="shared" si="6"/>
        <v>26845588.030000001</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-87391640.469999999</v>
      </c>
      <c r="F68" s="1929">
        <f>SUM(F51:F67)</f>
        <v>77786868.519999996</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4299668.37</v>
      </c>
      <c r="F74" s="1925">
        <f>VLOOKUP($B74,Sheet_Trialbal,10,0)</f>
        <v>91308.84</v>
      </c>
      <c r="G74" s="1857"/>
      <c r="H74" s="1857"/>
      <c r="I74" s="1751"/>
      <c r="J74" s="1664"/>
    </row>
    <row r="75" spans="1:10" ht="18">
      <c r="A75" s="2884">
        <f t="shared" si="4"/>
        <v>0</v>
      </c>
      <c r="B75" s="2864">
        <v>7536</v>
      </c>
      <c r="C75" s="1926" t="str">
        <f t="shared" si="7"/>
        <v>减：现金的年初余额</v>
      </c>
      <c r="D75" s="1923"/>
      <c r="E75" s="1924">
        <f>VLOOKUP($B75,Sheet_Trialbal,6,0)</f>
        <v>91308.84</v>
      </c>
      <c r="F75" s="1925">
        <f>VLOOKUP($B75,Sheet_Trialbal,10,0)</f>
        <v>2383353.9700000002</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4208359.53</v>
      </c>
      <c r="F78" s="1933">
        <f>SUM(F74,-F75,F76,-F77)</f>
        <v>-2292045.13</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5824</v>
      </c>
      <c r="D80" s="1938"/>
      <c r="E80" s="1939"/>
      <c r="F80" s="1940"/>
      <c r="G80" s="1888"/>
      <c r="H80" s="1888"/>
      <c r="I80" s="1751"/>
      <c r="J80" s="1664"/>
    </row>
    <row r="81" spans="1:10" ht="18">
      <c r="A81" s="2884"/>
      <c r="B81" s="2864"/>
      <c r="C81" s="1941" t="s">
        <v>5825</v>
      </c>
      <c r="D81" s="1942"/>
      <c r="E81" s="1943" t="s">
        <v>2577</v>
      </c>
      <c r="F81" s="1944" t="s">
        <v>2578</v>
      </c>
      <c r="G81" s="1888"/>
      <c r="H81" s="1888"/>
      <c r="I81" s="1751"/>
      <c r="J81" s="1664"/>
    </row>
    <row r="82" spans="1:10" ht="18">
      <c r="A82" s="2884"/>
      <c r="B82" s="2864"/>
      <c r="C82" s="1945" t="s">
        <v>5826</v>
      </c>
      <c r="D82" s="1946"/>
      <c r="E82" s="1947"/>
      <c r="F82" s="1948"/>
      <c r="G82" s="1857"/>
      <c r="H82" s="1857"/>
      <c r="I82" s="1751"/>
      <c r="J82" s="1664"/>
    </row>
    <row r="83" spans="1:10" ht="18">
      <c r="A83" s="2884"/>
      <c r="B83" s="2864"/>
      <c r="C83" s="1949" t="str">
        <f>C43&amp;" | "&amp;E81</f>
        <v>加：期初现金及现金等价物余额 | 本期金额</v>
      </c>
      <c r="D83" s="1946" t="s">
        <v>5827</v>
      </c>
      <c r="E83" s="1950">
        <f>E43</f>
        <v>91308.84</v>
      </c>
      <c r="F83" s="1951"/>
      <c r="G83" s="1857"/>
      <c r="H83" s="1857"/>
      <c r="I83" s="1751"/>
      <c r="J83" s="1664"/>
    </row>
    <row r="84" spans="1:10" ht="18">
      <c r="A84" s="2884"/>
      <c r="B84" s="2864"/>
      <c r="C84" s="1949" t="str">
        <f>C44&amp;" | "&amp;F81</f>
        <v>六、期末现金及现金等价物余额 | 上期金额</v>
      </c>
      <c r="D84" s="1946" t="s">
        <v>5827</v>
      </c>
      <c r="E84" s="1950">
        <f>F44</f>
        <v>91308.84</v>
      </c>
      <c r="F84" s="1951"/>
      <c r="G84" s="1857"/>
      <c r="H84" s="1857"/>
      <c r="I84" s="1751"/>
      <c r="J84" s="1664"/>
    </row>
    <row r="85" spans="1:10" ht="18.75" thickBot="1">
      <c r="A85" s="2884"/>
      <c r="B85" s="2864"/>
      <c r="C85" s="1952" t="s">
        <v>5828</v>
      </c>
      <c r="D85" s="1946"/>
      <c r="E85" s="1953">
        <f>ROUND(E83-E84,2)</f>
        <v>0</v>
      </c>
      <c r="F85" s="1954"/>
      <c r="G85" s="1857"/>
      <c r="H85" s="1857"/>
      <c r="I85" s="1751"/>
      <c r="J85" s="1664"/>
    </row>
    <row r="86" spans="1:10" ht="18.75" thickTop="1">
      <c r="A86" s="2884"/>
      <c r="B86" s="2864"/>
      <c r="C86" s="1955" t="s">
        <v>5829</v>
      </c>
      <c r="D86" s="1946"/>
      <c r="E86" s="1956" t="str">
        <f>IF(E85=0,"√","×")</f>
        <v>√</v>
      </c>
      <c r="F86" s="1957"/>
      <c r="G86" s="1857"/>
      <c r="H86" s="1857"/>
      <c r="I86" s="1751"/>
      <c r="J86" s="1664"/>
    </row>
    <row r="87" spans="1:10" ht="18">
      <c r="A87" s="2884"/>
      <c r="B87" s="2864"/>
      <c r="C87" s="1958" t="s">
        <v>5830</v>
      </c>
      <c r="D87" s="1946"/>
      <c r="E87" s="1947"/>
      <c r="F87" s="1948"/>
      <c r="G87" s="1857"/>
      <c r="H87" s="1857"/>
      <c r="I87" s="1751"/>
      <c r="J87" s="1664"/>
    </row>
    <row r="88" spans="1:10" ht="18">
      <c r="A88" s="2884"/>
      <c r="B88" s="2864"/>
      <c r="C88" s="1959" t="str">
        <f>C51</f>
        <v>净利润</v>
      </c>
      <c r="D88" s="1946" t="s">
        <v>5827</v>
      </c>
      <c r="E88" s="1950">
        <f>E51</f>
        <v>-2382740.34</v>
      </c>
      <c r="F88" s="1951">
        <f>F51</f>
        <v>2563577.15</v>
      </c>
      <c r="G88" s="1857"/>
      <c r="H88" s="1857"/>
      <c r="I88" s="1751"/>
      <c r="J88" s="1664"/>
    </row>
    <row r="89" spans="1:10" ht="18">
      <c r="A89" s="2884"/>
      <c r="B89" s="2864">
        <v>6799</v>
      </c>
      <c r="C89" s="1949" t="str">
        <f>VLOOKUP($B89,Sheet_Items,2,0)</f>
        <v>净利润</v>
      </c>
      <c r="D89" s="1946" t="s">
        <v>5831</v>
      </c>
      <c r="E89" s="1950">
        <f>IS!E30</f>
        <v>-2382740.34</v>
      </c>
      <c r="F89" s="1951">
        <f>IS!F30</f>
        <v>2563577.15</v>
      </c>
      <c r="G89" s="1857"/>
      <c r="H89" s="1857"/>
      <c r="I89" s="1751"/>
      <c r="J89" s="1664"/>
    </row>
    <row r="90" spans="1:10" ht="18.75" thickBot="1">
      <c r="A90" s="2884"/>
      <c r="B90" s="2864"/>
      <c r="C90" s="1952" t="s">
        <v>5828</v>
      </c>
      <c r="D90" s="1946"/>
      <c r="E90" s="1953">
        <f>ROUND(E88-E89,2)</f>
        <v>0</v>
      </c>
      <c r="F90" s="1954">
        <f>ROUND(F88-F89,2)</f>
        <v>0</v>
      </c>
      <c r="G90" s="1857"/>
      <c r="H90" s="1857"/>
      <c r="I90" s="1751"/>
      <c r="J90" s="1664"/>
    </row>
    <row r="91" spans="1:10" ht="18.75" thickTop="1">
      <c r="A91" s="2884"/>
      <c r="B91" s="2864"/>
      <c r="C91" s="1955" t="s">
        <v>5829</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5827</v>
      </c>
      <c r="E93" s="1950">
        <f>E68</f>
        <v>-87391640.469999999</v>
      </c>
      <c r="F93" s="1951">
        <f>F68</f>
        <v>77786868.519999996</v>
      </c>
      <c r="G93" s="1857"/>
      <c r="H93" s="1857"/>
      <c r="I93" s="1751"/>
      <c r="J93" s="1664"/>
    </row>
    <row r="94" spans="1:10" ht="18">
      <c r="A94" s="2884"/>
      <c r="B94" s="2864">
        <v>7099</v>
      </c>
      <c r="C94" s="1949" t="str">
        <f>C17&amp;"（主表）"</f>
        <v>经营活动产生的现金流量净额（主表）</v>
      </c>
      <c r="D94" s="1946" t="s">
        <v>5827</v>
      </c>
      <c r="E94" s="1950">
        <f>E17</f>
        <v>-87391640.469999999</v>
      </c>
      <c r="F94" s="1951">
        <f>F17</f>
        <v>77786868.519999996</v>
      </c>
      <c r="G94" s="1857"/>
      <c r="H94" s="1857"/>
      <c r="I94" s="1751"/>
      <c r="J94" s="1664"/>
    </row>
    <row r="95" spans="1:10" ht="18.75" thickBot="1">
      <c r="A95" s="2884"/>
      <c r="B95" s="2864"/>
      <c r="C95" s="1952" t="s">
        <v>5828</v>
      </c>
      <c r="D95" s="1946"/>
      <c r="E95" s="1953">
        <f>ROUND(E93-E94,2)</f>
        <v>0</v>
      </c>
      <c r="F95" s="1954">
        <f>ROUND(F93-F94,2)</f>
        <v>0</v>
      </c>
      <c r="G95" s="1857"/>
      <c r="H95" s="1857"/>
      <c r="I95" s="1751"/>
      <c r="J95" s="1664"/>
    </row>
    <row r="96" spans="1:10" ht="18.75" thickTop="1">
      <c r="A96" s="2884"/>
      <c r="B96" s="2864"/>
      <c r="C96" s="1955" t="s">
        <v>5829</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5827</v>
      </c>
      <c r="E97" s="1950">
        <f>SUM(E74,E76)</f>
        <v>4299668.37</v>
      </c>
      <c r="F97" s="1951">
        <f>SUM(F74,F76)</f>
        <v>91308.84</v>
      </c>
      <c r="G97" s="1857"/>
      <c r="H97" s="1857"/>
      <c r="I97" s="1751"/>
      <c r="J97" s="1664"/>
    </row>
    <row r="98" spans="1:10" ht="18">
      <c r="A98" s="2884"/>
      <c r="B98" s="2864">
        <v>7399</v>
      </c>
      <c r="C98" s="1949" t="str">
        <f>C44&amp;"（主表）"</f>
        <v>六、期末现金及现金等价物余额（主表）</v>
      </c>
      <c r="D98" s="1946" t="s">
        <v>5827</v>
      </c>
      <c r="E98" s="1950">
        <f>E44</f>
        <v>4299668.37</v>
      </c>
      <c r="F98" s="1951">
        <f>F44</f>
        <v>91308.84</v>
      </c>
      <c r="G98" s="1857"/>
      <c r="H98" s="1857"/>
      <c r="I98" s="1751"/>
      <c r="J98" s="1664"/>
    </row>
    <row r="99" spans="1:10" ht="18.75" thickBot="1">
      <c r="A99" s="2884"/>
      <c r="B99" s="2864"/>
      <c r="C99" s="1952" t="s">
        <v>5828</v>
      </c>
      <c r="D99" s="1946"/>
      <c r="E99" s="1953">
        <f>ROUND(E97-E98,2)</f>
        <v>0</v>
      </c>
      <c r="F99" s="1954">
        <f>ROUND(F97-F98,2)</f>
        <v>0</v>
      </c>
      <c r="G99" s="1857"/>
      <c r="H99" s="1857"/>
      <c r="I99" s="1751"/>
      <c r="J99" s="1664"/>
    </row>
    <row r="100" spans="1:10" ht="18.75" thickTop="1">
      <c r="A100" s="2884"/>
      <c r="B100" s="2864"/>
      <c r="C100" s="1955" t="s">
        <v>5829</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5827</v>
      </c>
      <c r="E101" s="1950">
        <f>SUM(E75,E77)</f>
        <v>91308.84</v>
      </c>
      <c r="F101" s="1951">
        <f>SUM(F75,F77)</f>
        <v>2383353.9700000002</v>
      </c>
      <c r="G101" s="1857"/>
      <c r="H101" s="1857"/>
      <c r="I101" s="1751"/>
      <c r="J101" s="1664"/>
    </row>
    <row r="102" spans="1:10" ht="18">
      <c r="A102" s="2884"/>
      <c r="B102" s="2864">
        <v>7349</v>
      </c>
      <c r="C102" s="1949" t="str">
        <f>C43&amp;"（主表）"</f>
        <v>加：期初现金及现金等价物余额（主表）</v>
      </c>
      <c r="D102" s="1946" t="s">
        <v>5827</v>
      </c>
      <c r="E102" s="1950">
        <f>E43</f>
        <v>91308.84</v>
      </c>
      <c r="F102" s="1951">
        <f>F43</f>
        <v>2383353.9700000002</v>
      </c>
      <c r="G102" s="1857"/>
      <c r="H102" s="1857"/>
      <c r="I102" s="1751"/>
      <c r="J102" s="1664"/>
    </row>
    <row r="103" spans="1:10" ht="18.75" thickBot="1">
      <c r="A103" s="2884"/>
      <c r="B103" s="2864"/>
      <c r="C103" s="1952" t="s">
        <v>5828</v>
      </c>
      <c r="D103" s="1946"/>
      <c r="E103" s="1953">
        <f>ROUND(E101-E102,2)</f>
        <v>0</v>
      </c>
      <c r="F103" s="1954">
        <f>ROUND(F101-F102,2)</f>
        <v>0</v>
      </c>
      <c r="G103" s="1857"/>
      <c r="H103" s="1857"/>
      <c r="I103" s="1751"/>
      <c r="J103" s="1664"/>
    </row>
    <row r="104" spans="1:10" ht="18.75" thickTop="1">
      <c r="A104" s="2884"/>
      <c r="B104" s="2864"/>
      <c r="C104" s="1955" t="s">
        <v>5829</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5827</v>
      </c>
      <c r="E105" s="1950">
        <f>E78</f>
        <v>4208359.53</v>
      </c>
      <c r="F105" s="1951">
        <f>F78</f>
        <v>-2292045.13</v>
      </c>
      <c r="G105" s="1857"/>
      <c r="H105" s="1857"/>
      <c r="I105" s="1751"/>
      <c r="J105" s="1664"/>
    </row>
    <row r="106" spans="1:10" ht="18">
      <c r="A106" s="2884"/>
      <c r="B106" s="2864">
        <v>7348</v>
      </c>
      <c r="C106" s="1949" t="str">
        <f>C42&amp;"（主表）"</f>
        <v>五、现金及现金等价物净增加额（主表）</v>
      </c>
      <c r="D106" s="1946" t="s">
        <v>5827</v>
      </c>
      <c r="E106" s="1950">
        <f>E42</f>
        <v>4208359.53</v>
      </c>
      <c r="F106" s="1951">
        <f>F42</f>
        <v>-2292045.13</v>
      </c>
      <c r="G106" s="1857"/>
      <c r="H106" s="1857"/>
      <c r="I106" s="1751"/>
      <c r="J106" s="1664"/>
    </row>
    <row r="107" spans="1:10" ht="18.75" thickBot="1">
      <c r="A107" s="2884"/>
      <c r="B107" s="2864"/>
      <c r="C107" s="1952" t="s">
        <v>5828</v>
      </c>
      <c r="D107" s="1946"/>
      <c r="E107" s="1953">
        <f>ROUND(E105-E106,2)</f>
        <v>0</v>
      </c>
      <c r="F107" s="1954">
        <f>ROUND(F105-F106,2)</f>
        <v>0</v>
      </c>
      <c r="G107" s="1857"/>
      <c r="H107" s="1857"/>
      <c r="I107" s="1751"/>
      <c r="J107" s="1664"/>
    </row>
    <row r="108" spans="1:10" ht="18.75" thickTop="1">
      <c r="A108" s="2884"/>
      <c r="B108" s="2864"/>
      <c r="C108" s="1955" t="s">
        <v>5829</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89" priority="16" stopIfTrue="1" operator="notEqual">
      <formula>0</formula>
    </cfRule>
  </conditionalFormatting>
  <conditionalFormatting sqref="C80:D80 D81">
    <cfRule type="expression" dxfId="88" priority="15" stopIfTrue="1">
      <formula>#REF!=TRUE</formula>
    </cfRule>
  </conditionalFormatting>
  <conditionalFormatting sqref="E109:F109 E95:F95 E90:F90 E99:F99 E103:F103 E107:F107 E85:F85">
    <cfRule type="cellIs" dxfId="87" priority="14" stopIfTrue="1" operator="notEqual">
      <formula>0</formula>
    </cfRule>
  </conditionalFormatting>
  <conditionalFormatting sqref="C80:D80 D81">
    <cfRule type="expression" dxfId="86" priority="13" stopIfTrue="1">
      <formula>#REF!=TRUE</formula>
    </cfRule>
  </conditionalFormatting>
  <conditionalFormatting sqref="E109:F109 E95:F95 E90:F90 E99:F99 E103:F103 E107:F107 E85:F85">
    <cfRule type="cellIs" dxfId="85" priority="12" stopIfTrue="1" operator="notEqual">
      <formula>0</formula>
    </cfRule>
  </conditionalFormatting>
  <conditionalFormatting sqref="C80:D80 D81">
    <cfRule type="expression" dxfId="84" priority="11" stopIfTrue="1">
      <formula>#REF!=TRUE</formula>
    </cfRule>
  </conditionalFormatting>
  <conditionalFormatting sqref="E109:F109 E95:F95 E90:F90 E99:F99 E103:F103 E107:F107 E85:F85">
    <cfRule type="cellIs" dxfId="83" priority="10" stopIfTrue="1" operator="notEqual">
      <formula>0</formula>
    </cfRule>
  </conditionalFormatting>
  <conditionalFormatting sqref="C80:D80 D81">
    <cfRule type="expression" dxfId="82" priority="9" stopIfTrue="1">
      <formula>#REF!=TRUE</formula>
    </cfRule>
  </conditionalFormatting>
  <conditionalFormatting sqref="E109:F109 E95:F95 E90:F90 E99:F99 E103:F103 E107:F107 E85:F85">
    <cfRule type="cellIs" dxfId="81" priority="8" stopIfTrue="1" operator="notEqual">
      <formula>0</formula>
    </cfRule>
  </conditionalFormatting>
  <conditionalFormatting sqref="C80:D80 D81">
    <cfRule type="expression" dxfId="80" priority="7" stopIfTrue="1">
      <formula>#REF!=TRUE</formula>
    </cfRule>
  </conditionalFormatting>
  <conditionalFormatting sqref="E109:F109 E95:F95 E90:F90 E99:F99 E103:F103 E107:F107 E85:F85">
    <cfRule type="cellIs" dxfId="79" priority="6" stopIfTrue="1" operator="notEqual">
      <formula>0</formula>
    </cfRule>
  </conditionalFormatting>
  <conditionalFormatting sqref="C80:D80 D81">
    <cfRule type="expression" dxfId="78" priority="5" stopIfTrue="1">
      <formula>#REF!=TRUE</formula>
    </cfRule>
  </conditionalFormatting>
  <conditionalFormatting sqref="E109:F109 E95:F95 E90:F90 E99:F99 E103:F103 E107:F107 E85:F85">
    <cfRule type="cellIs" dxfId="77" priority="4" stopIfTrue="1" operator="notEqual">
      <formula>0</formula>
    </cfRule>
  </conditionalFormatting>
  <conditionalFormatting sqref="C80:D80 D81">
    <cfRule type="expression" dxfId="76" priority="3" stopIfTrue="1">
      <formula>#REF!=TRUE</formula>
    </cfRule>
  </conditionalFormatting>
  <conditionalFormatting sqref="E109:F109 E95:F95 E90:F90 E99:F99 E103:F103 E107:F107 E85:F85">
    <cfRule type="cellIs" dxfId="75" priority="2" stopIfTrue="1" operator="notEqual">
      <formula>0</formula>
    </cfRule>
  </conditionalFormatting>
  <conditionalFormatting sqref="C80:D80 D81">
    <cfRule type="expression" dxfId="74"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10" workbookViewId="0">
      <selection activeCell="H52" sqref="H52"/>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5832</v>
      </c>
      <c r="E2" s="1800" t="s">
        <v>2593</v>
      </c>
      <c r="F2" s="1800" t="s">
        <v>2594</v>
      </c>
      <c r="G2" s="1800" t="s">
        <v>2595</v>
      </c>
      <c r="H2" s="1800" t="s">
        <v>5833</v>
      </c>
      <c r="I2" s="1800" t="s">
        <v>5834</v>
      </c>
      <c r="J2" s="1800" t="s">
        <v>2598</v>
      </c>
      <c r="K2" s="1800" t="s">
        <v>5835</v>
      </c>
      <c r="L2" s="1800" t="s">
        <v>5836</v>
      </c>
      <c r="M2" s="1800" t="s">
        <v>5788</v>
      </c>
      <c r="N2" s="1800" t="s">
        <v>5837</v>
      </c>
      <c r="O2" s="1800" t="s">
        <v>5838</v>
      </c>
      <c r="P2" s="1800" t="s">
        <v>5839</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5792</v>
      </c>
      <c r="C3" s="2085" t="s">
        <v>5761</v>
      </c>
      <c r="D3" s="2085"/>
      <c r="E3" s="2085"/>
      <c r="F3" s="2085"/>
      <c r="G3" s="2085"/>
      <c r="H3" s="2085" t="s">
        <v>5848</v>
      </c>
      <c r="I3" s="2085"/>
      <c r="J3" s="2085"/>
      <c r="K3" s="2085"/>
      <c r="L3" s="2085"/>
      <c r="M3" s="2085"/>
      <c r="N3" s="2085"/>
      <c r="O3" s="2085"/>
      <c r="P3" s="2085"/>
      <c r="Q3" s="2086"/>
      <c r="R3" s="2085"/>
      <c r="S3" s="2085"/>
      <c r="T3" s="2116" t="s">
        <v>5849</v>
      </c>
      <c r="V3" s="2085"/>
      <c r="W3" s="2085"/>
      <c r="X3" s="2085"/>
      <c r="Y3" s="2085"/>
      <c r="Z3" s="2085"/>
      <c r="AA3" s="2085"/>
      <c r="AB3" s="2085"/>
      <c r="AC3" s="2085"/>
      <c r="AD3" s="1803"/>
      <c r="AE3" s="1803"/>
      <c r="AF3" s="1803"/>
      <c r="AG3" s="1803"/>
    </row>
    <row r="4" spans="1:33" ht="18.75" customHeight="1">
      <c r="A4" s="1796"/>
      <c r="B4" s="1796"/>
      <c r="C4" s="2087" t="s">
        <v>5761</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编制单位：北京天马金信供应链管理有限公司</v>
      </c>
      <c r="D5" s="2091"/>
      <c r="E5" s="2092"/>
      <c r="F5" s="2092"/>
      <c r="G5" s="2092"/>
      <c r="H5" s="2092"/>
      <c r="I5" s="2092"/>
      <c r="J5" s="2092"/>
      <c r="K5" s="2092"/>
      <c r="L5" s="2093" t="s">
        <v>5793</v>
      </c>
      <c r="M5" s="2093"/>
      <c r="N5" s="2092"/>
      <c r="O5" s="2092"/>
      <c r="P5" s="2092"/>
      <c r="Q5" s="2091"/>
      <c r="R5" s="2092"/>
      <c r="S5" s="2092"/>
      <c r="T5" s="2092"/>
      <c r="U5" s="2092"/>
      <c r="V5" s="2092"/>
      <c r="W5" s="2092"/>
      <c r="X5" s="2092"/>
      <c r="Y5" s="2093" t="s">
        <v>5793</v>
      </c>
      <c r="Z5" s="2093"/>
      <c r="AA5" s="2092"/>
      <c r="AB5" s="2092"/>
      <c r="AC5" s="2092"/>
      <c r="AD5" s="849"/>
      <c r="AE5" s="849"/>
      <c r="AF5" s="849"/>
      <c r="AG5" s="849"/>
    </row>
    <row r="6" spans="1:33" ht="18.75" customHeight="1">
      <c r="A6" s="2835"/>
      <c r="B6" s="2835"/>
      <c r="C6" s="2896" t="s">
        <v>5761</v>
      </c>
      <c r="D6" s="3389" t="str">
        <f>Lead!$F$7</f>
        <v>2019年度</v>
      </c>
      <c r="E6" s="3389"/>
      <c r="F6" s="3389"/>
      <c r="G6" s="3389"/>
      <c r="H6" s="3389"/>
      <c r="I6" s="3389"/>
      <c r="J6" s="3389"/>
      <c r="K6" s="3389"/>
      <c r="L6" s="3389"/>
      <c r="M6" s="3389"/>
      <c r="N6" s="3389"/>
      <c r="O6" s="3389"/>
      <c r="P6" s="3390"/>
      <c r="Q6" s="3391" t="str">
        <f>Lead!$F$8</f>
        <v>2018年度</v>
      </c>
      <c r="R6" s="3389"/>
      <c r="S6" s="3389"/>
      <c r="T6" s="3389"/>
      <c r="U6" s="3389"/>
      <c r="V6" s="3389"/>
      <c r="W6" s="3389"/>
      <c r="X6" s="3389"/>
      <c r="Y6" s="3389"/>
      <c r="Z6" s="3389"/>
      <c r="AA6" s="3389"/>
      <c r="AB6" s="3389"/>
      <c r="AC6" s="3390"/>
      <c r="AD6" s="1803"/>
      <c r="AE6" s="1803"/>
      <c r="AF6" s="1803"/>
      <c r="AG6" s="1803"/>
    </row>
    <row r="7" spans="1:33" ht="18" customHeight="1">
      <c r="A7" s="2835" t="s">
        <v>2556</v>
      </c>
      <c r="B7" s="2835" t="s">
        <v>2558</v>
      </c>
      <c r="C7" s="2897" t="s">
        <v>5134</v>
      </c>
      <c r="D7" s="3392" t="s">
        <v>5851</v>
      </c>
      <c r="E7" s="3393" t="s">
        <v>5795</v>
      </c>
      <c r="F7" s="3393"/>
      <c r="G7" s="3393"/>
      <c r="H7" s="3388" t="s">
        <v>592</v>
      </c>
      <c r="I7" s="3388" t="s">
        <v>682</v>
      </c>
      <c r="J7" s="3388" t="s">
        <v>5796</v>
      </c>
      <c r="K7" s="3388" t="s">
        <v>627</v>
      </c>
      <c r="L7" s="3388" t="s">
        <v>602</v>
      </c>
      <c r="M7" s="3386" t="s">
        <v>5873</v>
      </c>
      <c r="N7" s="3388" t="s">
        <v>611</v>
      </c>
      <c r="O7" s="3388" t="s">
        <v>932</v>
      </c>
      <c r="P7" s="3394" t="s">
        <v>2614</v>
      </c>
      <c r="Q7" s="3395" t="s">
        <v>5851</v>
      </c>
      <c r="R7" s="3393" t="s">
        <v>5795</v>
      </c>
      <c r="S7" s="3393"/>
      <c r="T7" s="3393"/>
      <c r="U7" s="3388" t="s">
        <v>592</v>
      </c>
      <c r="V7" s="3388" t="s">
        <v>682</v>
      </c>
      <c r="W7" s="3388" t="s">
        <v>5796</v>
      </c>
      <c r="X7" s="3388" t="s">
        <v>627</v>
      </c>
      <c r="Y7" s="3388" t="s">
        <v>602</v>
      </c>
      <c r="Z7" s="3386" t="s">
        <v>5873</v>
      </c>
      <c r="AA7" s="3388" t="s">
        <v>611</v>
      </c>
      <c r="AB7" s="3388" t="s">
        <v>932</v>
      </c>
      <c r="AC7" s="3394" t="s">
        <v>5850</v>
      </c>
      <c r="AD7" s="1806"/>
      <c r="AE7" s="1803"/>
      <c r="AF7" s="1803"/>
      <c r="AG7" s="1803"/>
    </row>
    <row r="8" spans="1:33" ht="18" customHeight="1">
      <c r="A8" s="2835"/>
      <c r="B8" s="2835"/>
      <c r="C8" s="2111" t="s">
        <v>5761</v>
      </c>
      <c r="D8" s="3392"/>
      <c r="E8" s="2094" t="s">
        <v>2662</v>
      </c>
      <c r="F8" s="2094" t="s">
        <v>2663</v>
      </c>
      <c r="G8" s="2094" t="s">
        <v>932</v>
      </c>
      <c r="H8" s="3388"/>
      <c r="I8" s="3388"/>
      <c r="J8" s="3388"/>
      <c r="K8" s="3388"/>
      <c r="L8" s="3388"/>
      <c r="M8" s="3387"/>
      <c r="N8" s="3388"/>
      <c r="O8" s="3388"/>
      <c r="P8" s="3394"/>
      <c r="Q8" s="3395"/>
      <c r="R8" s="2094" t="s">
        <v>2662</v>
      </c>
      <c r="S8" s="2094" t="s">
        <v>2663</v>
      </c>
      <c r="T8" s="2094" t="s">
        <v>932</v>
      </c>
      <c r="U8" s="3388"/>
      <c r="V8" s="3388"/>
      <c r="W8" s="3388"/>
      <c r="X8" s="3388"/>
      <c r="Y8" s="3388"/>
      <c r="Z8" s="3387"/>
      <c r="AA8" s="3388"/>
      <c r="AB8" s="3388"/>
      <c r="AC8" s="3394"/>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100000000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418369.59</v>
      </c>
      <c r="M9" s="2096">
        <f t="shared" si="3"/>
        <v>0</v>
      </c>
      <c r="N9" s="2096">
        <f t="shared" si="3"/>
        <v>3765326.31</v>
      </c>
      <c r="O9" s="2096">
        <f t="shared" si="3"/>
        <v>0</v>
      </c>
      <c r="P9" s="2114">
        <f t="shared" ref="P9:P35" si="4">SUM(D9:H9,-I9,J9:O9)</f>
        <v>104183695.90000001</v>
      </c>
      <c r="Q9" s="2112">
        <f>IF(ISERROR(VLOOKUP(VALUE(Q$2&amp;$B9),Sheet_Trialbal,10,0)),0,VLOOKUP(VALUE(Q$2&amp;$B9),Sheet_Trialbal,10,0))</f>
        <v>100000000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162011.87</v>
      </c>
      <c r="Z9" s="2097"/>
      <c r="AA9" s="2097">
        <f t="shared" si="7"/>
        <v>1458106.88</v>
      </c>
      <c r="AB9" s="2097">
        <f t="shared" si="7"/>
        <v>0</v>
      </c>
      <c r="AC9" s="2098">
        <f t="shared" ref="AC9:AC35" ca="1" si="8">SUM(Q9:U9,-V9,W9:AB9)</f>
        <v>101620118.75</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100000000</v>
      </c>
      <c r="E13" s="2096">
        <f t="shared" si="9"/>
        <v>0</v>
      </c>
      <c r="F13" s="2096">
        <f t="shared" si="9"/>
        <v>0</v>
      </c>
      <c r="G13" s="2096">
        <f t="shared" si="9"/>
        <v>0</v>
      </c>
      <c r="H13" s="2096">
        <f t="shared" si="9"/>
        <v>0</v>
      </c>
      <c r="I13" s="2096">
        <f t="shared" si="9"/>
        <v>0</v>
      </c>
      <c r="J13" s="2096">
        <f t="shared" si="9"/>
        <v>0</v>
      </c>
      <c r="K13" s="2096">
        <f t="shared" si="9"/>
        <v>0</v>
      </c>
      <c r="L13" s="2096">
        <f t="shared" si="9"/>
        <v>418369.59</v>
      </c>
      <c r="M13" s="2096">
        <f t="shared" ref="M13" si="10">SUM(M9:M12)</f>
        <v>0</v>
      </c>
      <c r="N13" s="2096">
        <f t="shared" si="9"/>
        <v>3765326.31</v>
      </c>
      <c r="O13" s="2096">
        <f t="shared" si="9"/>
        <v>0</v>
      </c>
      <c r="P13" s="2114">
        <f t="shared" si="4"/>
        <v>104183695.90000001</v>
      </c>
      <c r="Q13" s="2112">
        <f t="shared" ref="Q13:AB13" si="11">SUM(Q9:Q12)</f>
        <v>100000000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162011.87</v>
      </c>
      <c r="Z13" s="2097"/>
      <c r="AA13" s="2097">
        <f t="shared" si="11"/>
        <v>1458106.88</v>
      </c>
      <c r="AB13" s="2097">
        <f t="shared" si="11"/>
        <v>0</v>
      </c>
      <c r="AC13" s="2098">
        <f t="shared" ca="1" si="8"/>
        <v>101620118.75</v>
      </c>
      <c r="AD13" s="1803"/>
      <c r="AE13" s="1803"/>
      <c r="AF13" s="1803"/>
      <c r="AG13" s="1803"/>
    </row>
    <row r="14" spans="1:33" ht="18">
      <c r="A14" s="2836" t="s">
        <v>287</v>
      </c>
      <c r="B14" s="2837" t="s">
        <v>2621</v>
      </c>
      <c r="C14" s="2095" t="str">
        <f t="shared" si="0"/>
        <v>三、本年增减变动金额（减少以“－”号填列）</v>
      </c>
      <c r="D14" s="2096">
        <f t="shared" ref="D14:O14" si="12">SUM(D15,D16,D21,D25,D32,D35)</f>
        <v>0</v>
      </c>
      <c r="E14" s="2096">
        <f t="shared" si="12"/>
        <v>0</v>
      </c>
      <c r="F14" s="2096">
        <f t="shared" si="12"/>
        <v>0</v>
      </c>
      <c r="G14" s="2096">
        <f t="shared" si="12"/>
        <v>0</v>
      </c>
      <c r="H14" s="2096">
        <f t="shared" si="12"/>
        <v>0</v>
      </c>
      <c r="I14" s="2096">
        <f t="shared" si="12"/>
        <v>0</v>
      </c>
      <c r="J14" s="2096">
        <f t="shared" si="12"/>
        <v>0</v>
      </c>
      <c r="K14" s="2096">
        <f t="shared" si="12"/>
        <v>0</v>
      </c>
      <c r="L14" s="2096">
        <f t="shared" si="12"/>
        <v>0</v>
      </c>
      <c r="M14" s="2096">
        <f t="shared" ref="M14" si="13">SUM(M15,M16,M21,M25,M32,M35)</f>
        <v>0</v>
      </c>
      <c r="N14" s="2096">
        <f t="shared" si="12"/>
        <v>-2382740.34</v>
      </c>
      <c r="O14" s="2096">
        <f t="shared" si="12"/>
        <v>0</v>
      </c>
      <c r="P14" s="2114">
        <f t="shared" si="4"/>
        <v>-2382740.34</v>
      </c>
      <c r="Q14" s="2112">
        <f t="shared" ref="Q14:AB14" si="14">SUM(Q15,Q16,Q21,Q25,Q32,Q35)</f>
        <v>0</v>
      </c>
      <c r="R14" s="2097">
        <f t="shared" ca="1" si="14"/>
        <v>0</v>
      </c>
      <c r="S14" s="2097">
        <f t="shared" ca="1" si="14"/>
        <v>0</v>
      </c>
      <c r="T14" s="2097">
        <f t="shared" ca="1" si="14"/>
        <v>0</v>
      </c>
      <c r="U14" s="2097">
        <f t="shared" si="14"/>
        <v>0</v>
      </c>
      <c r="V14" s="2097">
        <f t="shared" si="14"/>
        <v>0</v>
      </c>
      <c r="W14" s="2097">
        <f t="shared" ca="1" si="14"/>
        <v>0</v>
      </c>
      <c r="X14" s="2097">
        <f t="shared" si="14"/>
        <v>0</v>
      </c>
      <c r="Y14" s="2097">
        <f t="shared" si="14"/>
        <v>256357.72</v>
      </c>
      <c r="Z14" s="2097"/>
      <c r="AA14" s="2097">
        <f t="shared" si="14"/>
        <v>2307219.4300000002</v>
      </c>
      <c r="AB14" s="2097">
        <f t="shared" si="14"/>
        <v>0</v>
      </c>
      <c r="AC14" s="2098">
        <f t="shared" ca="1" si="8"/>
        <v>2563577.15</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-2382740.34</v>
      </c>
      <c r="O15" s="2096">
        <f>IF(ISERROR(VLOOKUP(VALUE(O$2&amp;$B15),Sheet_Trialbal,6,0)),0,VLOOKUP(VALUE(O$2&amp;$B15),Sheet_Trialbal,6,0))</f>
        <v>0</v>
      </c>
      <c r="P15" s="2114">
        <f t="shared" si="4"/>
        <v>-2382740.34</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2563577.15</v>
      </c>
      <c r="AB15" s="2097">
        <f>IF(ISERROR(VLOOKUP(VALUE(AB$2&amp;$B15),Sheet_Trialbal,10,0)),0,VLOOKUP(VALUE(AB$2&amp;$B15),Sheet_Trialbal,10,0))</f>
        <v>0</v>
      </c>
      <c r="AC15" s="2098">
        <f t="shared" ca="1" si="8"/>
        <v>2563577.15</v>
      </c>
      <c r="AD15" s="1803"/>
      <c r="AE15" s="1803"/>
      <c r="AF15" s="1803"/>
      <c r="AG15" s="1803"/>
    </row>
    <row r="16" spans="1:33" ht="21.95" customHeight="1">
      <c r="A16" s="2836" t="s">
        <v>287</v>
      </c>
      <c r="B16" s="2837" t="s">
        <v>2625</v>
      </c>
      <c r="C16" s="2100" t="str">
        <f>VLOOKUP(VALUE($P$2&amp;$B16),Sheet_Items,6,0)</f>
        <v>（二）所有者投入和减少资本</v>
      </c>
      <c r="D16" s="2096">
        <f t="shared" ref="D16:O16" si="15">SUM(D17:D20)</f>
        <v>0</v>
      </c>
      <c r="E16" s="2096">
        <f t="shared" si="15"/>
        <v>0</v>
      </c>
      <c r="F16" s="2096">
        <f t="shared" si="15"/>
        <v>0</v>
      </c>
      <c r="G16" s="2096">
        <f t="shared" si="15"/>
        <v>0</v>
      </c>
      <c r="H16" s="2096">
        <f t="shared" si="15"/>
        <v>0</v>
      </c>
      <c r="I16" s="2096">
        <f t="shared" si="15"/>
        <v>0</v>
      </c>
      <c r="J16" s="2096">
        <f t="shared" si="15"/>
        <v>0</v>
      </c>
      <c r="K16" s="2096">
        <f t="shared" si="15"/>
        <v>0</v>
      </c>
      <c r="L16" s="2096">
        <f t="shared" si="15"/>
        <v>0</v>
      </c>
      <c r="M16" s="2096">
        <f t="shared" ref="M16" si="16">SUM(M17:M20)</f>
        <v>0</v>
      </c>
      <c r="N16" s="2096">
        <f t="shared" si="15"/>
        <v>0</v>
      </c>
      <c r="O16" s="2096">
        <f t="shared" si="15"/>
        <v>0</v>
      </c>
      <c r="P16" s="2114">
        <f t="shared" si="4"/>
        <v>0</v>
      </c>
      <c r="Q16" s="2112">
        <f t="shared" ref="Q16:AB16" si="17">SUM(Q17:Q20)</f>
        <v>0</v>
      </c>
      <c r="R16" s="2097">
        <f t="shared" ca="1" si="17"/>
        <v>0</v>
      </c>
      <c r="S16" s="2097">
        <f t="shared" ca="1" si="17"/>
        <v>0</v>
      </c>
      <c r="T16" s="2097">
        <f t="shared" ca="1" si="17"/>
        <v>0</v>
      </c>
      <c r="U16" s="2097">
        <f t="shared" si="17"/>
        <v>0</v>
      </c>
      <c r="V16" s="2097">
        <f t="shared" si="17"/>
        <v>0</v>
      </c>
      <c r="W16" s="2097">
        <f t="shared" ca="1" si="17"/>
        <v>0</v>
      </c>
      <c r="X16" s="2097">
        <f t="shared" si="17"/>
        <v>0</v>
      </c>
      <c r="Y16" s="2097">
        <f t="shared" si="17"/>
        <v>0</v>
      </c>
      <c r="Z16" s="2097">
        <f t="shared" ref="Z16" si="18">SUM(Z17:Z20)</f>
        <v>0</v>
      </c>
      <c r="AA16" s="2097">
        <f t="shared" si="17"/>
        <v>0</v>
      </c>
      <c r="AB16" s="2097">
        <f t="shared" si="17"/>
        <v>0</v>
      </c>
      <c r="AC16" s="2098">
        <f t="shared" ca="1" si="8"/>
        <v>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19">IF(ISERROR(VLOOKUP(E$2&amp;$B17,Sheet_Trialbal,6,0)),0,VLOOKUP(E$2&amp;$B17,Sheet_Trialbal,6,0))</f>
        <v>0</v>
      </c>
      <c r="F17" s="2096">
        <f t="shared" si="19"/>
        <v>0</v>
      </c>
      <c r="G17" s="2096">
        <f t="shared" si="19"/>
        <v>0</v>
      </c>
      <c r="H17" s="2096">
        <f t="shared" ref="H17:I20" si="20">IF(ISERROR(VLOOKUP(VALUE(H$2&amp;$B17),Sheet_Trialbal,6,0)),0,VLOOKUP(VALUE(H$2&amp;$B17),Sheet_Trialbal,6,0))</f>
        <v>0</v>
      </c>
      <c r="I17" s="2096">
        <f t="shared" si="20"/>
        <v>0</v>
      </c>
      <c r="J17" s="2096">
        <f>IF(ISERROR(VLOOKUP(J$2&amp;$B17,Sheet_Trialbal,6,0)),0,VLOOKUP(J$2&amp;$B17,Sheet_Trialbal,6,0))</f>
        <v>0</v>
      </c>
      <c r="K17" s="2096">
        <f t="shared" ref="K17:O20" si="21">IF(ISERROR(VLOOKUP(VALUE(K$2&amp;$B17),Sheet_Trialbal,6,0)),0,VLOOKUP(VALUE(K$2&amp;$B17),Sheet_Trialbal,6,0))</f>
        <v>0</v>
      </c>
      <c r="L17" s="2096">
        <f t="shared" si="21"/>
        <v>0</v>
      </c>
      <c r="M17" s="2096">
        <f t="shared" si="21"/>
        <v>0</v>
      </c>
      <c r="N17" s="2096">
        <f t="shared" si="21"/>
        <v>0</v>
      </c>
      <c r="O17" s="2096">
        <f t="shared" si="21"/>
        <v>0</v>
      </c>
      <c r="P17" s="2114">
        <f t="shared" si="4"/>
        <v>0</v>
      </c>
      <c r="Q17" s="2112">
        <f>IF(ISERROR(VLOOKUP(VALUE(Q$2&amp;$B17),Sheet_Trialbal,10,0)),0,VLOOKUP(VALUE(Q$2&amp;$B17),Sheet_Trialbal,10,0))</f>
        <v>0</v>
      </c>
      <c r="R17" s="2097">
        <f t="shared" ref="R17:T20" ca="1" si="22">IF(ISERROR(VLOOKUP(R$2&amp;$B17,Sheet_Trialbal,10,0)),0,VLOOKUP(R$2&amp;$B17,Sheet_Trialbal,10,0))</f>
        <v>0</v>
      </c>
      <c r="S17" s="2097">
        <f t="shared" ca="1" si="22"/>
        <v>0</v>
      </c>
      <c r="T17" s="2097">
        <f t="shared" ca="1" si="22"/>
        <v>0</v>
      </c>
      <c r="U17" s="2097">
        <f t="shared" ref="U17:V20" si="23">IF(ISERROR(VLOOKUP(VALUE(U$2&amp;$B17),Sheet_Trialbal,10,0)),0,VLOOKUP(VALUE(U$2&amp;$B17),Sheet_Trialbal,10,0))</f>
        <v>0</v>
      </c>
      <c r="V17" s="2097">
        <f t="shared" si="23"/>
        <v>0</v>
      </c>
      <c r="W17" s="2097">
        <f ca="1">IF(ISERROR(VLOOKUP(W$2&amp;$B17,Sheet_Trialbal,10,0)),0,VLOOKUP(W$2&amp;$B17,Sheet_Trialbal,10,0))</f>
        <v>0</v>
      </c>
      <c r="X17" s="2097">
        <f t="shared" ref="X17:AB20" si="24">IF(ISERROR(VLOOKUP(VALUE(X$2&amp;$B17),Sheet_Trialbal,10,0)),0,VLOOKUP(VALUE(X$2&amp;$B17),Sheet_Trialbal,10,0))</f>
        <v>0</v>
      </c>
      <c r="Y17" s="2097">
        <f t="shared" si="24"/>
        <v>0</v>
      </c>
      <c r="Z17" s="2097">
        <f t="shared" si="24"/>
        <v>0</v>
      </c>
      <c r="AA17" s="2097">
        <f t="shared" si="24"/>
        <v>0</v>
      </c>
      <c r="AB17" s="2097">
        <f t="shared" si="24"/>
        <v>0</v>
      </c>
      <c r="AC17" s="2098">
        <f t="shared" ca="1" si="8"/>
        <v>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19"/>
        <v>0</v>
      </c>
      <c r="F18" s="2096">
        <f t="shared" si="19"/>
        <v>0</v>
      </c>
      <c r="G18" s="2096">
        <f t="shared" si="19"/>
        <v>0</v>
      </c>
      <c r="H18" s="2096">
        <f t="shared" si="20"/>
        <v>0</v>
      </c>
      <c r="I18" s="2096">
        <f t="shared" si="20"/>
        <v>0</v>
      </c>
      <c r="J18" s="2096">
        <f>IF(ISERROR(VLOOKUP(J$2&amp;$B18,Sheet_Trialbal,6,0)),0,VLOOKUP(J$2&amp;$B18,Sheet_Trialbal,6,0))</f>
        <v>0</v>
      </c>
      <c r="K18" s="2096">
        <f t="shared" si="21"/>
        <v>0</v>
      </c>
      <c r="L18" s="2096">
        <f t="shared" si="21"/>
        <v>0</v>
      </c>
      <c r="M18" s="2096">
        <f t="shared" si="21"/>
        <v>0</v>
      </c>
      <c r="N18" s="2096">
        <f t="shared" si="21"/>
        <v>0</v>
      </c>
      <c r="O18" s="2096">
        <f t="shared" si="21"/>
        <v>0</v>
      </c>
      <c r="P18" s="2114">
        <f t="shared" si="4"/>
        <v>0</v>
      </c>
      <c r="Q18" s="2112">
        <f>IF(ISERROR(VLOOKUP(VALUE(Q$2&amp;$B18),Sheet_Trialbal,10,0)),0,VLOOKUP(VALUE(Q$2&amp;$B18),Sheet_Trialbal,10,0))</f>
        <v>0</v>
      </c>
      <c r="R18" s="2097">
        <f t="shared" ca="1" si="22"/>
        <v>0</v>
      </c>
      <c r="S18" s="2097">
        <f t="shared" ca="1" si="22"/>
        <v>0</v>
      </c>
      <c r="T18" s="2097">
        <f t="shared" ca="1" si="22"/>
        <v>0</v>
      </c>
      <c r="U18" s="2097">
        <f t="shared" si="23"/>
        <v>0</v>
      </c>
      <c r="V18" s="2097">
        <f t="shared" si="23"/>
        <v>0</v>
      </c>
      <c r="W18" s="2097">
        <f ca="1">IF(ISERROR(VLOOKUP(W$2&amp;$B18,Sheet_Trialbal,10,0)),0,VLOOKUP(W$2&amp;$B18,Sheet_Trialbal,10,0))</f>
        <v>0</v>
      </c>
      <c r="X18" s="2097">
        <f t="shared" si="24"/>
        <v>0</v>
      </c>
      <c r="Y18" s="2097">
        <f t="shared" si="24"/>
        <v>0</v>
      </c>
      <c r="Z18" s="2097">
        <f t="shared" si="24"/>
        <v>0</v>
      </c>
      <c r="AA18" s="2097">
        <f t="shared" si="24"/>
        <v>0</v>
      </c>
      <c r="AB18" s="2097">
        <f t="shared" si="24"/>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19"/>
        <v>0</v>
      </c>
      <c r="F19" s="2096">
        <f t="shared" si="19"/>
        <v>0</v>
      </c>
      <c r="G19" s="2096">
        <f t="shared" si="19"/>
        <v>0</v>
      </c>
      <c r="H19" s="2096">
        <f t="shared" si="20"/>
        <v>0</v>
      </c>
      <c r="I19" s="2096">
        <f t="shared" si="20"/>
        <v>0</v>
      </c>
      <c r="J19" s="2096">
        <f>IF(ISERROR(VLOOKUP(J$2&amp;$B19,Sheet_Trialbal,6,0)),0,VLOOKUP(J$2&amp;$B19,Sheet_Trialbal,6,0))</f>
        <v>0</v>
      </c>
      <c r="K19" s="2096">
        <f t="shared" si="21"/>
        <v>0</v>
      </c>
      <c r="L19" s="2096">
        <f t="shared" si="21"/>
        <v>0</v>
      </c>
      <c r="M19" s="2096">
        <f t="shared" si="21"/>
        <v>0</v>
      </c>
      <c r="N19" s="2096">
        <f t="shared" si="21"/>
        <v>0</v>
      </c>
      <c r="O19" s="2096">
        <f t="shared" si="21"/>
        <v>0</v>
      </c>
      <c r="P19" s="2114">
        <f t="shared" si="4"/>
        <v>0</v>
      </c>
      <c r="Q19" s="2112">
        <f>IF(ISERROR(VLOOKUP(VALUE(Q$2&amp;$B19),Sheet_Trialbal,10,0)),0,VLOOKUP(VALUE(Q$2&amp;$B19),Sheet_Trialbal,10,0))</f>
        <v>0</v>
      </c>
      <c r="R19" s="2097">
        <f t="shared" ca="1" si="22"/>
        <v>0</v>
      </c>
      <c r="S19" s="2097">
        <f t="shared" ca="1" si="22"/>
        <v>0</v>
      </c>
      <c r="T19" s="2097">
        <f t="shared" ca="1" si="22"/>
        <v>0</v>
      </c>
      <c r="U19" s="2097">
        <f t="shared" si="23"/>
        <v>0</v>
      </c>
      <c r="V19" s="2097">
        <f t="shared" si="23"/>
        <v>0</v>
      </c>
      <c r="W19" s="2097">
        <f ca="1">IF(ISERROR(VLOOKUP(W$2&amp;$B19,Sheet_Trialbal,10,0)),0,VLOOKUP(W$2&amp;$B19,Sheet_Trialbal,10,0))</f>
        <v>0</v>
      </c>
      <c r="X19" s="2097">
        <f t="shared" si="24"/>
        <v>0</v>
      </c>
      <c r="Y19" s="2097">
        <f t="shared" si="24"/>
        <v>0</v>
      </c>
      <c r="Z19" s="2097">
        <f t="shared" si="24"/>
        <v>0</v>
      </c>
      <c r="AA19" s="2097">
        <f t="shared" si="24"/>
        <v>0</v>
      </c>
      <c r="AB19" s="2097">
        <f t="shared" si="24"/>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19"/>
        <v>0</v>
      </c>
      <c r="F20" s="2096">
        <f t="shared" si="19"/>
        <v>0</v>
      </c>
      <c r="G20" s="2096">
        <f t="shared" si="19"/>
        <v>0</v>
      </c>
      <c r="H20" s="2096">
        <f t="shared" si="20"/>
        <v>0</v>
      </c>
      <c r="I20" s="2096">
        <f t="shared" si="20"/>
        <v>0</v>
      </c>
      <c r="J20" s="2096">
        <f>IF(ISERROR(VLOOKUP(J$2&amp;$B20,Sheet_Trialbal,6,0)),0,VLOOKUP(J$2&amp;$B20,Sheet_Trialbal,6,0))</f>
        <v>0</v>
      </c>
      <c r="K20" s="2096">
        <f t="shared" si="21"/>
        <v>0</v>
      </c>
      <c r="L20" s="2096">
        <f t="shared" si="21"/>
        <v>0</v>
      </c>
      <c r="M20" s="2096">
        <f t="shared" si="21"/>
        <v>0</v>
      </c>
      <c r="N20" s="2096">
        <f t="shared" si="21"/>
        <v>0</v>
      </c>
      <c r="O20" s="2096">
        <f t="shared" si="21"/>
        <v>0</v>
      </c>
      <c r="P20" s="2114">
        <f t="shared" si="4"/>
        <v>0</v>
      </c>
      <c r="Q20" s="2112">
        <f>IF(ISERROR(VLOOKUP(VALUE(Q$2&amp;$B20),Sheet_Trialbal,10,0)),0,VLOOKUP(VALUE(Q$2&amp;$B20),Sheet_Trialbal,10,0))</f>
        <v>0</v>
      </c>
      <c r="R20" s="2097">
        <f t="shared" ca="1" si="22"/>
        <v>0</v>
      </c>
      <c r="S20" s="2097">
        <f t="shared" ca="1" si="22"/>
        <v>0</v>
      </c>
      <c r="T20" s="2097">
        <f t="shared" ca="1" si="22"/>
        <v>0</v>
      </c>
      <c r="U20" s="2097">
        <f t="shared" si="23"/>
        <v>0</v>
      </c>
      <c r="V20" s="2097">
        <f t="shared" si="23"/>
        <v>0</v>
      </c>
      <c r="W20" s="2097">
        <f ca="1">IF(ISERROR(VLOOKUP(W$2&amp;$B20,Sheet_Trialbal,10,0)),0,VLOOKUP(W$2&amp;$B20,Sheet_Trialbal,10,0))</f>
        <v>0</v>
      </c>
      <c r="X20" s="2097">
        <f t="shared" si="24"/>
        <v>0</v>
      </c>
      <c r="Y20" s="2097">
        <f t="shared" si="24"/>
        <v>0</v>
      </c>
      <c r="Z20" s="2097">
        <f t="shared" si="24"/>
        <v>0</v>
      </c>
      <c r="AA20" s="2097">
        <f t="shared" si="24"/>
        <v>0</v>
      </c>
      <c r="AB20" s="2097">
        <f t="shared" si="24"/>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5">SUM(D22:D24)</f>
        <v>0</v>
      </c>
      <c r="E21" s="2096">
        <f t="shared" si="25"/>
        <v>0</v>
      </c>
      <c r="F21" s="2096">
        <f t="shared" si="25"/>
        <v>0</v>
      </c>
      <c r="G21" s="2096">
        <f t="shared" si="25"/>
        <v>0</v>
      </c>
      <c r="H21" s="2096">
        <f t="shared" si="25"/>
        <v>0</v>
      </c>
      <c r="I21" s="2096">
        <f t="shared" si="25"/>
        <v>0</v>
      </c>
      <c r="J21" s="2096">
        <f t="shared" si="25"/>
        <v>0</v>
      </c>
      <c r="K21" s="2096">
        <f t="shared" si="25"/>
        <v>0</v>
      </c>
      <c r="L21" s="2096">
        <f t="shared" si="25"/>
        <v>0</v>
      </c>
      <c r="M21" s="2096">
        <f t="shared" ref="M21" si="26">SUM(M22:M24)</f>
        <v>0</v>
      </c>
      <c r="N21" s="2096">
        <f t="shared" si="25"/>
        <v>0</v>
      </c>
      <c r="O21" s="2096">
        <f t="shared" si="25"/>
        <v>0</v>
      </c>
      <c r="P21" s="2114">
        <f t="shared" si="4"/>
        <v>0</v>
      </c>
      <c r="Q21" s="2112">
        <f t="shared" ref="Q21:AB21" si="27">SUM(Q22:Q24)</f>
        <v>0</v>
      </c>
      <c r="R21" s="2097">
        <f t="shared" ca="1" si="27"/>
        <v>0</v>
      </c>
      <c r="S21" s="2097">
        <f t="shared" ca="1" si="27"/>
        <v>0</v>
      </c>
      <c r="T21" s="2097">
        <f t="shared" ca="1" si="27"/>
        <v>0</v>
      </c>
      <c r="U21" s="2097">
        <f t="shared" si="27"/>
        <v>0</v>
      </c>
      <c r="V21" s="2097">
        <f t="shared" si="27"/>
        <v>0</v>
      </c>
      <c r="W21" s="2097">
        <f t="shared" ca="1" si="27"/>
        <v>0</v>
      </c>
      <c r="X21" s="2097">
        <f t="shared" si="27"/>
        <v>0</v>
      </c>
      <c r="Y21" s="2097">
        <f t="shared" si="27"/>
        <v>256357.72</v>
      </c>
      <c r="Z21" s="2097"/>
      <c r="AA21" s="2097">
        <f t="shared" si="27"/>
        <v>-256357.72</v>
      </c>
      <c r="AB21" s="2097">
        <f t="shared" si="27"/>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28">IF(ISERROR(VLOOKUP(E$2&amp;$B22,Sheet_Trialbal,6,0)),0,VLOOKUP(E$2&amp;$B22,Sheet_Trialbal,6,0))</f>
        <v>0</v>
      </c>
      <c r="F22" s="2096">
        <f t="shared" si="28"/>
        <v>0</v>
      </c>
      <c r="G22" s="2096">
        <f t="shared" si="28"/>
        <v>0</v>
      </c>
      <c r="H22" s="2096">
        <f t="shared" ref="H22:I24" si="29">IF(ISERROR(VLOOKUP(VALUE(H$2&amp;$B22),Sheet_Trialbal,6,0)),0,VLOOKUP(VALUE(H$2&amp;$B22),Sheet_Trialbal,6,0))</f>
        <v>0</v>
      </c>
      <c r="I22" s="2096">
        <f t="shared" si="29"/>
        <v>0</v>
      </c>
      <c r="J22" s="2096">
        <f>IF(ISERROR(VLOOKUP(J$2&amp;$B22,Sheet_Trialbal,6,0)),0,VLOOKUP(J$2&amp;$B22,Sheet_Trialbal,6,0))</f>
        <v>0</v>
      </c>
      <c r="K22" s="2096">
        <f t="shared" ref="K22:O24" si="30">IF(ISERROR(VLOOKUP(VALUE(K$2&amp;$B22),Sheet_Trialbal,6,0)),0,VLOOKUP(VALUE(K$2&amp;$B22),Sheet_Trialbal,6,0))</f>
        <v>0</v>
      </c>
      <c r="L22" s="2096">
        <f t="shared" si="30"/>
        <v>0</v>
      </c>
      <c r="M22" s="2096">
        <f t="shared" si="30"/>
        <v>0</v>
      </c>
      <c r="N22" s="2096">
        <f t="shared" si="30"/>
        <v>0</v>
      </c>
      <c r="O22" s="2096">
        <f t="shared" si="30"/>
        <v>0</v>
      </c>
      <c r="P22" s="2114">
        <f t="shared" si="4"/>
        <v>0</v>
      </c>
      <c r="Q22" s="2112">
        <f>IF(ISERROR(VLOOKUP(VALUE(Q$2&amp;$B22),Sheet_Trialbal,10,0)),0,VLOOKUP(VALUE(Q$2&amp;$B22),Sheet_Trialbal,10,0))</f>
        <v>0</v>
      </c>
      <c r="R22" s="2097">
        <f t="shared" ref="R22:T24" ca="1" si="31">IF(ISERROR(VLOOKUP(R$2&amp;$B22,Sheet_Trialbal,10,0)),0,VLOOKUP(R$2&amp;$B22,Sheet_Trialbal,10,0))</f>
        <v>0</v>
      </c>
      <c r="S22" s="2097">
        <f t="shared" ca="1" si="31"/>
        <v>0</v>
      </c>
      <c r="T22" s="2097">
        <f t="shared" ca="1" si="31"/>
        <v>0</v>
      </c>
      <c r="U22" s="2097">
        <f t="shared" ref="U22:V24" si="32">IF(ISERROR(VLOOKUP(VALUE(U$2&amp;$B22),Sheet_Trialbal,10,0)),0,VLOOKUP(VALUE(U$2&amp;$B22),Sheet_Trialbal,10,0))</f>
        <v>0</v>
      </c>
      <c r="V22" s="2097">
        <f t="shared" si="32"/>
        <v>0</v>
      </c>
      <c r="W22" s="2097">
        <f ca="1">IF(ISERROR(VLOOKUP(W$2&amp;$B22,Sheet_Trialbal,10,0)),0,VLOOKUP(W$2&amp;$B22,Sheet_Trialbal,10,0))</f>
        <v>0</v>
      </c>
      <c r="X22" s="2097">
        <f t="shared" ref="X22:AB24" si="33">IF(ISERROR(VLOOKUP(VALUE(X$2&amp;$B22),Sheet_Trialbal,10,0)),0,VLOOKUP(VALUE(X$2&amp;$B22),Sheet_Trialbal,10,0))</f>
        <v>0</v>
      </c>
      <c r="Y22" s="2097">
        <f t="shared" si="33"/>
        <v>256357.72</v>
      </c>
      <c r="Z22" s="2097"/>
      <c r="AA22" s="2097">
        <f t="shared" si="33"/>
        <v>-256357.72</v>
      </c>
      <c r="AB22" s="2097">
        <f t="shared" si="33"/>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28"/>
        <v>0</v>
      </c>
      <c r="F23" s="2096">
        <f t="shared" si="28"/>
        <v>0</v>
      </c>
      <c r="G23" s="2096">
        <f t="shared" si="28"/>
        <v>0</v>
      </c>
      <c r="H23" s="2096">
        <f t="shared" si="29"/>
        <v>0</v>
      </c>
      <c r="I23" s="2096">
        <f t="shared" si="29"/>
        <v>0</v>
      </c>
      <c r="J23" s="2096">
        <f>IF(ISERROR(VLOOKUP(J$2&amp;$B23,Sheet_Trialbal,6,0)),0,VLOOKUP(J$2&amp;$B23,Sheet_Trialbal,6,0))</f>
        <v>0</v>
      </c>
      <c r="K23" s="2096">
        <f t="shared" si="30"/>
        <v>0</v>
      </c>
      <c r="L23" s="2096">
        <f t="shared" si="30"/>
        <v>0</v>
      </c>
      <c r="M23" s="2096">
        <f t="shared" si="30"/>
        <v>0</v>
      </c>
      <c r="N23" s="2096">
        <f t="shared" si="30"/>
        <v>0</v>
      </c>
      <c r="O23" s="2096">
        <f t="shared" si="30"/>
        <v>0</v>
      </c>
      <c r="P23" s="2114">
        <f t="shared" si="4"/>
        <v>0</v>
      </c>
      <c r="Q23" s="2112">
        <f>IF(ISERROR(VLOOKUP(VALUE(Q$2&amp;$B23),Sheet_Trialbal,10,0)),0,VLOOKUP(VALUE(Q$2&amp;$B23),Sheet_Trialbal,10,0))</f>
        <v>0</v>
      </c>
      <c r="R23" s="2097">
        <f t="shared" ca="1" si="31"/>
        <v>0</v>
      </c>
      <c r="S23" s="2097">
        <f t="shared" ca="1" si="31"/>
        <v>0</v>
      </c>
      <c r="T23" s="2097">
        <f t="shared" ca="1" si="31"/>
        <v>0</v>
      </c>
      <c r="U23" s="2097">
        <f t="shared" si="32"/>
        <v>0</v>
      </c>
      <c r="V23" s="2097">
        <f t="shared" si="32"/>
        <v>0</v>
      </c>
      <c r="W23" s="2097">
        <f ca="1">IF(ISERROR(VLOOKUP(W$2&amp;$B23,Sheet_Trialbal,10,0)),0,VLOOKUP(W$2&amp;$B23,Sheet_Trialbal,10,0))</f>
        <v>0</v>
      </c>
      <c r="X23" s="2097">
        <f t="shared" si="33"/>
        <v>0</v>
      </c>
      <c r="Y23" s="2097">
        <f t="shared" si="33"/>
        <v>0</v>
      </c>
      <c r="Z23" s="2097">
        <f t="shared" si="33"/>
        <v>0</v>
      </c>
      <c r="AA23" s="2097">
        <f t="shared" si="33"/>
        <v>0</v>
      </c>
      <c r="AB23" s="2097">
        <f t="shared" si="33"/>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28"/>
        <v>0</v>
      </c>
      <c r="F24" s="2096">
        <f t="shared" si="28"/>
        <v>0</v>
      </c>
      <c r="G24" s="2096">
        <f t="shared" si="28"/>
        <v>0</v>
      </c>
      <c r="H24" s="2096">
        <f t="shared" si="29"/>
        <v>0</v>
      </c>
      <c r="I24" s="2096">
        <f t="shared" si="29"/>
        <v>0</v>
      </c>
      <c r="J24" s="2096">
        <f>IF(ISERROR(VLOOKUP(J$2&amp;$B24,Sheet_Trialbal,6,0)),0,VLOOKUP(J$2&amp;$B24,Sheet_Trialbal,6,0))</f>
        <v>0</v>
      </c>
      <c r="K24" s="2096">
        <f t="shared" si="30"/>
        <v>0</v>
      </c>
      <c r="L24" s="2096">
        <f t="shared" si="30"/>
        <v>0</v>
      </c>
      <c r="M24" s="2096">
        <f t="shared" si="30"/>
        <v>0</v>
      </c>
      <c r="N24" s="2096">
        <f t="shared" si="30"/>
        <v>0</v>
      </c>
      <c r="O24" s="2096">
        <f t="shared" si="30"/>
        <v>0</v>
      </c>
      <c r="P24" s="2114">
        <f t="shared" si="4"/>
        <v>0</v>
      </c>
      <c r="Q24" s="2112">
        <f>IF(ISERROR(VLOOKUP(VALUE(Q$2&amp;$B24),Sheet_Trialbal,10,0)),0,VLOOKUP(VALUE(Q$2&amp;$B24),Sheet_Trialbal,10,0))</f>
        <v>0</v>
      </c>
      <c r="R24" s="2097">
        <f t="shared" ca="1" si="31"/>
        <v>0</v>
      </c>
      <c r="S24" s="2097">
        <f t="shared" ca="1" si="31"/>
        <v>0</v>
      </c>
      <c r="T24" s="2097">
        <f t="shared" ca="1" si="31"/>
        <v>0</v>
      </c>
      <c r="U24" s="2097">
        <f t="shared" si="32"/>
        <v>0</v>
      </c>
      <c r="V24" s="2097">
        <f t="shared" si="32"/>
        <v>0</v>
      </c>
      <c r="W24" s="2097">
        <f ca="1">IF(ISERROR(VLOOKUP(W$2&amp;$B24,Sheet_Trialbal,10,0)),0,VLOOKUP(W$2&amp;$B24,Sheet_Trialbal,10,0))</f>
        <v>0</v>
      </c>
      <c r="X24" s="2097">
        <f t="shared" si="33"/>
        <v>0</v>
      </c>
      <c r="Y24" s="2097">
        <f t="shared" si="33"/>
        <v>0</v>
      </c>
      <c r="Z24" s="2097">
        <f t="shared" si="33"/>
        <v>0</v>
      </c>
      <c r="AA24" s="2097">
        <f t="shared" si="33"/>
        <v>0</v>
      </c>
      <c r="AB24" s="2097">
        <f t="shared" si="33"/>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4">SUM(D26:D31)</f>
        <v>0</v>
      </c>
      <c r="E25" s="2096">
        <f t="shared" si="34"/>
        <v>0</v>
      </c>
      <c r="F25" s="2096">
        <f t="shared" si="34"/>
        <v>0</v>
      </c>
      <c r="G25" s="2096">
        <f t="shared" si="34"/>
        <v>0</v>
      </c>
      <c r="H25" s="2096">
        <f t="shared" si="34"/>
        <v>0</v>
      </c>
      <c r="I25" s="2096">
        <f t="shared" si="34"/>
        <v>0</v>
      </c>
      <c r="J25" s="2096">
        <f t="shared" si="34"/>
        <v>0</v>
      </c>
      <c r="K25" s="2096">
        <f t="shared" si="34"/>
        <v>0</v>
      </c>
      <c r="L25" s="2096">
        <f t="shared" si="34"/>
        <v>0</v>
      </c>
      <c r="M25" s="2096">
        <f t="shared" ref="M25" si="35">SUM(M26:M31)</f>
        <v>0</v>
      </c>
      <c r="N25" s="2096">
        <f t="shared" si="34"/>
        <v>0</v>
      </c>
      <c r="O25" s="2096">
        <f t="shared" si="34"/>
        <v>0</v>
      </c>
      <c r="P25" s="2114">
        <f t="shared" si="4"/>
        <v>0</v>
      </c>
      <c r="Q25" s="2112">
        <f t="shared" ref="Q25:AB25" si="36">SUM(Q26:Q31)</f>
        <v>0</v>
      </c>
      <c r="R25" s="2097">
        <f t="shared" ca="1" si="36"/>
        <v>0</v>
      </c>
      <c r="S25" s="2097">
        <f t="shared" ca="1" si="36"/>
        <v>0</v>
      </c>
      <c r="T25" s="2097">
        <f t="shared" ca="1" si="36"/>
        <v>0</v>
      </c>
      <c r="U25" s="2097">
        <f t="shared" si="36"/>
        <v>0</v>
      </c>
      <c r="V25" s="2097">
        <f t="shared" si="36"/>
        <v>0</v>
      </c>
      <c r="W25" s="2097">
        <f t="shared" ca="1" si="36"/>
        <v>0</v>
      </c>
      <c r="X25" s="2097">
        <f t="shared" si="36"/>
        <v>0</v>
      </c>
      <c r="Y25" s="2097">
        <f t="shared" si="36"/>
        <v>0</v>
      </c>
      <c r="Z25" s="2097">
        <f t="shared" ref="Z25" si="37">SUM(Z26:Z31)</f>
        <v>0</v>
      </c>
      <c r="AA25" s="2097">
        <f t="shared" si="36"/>
        <v>0</v>
      </c>
      <c r="AB25" s="2097">
        <f t="shared" si="36"/>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38">IF(ISERROR(VLOOKUP(VALUE(D$2&amp;$B26),Sheet_Trialbal,6,0)),0,VLOOKUP(VALUE(D$2&amp;$B26),Sheet_Trialbal,6,0))</f>
        <v>0</v>
      </c>
      <c r="E26" s="2096">
        <f t="shared" ref="E26:G31" si="39">IF(ISERROR(VLOOKUP(E$2&amp;$B26,Sheet_Trialbal,6,0)),0,VLOOKUP(E$2&amp;$B26,Sheet_Trialbal,6,0))</f>
        <v>0</v>
      </c>
      <c r="F26" s="2096">
        <f t="shared" si="39"/>
        <v>0</v>
      </c>
      <c r="G26" s="2096">
        <f t="shared" si="39"/>
        <v>0</v>
      </c>
      <c r="H26" s="2096">
        <f t="shared" ref="H26:I31" si="40">IF(ISERROR(VLOOKUP(VALUE(H$2&amp;$B26),Sheet_Trialbal,6,0)),0,VLOOKUP(VALUE(H$2&amp;$B26),Sheet_Trialbal,6,0))</f>
        <v>0</v>
      </c>
      <c r="I26" s="2096">
        <f t="shared" si="40"/>
        <v>0</v>
      </c>
      <c r="J26" s="2096">
        <f t="shared" ref="J26:J31" si="41">IF(ISERROR(VLOOKUP(J$2&amp;$B26,Sheet_Trialbal,6,0)),0,VLOOKUP(J$2&amp;$B26,Sheet_Trialbal,6,0))</f>
        <v>0</v>
      </c>
      <c r="K26" s="2096">
        <f t="shared" ref="K26:O31" si="42">IF(ISERROR(VLOOKUP(VALUE(K$2&amp;$B26),Sheet_Trialbal,6,0)),0,VLOOKUP(VALUE(K$2&amp;$B26),Sheet_Trialbal,6,0))</f>
        <v>0</v>
      </c>
      <c r="L26" s="2096">
        <f t="shared" si="42"/>
        <v>0</v>
      </c>
      <c r="M26" s="2096">
        <f t="shared" si="42"/>
        <v>0</v>
      </c>
      <c r="N26" s="2096">
        <f t="shared" si="42"/>
        <v>0</v>
      </c>
      <c r="O26" s="2096">
        <f t="shared" si="42"/>
        <v>0</v>
      </c>
      <c r="P26" s="2114">
        <f t="shared" si="4"/>
        <v>0</v>
      </c>
      <c r="Q26" s="2112">
        <f t="shared" ref="Q26:Q31" si="43">IF(ISERROR(VLOOKUP(VALUE(Q$2&amp;$B26),Sheet_Trialbal,10,0)),0,VLOOKUP(VALUE(Q$2&amp;$B26),Sheet_Trialbal,10,0))</f>
        <v>0</v>
      </c>
      <c r="R26" s="2097">
        <f t="shared" ref="R26:T31" ca="1" si="44">IF(ISERROR(VLOOKUP(R$2&amp;$B26,Sheet_Trialbal,10,0)),0,VLOOKUP(R$2&amp;$B26,Sheet_Trialbal,10,0))</f>
        <v>0</v>
      </c>
      <c r="S26" s="2097">
        <f t="shared" ca="1" si="44"/>
        <v>0</v>
      </c>
      <c r="T26" s="2097">
        <f t="shared" ca="1" si="44"/>
        <v>0</v>
      </c>
      <c r="U26" s="2097">
        <f t="shared" ref="U26:V31" si="45">IF(ISERROR(VLOOKUP(VALUE(U$2&amp;$B26),Sheet_Trialbal,10,0)),0,VLOOKUP(VALUE(U$2&amp;$B26),Sheet_Trialbal,10,0))</f>
        <v>0</v>
      </c>
      <c r="V26" s="2097">
        <f t="shared" si="45"/>
        <v>0</v>
      </c>
      <c r="W26" s="2097">
        <f t="shared" ref="W26:W31" ca="1" si="46">IF(ISERROR(VLOOKUP(W$2&amp;$B26,Sheet_Trialbal,10,0)),0,VLOOKUP(W$2&amp;$B26,Sheet_Trialbal,10,0))</f>
        <v>0</v>
      </c>
      <c r="X26" s="2097">
        <f t="shared" ref="X26:AB31" si="47">IF(ISERROR(VLOOKUP(VALUE(X$2&amp;$B26),Sheet_Trialbal,10,0)),0,VLOOKUP(VALUE(X$2&amp;$B26),Sheet_Trialbal,10,0))</f>
        <v>0</v>
      </c>
      <c r="Y26" s="2097">
        <f t="shared" si="47"/>
        <v>0</v>
      </c>
      <c r="Z26" s="2097">
        <f t="shared" si="47"/>
        <v>0</v>
      </c>
      <c r="AA26" s="2097">
        <f t="shared" si="47"/>
        <v>0</v>
      </c>
      <c r="AB26" s="2097">
        <f t="shared" si="47"/>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38"/>
        <v>0</v>
      </c>
      <c r="E27" s="2096">
        <f t="shared" si="39"/>
        <v>0</v>
      </c>
      <c r="F27" s="2096">
        <f t="shared" si="39"/>
        <v>0</v>
      </c>
      <c r="G27" s="2096">
        <f t="shared" si="39"/>
        <v>0</v>
      </c>
      <c r="H27" s="2096">
        <f t="shared" si="40"/>
        <v>0</v>
      </c>
      <c r="I27" s="2096">
        <f t="shared" si="40"/>
        <v>0</v>
      </c>
      <c r="J27" s="2096">
        <f t="shared" si="41"/>
        <v>0</v>
      </c>
      <c r="K27" s="2096">
        <f t="shared" si="42"/>
        <v>0</v>
      </c>
      <c r="L27" s="2096">
        <f t="shared" si="42"/>
        <v>0</v>
      </c>
      <c r="M27" s="2096">
        <f t="shared" si="42"/>
        <v>0</v>
      </c>
      <c r="N27" s="2096">
        <f t="shared" si="42"/>
        <v>0</v>
      </c>
      <c r="O27" s="2096">
        <f t="shared" si="42"/>
        <v>0</v>
      </c>
      <c r="P27" s="2114">
        <f t="shared" si="4"/>
        <v>0</v>
      </c>
      <c r="Q27" s="2112">
        <f t="shared" si="43"/>
        <v>0</v>
      </c>
      <c r="R27" s="2097">
        <f t="shared" ca="1" si="44"/>
        <v>0</v>
      </c>
      <c r="S27" s="2097">
        <f t="shared" ca="1" si="44"/>
        <v>0</v>
      </c>
      <c r="T27" s="2097">
        <f t="shared" ca="1" si="44"/>
        <v>0</v>
      </c>
      <c r="U27" s="2097">
        <f t="shared" si="45"/>
        <v>0</v>
      </c>
      <c r="V27" s="2097">
        <f t="shared" si="45"/>
        <v>0</v>
      </c>
      <c r="W27" s="2097">
        <f t="shared" ca="1" si="46"/>
        <v>0</v>
      </c>
      <c r="X27" s="2097">
        <f t="shared" si="47"/>
        <v>0</v>
      </c>
      <c r="Y27" s="2097">
        <f t="shared" si="47"/>
        <v>0</v>
      </c>
      <c r="Z27" s="2097">
        <f t="shared" si="47"/>
        <v>0</v>
      </c>
      <c r="AA27" s="2097">
        <f t="shared" si="47"/>
        <v>0</v>
      </c>
      <c r="AB27" s="2097">
        <f t="shared" si="47"/>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38"/>
        <v>0</v>
      </c>
      <c r="E28" s="2096">
        <f t="shared" si="39"/>
        <v>0</v>
      </c>
      <c r="F28" s="2096">
        <f t="shared" si="39"/>
        <v>0</v>
      </c>
      <c r="G28" s="2096">
        <f t="shared" si="39"/>
        <v>0</v>
      </c>
      <c r="H28" s="2096">
        <f t="shared" si="40"/>
        <v>0</v>
      </c>
      <c r="I28" s="2096">
        <f t="shared" si="40"/>
        <v>0</v>
      </c>
      <c r="J28" s="2096">
        <f t="shared" si="41"/>
        <v>0</v>
      </c>
      <c r="K28" s="2096">
        <f t="shared" si="42"/>
        <v>0</v>
      </c>
      <c r="L28" s="2096">
        <f t="shared" si="42"/>
        <v>0</v>
      </c>
      <c r="M28" s="2096">
        <f t="shared" si="42"/>
        <v>0</v>
      </c>
      <c r="N28" s="2096">
        <f t="shared" si="42"/>
        <v>0</v>
      </c>
      <c r="O28" s="2096">
        <f t="shared" si="42"/>
        <v>0</v>
      </c>
      <c r="P28" s="2114">
        <f t="shared" si="4"/>
        <v>0</v>
      </c>
      <c r="Q28" s="2112">
        <f t="shared" si="43"/>
        <v>0</v>
      </c>
      <c r="R28" s="2097">
        <f t="shared" ca="1" si="44"/>
        <v>0</v>
      </c>
      <c r="S28" s="2097">
        <f t="shared" ca="1" si="44"/>
        <v>0</v>
      </c>
      <c r="T28" s="2097">
        <f t="shared" ca="1" si="44"/>
        <v>0</v>
      </c>
      <c r="U28" s="2097">
        <f t="shared" si="45"/>
        <v>0</v>
      </c>
      <c r="V28" s="2097">
        <f t="shared" si="45"/>
        <v>0</v>
      </c>
      <c r="W28" s="2097">
        <f t="shared" ca="1" si="46"/>
        <v>0</v>
      </c>
      <c r="X28" s="2097">
        <f t="shared" si="47"/>
        <v>0</v>
      </c>
      <c r="Y28" s="2097">
        <f t="shared" si="47"/>
        <v>0</v>
      </c>
      <c r="Z28" s="2097">
        <f t="shared" si="47"/>
        <v>0</v>
      </c>
      <c r="AA28" s="2097">
        <f t="shared" si="47"/>
        <v>0</v>
      </c>
      <c r="AB28" s="2097">
        <f t="shared" si="47"/>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38"/>
        <v>0</v>
      </c>
      <c r="E29" s="2096">
        <f t="shared" si="39"/>
        <v>0</v>
      </c>
      <c r="F29" s="2096">
        <f t="shared" si="39"/>
        <v>0</v>
      </c>
      <c r="G29" s="2096">
        <f t="shared" si="39"/>
        <v>0</v>
      </c>
      <c r="H29" s="2096">
        <f t="shared" si="40"/>
        <v>0</v>
      </c>
      <c r="I29" s="2096">
        <f t="shared" si="40"/>
        <v>0</v>
      </c>
      <c r="J29" s="2096">
        <f t="shared" si="41"/>
        <v>0</v>
      </c>
      <c r="K29" s="2096">
        <f t="shared" si="42"/>
        <v>0</v>
      </c>
      <c r="L29" s="2096">
        <f t="shared" si="42"/>
        <v>0</v>
      </c>
      <c r="M29" s="2096">
        <f t="shared" si="42"/>
        <v>0</v>
      </c>
      <c r="N29" s="2096">
        <f t="shared" si="42"/>
        <v>0</v>
      </c>
      <c r="O29" s="2096">
        <f t="shared" si="42"/>
        <v>0</v>
      </c>
      <c r="P29" s="2114">
        <f t="shared" si="4"/>
        <v>0</v>
      </c>
      <c r="Q29" s="2112">
        <f t="shared" si="43"/>
        <v>0</v>
      </c>
      <c r="R29" s="2097">
        <f t="shared" ca="1" si="44"/>
        <v>0</v>
      </c>
      <c r="S29" s="2097">
        <f t="shared" ca="1" si="44"/>
        <v>0</v>
      </c>
      <c r="T29" s="2097">
        <f t="shared" ca="1" si="44"/>
        <v>0</v>
      </c>
      <c r="U29" s="2097">
        <f t="shared" si="45"/>
        <v>0</v>
      </c>
      <c r="V29" s="2097">
        <f t="shared" si="45"/>
        <v>0</v>
      </c>
      <c r="W29" s="2097">
        <f t="shared" ca="1" si="46"/>
        <v>0</v>
      </c>
      <c r="X29" s="2097">
        <f t="shared" si="47"/>
        <v>0</v>
      </c>
      <c r="Y29" s="2097">
        <f t="shared" si="47"/>
        <v>0</v>
      </c>
      <c r="Z29" s="2097">
        <f t="shared" si="47"/>
        <v>0</v>
      </c>
      <c r="AA29" s="2097">
        <f t="shared" si="47"/>
        <v>0</v>
      </c>
      <c r="AB29" s="2097">
        <f t="shared" si="47"/>
        <v>0</v>
      </c>
      <c r="AC29" s="2098">
        <f t="shared" ca="1" si="8"/>
        <v>0</v>
      </c>
      <c r="AD29" s="1803"/>
      <c r="AE29" s="1803"/>
      <c r="AF29" s="1803"/>
      <c r="AG29" s="1803"/>
    </row>
    <row r="30" spans="1:33" ht="21.95" customHeight="1">
      <c r="A30" s="2836"/>
      <c r="B30" s="2837" t="s">
        <v>5846</v>
      </c>
      <c r="C30" s="2105" t="str">
        <f>VLOOKUP(VALUE($P$2&amp;$B30),Sheet_Items,7,0)</f>
        <v>其他综合收益结转留存收益</v>
      </c>
      <c r="D30" s="2096">
        <f t="shared" si="38"/>
        <v>0</v>
      </c>
      <c r="E30" s="2096">
        <f t="shared" si="39"/>
        <v>0</v>
      </c>
      <c r="F30" s="2096">
        <f t="shared" si="39"/>
        <v>0</v>
      </c>
      <c r="G30" s="2096">
        <f t="shared" si="39"/>
        <v>0</v>
      </c>
      <c r="H30" s="2096">
        <f t="shared" si="40"/>
        <v>0</v>
      </c>
      <c r="I30" s="2096">
        <f t="shared" si="40"/>
        <v>0</v>
      </c>
      <c r="J30" s="2096">
        <f t="shared" si="41"/>
        <v>0</v>
      </c>
      <c r="K30" s="2096">
        <f t="shared" si="42"/>
        <v>0</v>
      </c>
      <c r="L30" s="2096">
        <f t="shared" si="42"/>
        <v>0</v>
      </c>
      <c r="M30" s="2096">
        <f t="shared" si="42"/>
        <v>0</v>
      </c>
      <c r="N30" s="2096">
        <f t="shared" si="42"/>
        <v>0</v>
      </c>
      <c r="O30" s="2096">
        <f t="shared" si="42"/>
        <v>0</v>
      </c>
      <c r="P30" s="2114">
        <f t="shared" si="4"/>
        <v>0</v>
      </c>
      <c r="Q30" s="2112">
        <f t="shared" si="43"/>
        <v>0</v>
      </c>
      <c r="R30" s="2097">
        <f t="shared" ca="1" si="44"/>
        <v>0</v>
      </c>
      <c r="S30" s="2097">
        <f t="shared" ca="1" si="44"/>
        <v>0</v>
      </c>
      <c r="T30" s="2097">
        <f t="shared" ca="1" si="44"/>
        <v>0</v>
      </c>
      <c r="U30" s="2097">
        <f t="shared" si="45"/>
        <v>0</v>
      </c>
      <c r="V30" s="2097">
        <f t="shared" si="45"/>
        <v>0</v>
      </c>
      <c r="W30" s="2097">
        <f t="shared" ca="1" si="46"/>
        <v>0</v>
      </c>
      <c r="X30" s="2097">
        <f t="shared" si="47"/>
        <v>0</v>
      </c>
      <c r="Y30" s="2097">
        <f t="shared" si="47"/>
        <v>0</v>
      </c>
      <c r="Z30" s="2097">
        <f t="shared" si="47"/>
        <v>0</v>
      </c>
      <c r="AA30" s="2097">
        <f t="shared" si="47"/>
        <v>0</v>
      </c>
      <c r="AB30" s="2097">
        <f t="shared" si="47"/>
        <v>0</v>
      </c>
      <c r="AC30" s="2098">
        <f t="shared" ca="1" si="8"/>
        <v>0</v>
      </c>
      <c r="AD30" s="1803"/>
      <c r="AE30" s="1803"/>
      <c r="AF30" s="1803"/>
      <c r="AG30" s="1803"/>
    </row>
    <row r="31" spans="1:33" ht="21.95" customHeight="1">
      <c r="A31" s="2836"/>
      <c r="B31" s="2837" t="s">
        <v>2641</v>
      </c>
      <c r="C31" s="2106" t="str">
        <f>VLOOKUP(VALUE($P$2&amp;$B31),Sheet_Items,7,0)</f>
        <v>其他</v>
      </c>
      <c r="D31" s="2096">
        <f t="shared" si="38"/>
        <v>0</v>
      </c>
      <c r="E31" s="2096">
        <f t="shared" si="39"/>
        <v>0</v>
      </c>
      <c r="F31" s="2096">
        <f t="shared" si="39"/>
        <v>0</v>
      </c>
      <c r="G31" s="2096">
        <f t="shared" si="39"/>
        <v>0</v>
      </c>
      <c r="H31" s="2096">
        <f t="shared" si="40"/>
        <v>0</v>
      </c>
      <c r="I31" s="2096">
        <f t="shared" si="40"/>
        <v>0</v>
      </c>
      <c r="J31" s="2096">
        <f t="shared" si="41"/>
        <v>0</v>
      </c>
      <c r="K31" s="2096">
        <f t="shared" si="42"/>
        <v>0</v>
      </c>
      <c r="L31" s="2096">
        <f t="shared" si="42"/>
        <v>0</v>
      </c>
      <c r="M31" s="2096">
        <f t="shared" si="42"/>
        <v>0</v>
      </c>
      <c r="N31" s="2096">
        <f t="shared" si="42"/>
        <v>0</v>
      </c>
      <c r="O31" s="2096">
        <f t="shared" si="42"/>
        <v>0</v>
      </c>
      <c r="P31" s="2114">
        <f t="shared" si="4"/>
        <v>0</v>
      </c>
      <c r="Q31" s="2112">
        <f t="shared" si="43"/>
        <v>0</v>
      </c>
      <c r="R31" s="2097">
        <f t="shared" ca="1" si="44"/>
        <v>0</v>
      </c>
      <c r="S31" s="2097">
        <f t="shared" ca="1" si="44"/>
        <v>0</v>
      </c>
      <c r="T31" s="2097">
        <f t="shared" ca="1" si="44"/>
        <v>0</v>
      </c>
      <c r="U31" s="2097">
        <f t="shared" si="45"/>
        <v>0</v>
      </c>
      <c r="V31" s="2097">
        <f t="shared" si="45"/>
        <v>0</v>
      </c>
      <c r="W31" s="2097">
        <f t="shared" ca="1" si="46"/>
        <v>0</v>
      </c>
      <c r="X31" s="2097">
        <f t="shared" si="47"/>
        <v>0</v>
      </c>
      <c r="Y31" s="2097">
        <f t="shared" si="47"/>
        <v>0</v>
      </c>
      <c r="Z31" s="2097">
        <f t="shared" si="47"/>
        <v>0</v>
      </c>
      <c r="AA31" s="2097">
        <f t="shared" si="47"/>
        <v>0</v>
      </c>
      <c r="AB31" s="2097">
        <f t="shared" si="47"/>
        <v>0</v>
      </c>
      <c r="AC31" s="2098">
        <f t="shared" ca="1" si="8"/>
        <v>0</v>
      </c>
      <c r="AD31" s="1803"/>
      <c r="AE31" s="1803"/>
      <c r="AF31" s="1803"/>
      <c r="AG31" s="1803"/>
    </row>
    <row r="32" spans="1:33" ht="21.95" customHeight="1">
      <c r="A32" s="2836" t="s">
        <v>287</v>
      </c>
      <c r="B32" s="2837" t="s">
        <v>5791</v>
      </c>
      <c r="C32" s="2099" t="str">
        <f>VLOOKUP(VALUE($P$2&amp;$B32),Sheet_Items,7,0)</f>
        <v>（五）专项储备</v>
      </c>
      <c r="D32" s="2096">
        <f t="shared" ref="D32:O32" si="48">SUM(D33:D34)</f>
        <v>0</v>
      </c>
      <c r="E32" s="2096">
        <f t="shared" si="48"/>
        <v>0</v>
      </c>
      <c r="F32" s="2096">
        <f t="shared" si="48"/>
        <v>0</v>
      </c>
      <c r="G32" s="2096">
        <f t="shared" si="48"/>
        <v>0</v>
      </c>
      <c r="H32" s="2096">
        <f t="shared" si="48"/>
        <v>0</v>
      </c>
      <c r="I32" s="2096">
        <f t="shared" si="48"/>
        <v>0</v>
      </c>
      <c r="J32" s="2096">
        <f t="shared" si="48"/>
        <v>0</v>
      </c>
      <c r="K32" s="2096">
        <f t="shared" si="48"/>
        <v>0</v>
      </c>
      <c r="L32" s="2096">
        <f t="shared" si="48"/>
        <v>0</v>
      </c>
      <c r="M32" s="2096">
        <f t="shared" ref="M32" si="49">SUM(M33:M34)</f>
        <v>0</v>
      </c>
      <c r="N32" s="2096">
        <f t="shared" si="48"/>
        <v>0</v>
      </c>
      <c r="O32" s="2096">
        <f t="shared" si="48"/>
        <v>0</v>
      </c>
      <c r="P32" s="2114">
        <f t="shared" si="4"/>
        <v>0</v>
      </c>
      <c r="Q32" s="2112">
        <f t="shared" ref="Q32:AB32" si="50">SUM(Q33:Q34)</f>
        <v>0</v>
      </c>
      <c r="R32" s="2097">
        <f t="shared" ca="1" si="50"/>
        <v>0</v>
      </c>
      <c r="S32" s="2097">
        <f t="shared" ca="1" si="50"/>
        <v>0</v>
      </c>
      <c r="T32" s="2097">
        <f t="shared" ca="1" si="50"/>
        <v>0</v>
      </c>
      <c r="U32" s="2097">
        <f t="shared" si="50"/>
        <v>0</v>
      </c>
      <c r="V32" s="2097">
        <f t="shared" si="50"/>
        <v>0</v>
      </c>
      <c r="W32" s="2097">
        <f t="shared" ca="1" si="50"/>
        <v>0</v>
      </c>
      <c r="X32" s="2097">
        <f t="shared" si="50"/>
        <v>0</v>
      </c>
      <c r="Y32" s="2097">
        <f t="shared" si="50"/>
        <v>0</v>
      </c>
      <c r="Z32" s="2097">
        <f t="shared" ref="Z32" si="51">SUM(Z33:Z34)</f>
        <v>0</v>
      </c>
      <c r="AA32" s="2097">
        <f t="shared" si="50"/>
        <v>0</v>
      </c>
      <c r="AB32" s="2097">
        <f t="shared" si="50"/>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2">IF(ISERROR(VLOOKUP(E$2&amp;$B33,Sheet_Trialbal,6,0)),0,VLOOKUP(E$2&amp;$B33,Sheet_Trialbal,6,0))</f>
        <v>0</v>
      </c>
      <c r="F33" s="2096">
        <f t="shared" si="52"/>
        <v>0</v>
      </c>
      <c r="G33" s="2096">
        <f t="shared" si="52"/>
        <v>0</v>
      </c>
      <c r="H33" s="2096">
        <f t="shared" ref="H33:I35" si="53">IF(ISERROR(VLOOKUP(VALUE(H$2&amp;$B33),Sheet_Trialbal,6,0)),0,VLOOKUP(VALUE(H$2&amp;$B33),Sheet_Trialbal,6,0))</f>
        <v>0</v>
      </c>
      <c r="I33" s="2096">
        <f t="shared" si="53"/>
        <v>0</v>
      </c>
      <c r="J33" s="2096">
        <f>IF(ISERROR(VLOOKUP(J$2&amp;$B33,Sheet_Trialbal,6,0)),0,VLOOKUP(J$2&amp;$B33,Sheet_Trialbal,6,0))</f>
        <v>0</v>
      </c>
      <c r="K33" s="2096">
        <f t="shared" ref="K33:O35" si="54">IF(ISERROR(VLOOKUP(VALUE(K$2&amp;$B33),Sheet_Trialbal,6,0)),0,VLOOKUP(VALUE(K$2&amp;$B33),Sheet_Trialbal,6,0))</f>
        <v>0</v>
      </c>
      <c r="L33" s="2096">
        <f t="shared" si="54"/>
        <v>0</v>
      </c>
      <c r="M33" s="2096">
        <f t="shared" si="54"/>
        <v>0</v>
      </c>
      <c r="N33" s="2096">
        <f t="shared" si="54"/>
        <v>0</v>
      </c>
      <c r="O33" s="2096">
        <f t="shared" si="54"/>
        <v>0</v>
      </c>
      <c r="P33" s="2114">
        <f t="shared" si="4"/>
        <v>0</v>
      </c>
      <c r="Q33" s="2112">
        <f>IF(ISERROR(VLOOKUP(VALUE(Q$2&amp;$B33),Sheet_Trialbal,10,0)),0,VLOOKUP(VALUE(Q$2&amp;$B33),Sheet_Trialbal,10,0))</f>
        <v>0</v>
      </c>
      <c r="R33" s="2097">
        <f t="shared" ref="R33:T35" ca="1" si="55">IF(ISERROR(VLOOKUP(R$2&amp;$B33,Sheet_Trialbal,10,0)),0,VLOOKUP(R$2&amp;$B33,Sheet_Trialbal,10,0))</f>
        <v>0</v>
      </c>
      <c r="S33" s="2097">
        <f t="shared" ca="1" si="55"/>
        <v>0</v>
      </c>
      <c r="T33" s="2097">
        <f t="shared" ca="1" si="55"/>
        <v>0</v>
      </c>
      <c r="U33" s="2097">
        <f t="shared" ref="U33:V35" si="56">IF(ISERROR(VLOOKUP(VALUE(U$2&amp;$B33),Sheet_Trialbal,10,0)),0,VLOOKUP(VALUE(U$2&amp;$B33),Sheet_Trialbal,10,0))</f>
        <v>0</v>
      </c>
      <c r="V33" s="2097">
        <f t="shared" si="56"/>
        <v>0</v>
      </c>
      <c r="W33" s="2097">
        <f ca="1">IF(ISERROR(VLOOKUP(W$2&amp;$B33,Sheet_Trialbal,10,0)),0,VLOOKUP(W$2&amp;$B33,Sheet_Trialbal,10,0))</f>
        <v>0</v>
      </c>
      <c r="X33" s="2097">
        <f t="shared" ref="X33:AB35" si="57">IF(ISERROR(VLOOKUP(VALUE(X$2&amp;$B33),Sheet_Trialbal,10,0)),0,VLOOKUP(VALUE(X$2&amp;$B33),Sheet_Trialbal,10,0))</f>
        <v>0</v>
      </c>
      <c r="Y33" s="2097">
        <f t="shared" si="57"/>
        <v>0</v>
      </c>
      <c r="Z33" s="2097">
        <f t="shared" si="57"/>
        <v>0</v>
      </c>
      <c r="AA33" s="2097">
        <f t="shared" si="57"/>
        <v>0</v>
      </c>
      <c r="AB33" s="2097">
        <f t="shared" si="57"/>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2"/>
        <v>0</v>
      </c>
      <c r="F34" s="2096">
        <f t="shared" si="52"/>
        <v>0</v>
      </c>
      <c r="G34" s="2096">
        <f t="shared" si="52"/>
        <v>0</v>
      </c>
      <c r="H34" s="2096">
        <f t="shared" si="53"/>
        <v>0</v>
      </c>
      <c r="I34" s="2096">
        <f t="shared" si="53"/>
        <v>0</v>
      </c>
      <c r="J34" s="2096">
        <f>IF(ISERROR(VLOOKUP(J$2&amp;$B34,Sheet_Trialbal,6,0)),0,VLOOKUP(J$2&amp;$B34,Sheet_Trialbal,6,0))</f>
        <v>0</v>
      </c>
      <c r="K34" s="2096">
        <f t="shared" si="54"/>
        <v>0</v>
      </c>
      <c r="L34" s="2096">
        <f t="shared" si="54"/>
        <v>0</v>
      </c>
      <c r="M34" s="2096">
        <f t="shared" si="54"/>
        <v>0</v>
      </c>
      <c r="N34" s="2096">
        <f t="shared" si="54"/>
        <v>0</v>
      </c>
      <c r="O34" s="2096">
        <f t="shared" si="54"/>
        <v>0</v>
      </c>
      <c r="P34" s="2114">
        <f t="shared" si="4"/>
        <v>0</v>
      </c>
      <c r="Q34" s="2112">
        <f>IF(ISERROR(VLOOKUP(VALUE(Q$2&amp;$B34),Sheet_Trialbal,10,0)),0,VLOOKUP(VALUE(Q$2&amp;$B34),Sheet_Trialbal,10,0))</f>
        <v>0</v>
      </c>
      <c r="R34" s="2097">
        <f t="shared" ca="1" si="55"/>
        <v>0</v>
      </c>
      <c r="S34" s="2097">
        <f t="shared" ca="1" si="55"/>
        <v>0</v>
      </c>
      <c r="T34" s="2097">
        <f t="shared" ca="1" si="55"/>
        <v>0</v>
      </c>
      <c r="U34" s="2097">
        <f t="shared" si="56"/>
        <v>0</v>
      </c>
      <c r="V34" s="2097">
        <f t="shared" si="56"/>
        <v>0</v>
      </c>
      <c r="W34" s="2097">
        <f ca="1">IF(ISERROR(VLOOKUP(W$2&amp;$B34,Sheet_Trialbal,10,0)),0,VLOOKUP(W$2&amp;$B34,Sheet_Trialbal,10,0))</f>
        <v>0</v>
      </c>
      <c r="X34" s="2097">
        <f t="shared" si="57"/>
        <v>0</v>
      </c>
      <c r="Y34" s="2097">
        <f t="shared" si="57"/>
        <v>0</v>
      </c>
      <c r="Z34" s="2097">
        <f t="shared" si="57"/>
        <v>0</v>
      </c>
      <c r="AA34" s="2097">
        <f t="shared" si="57"/>
        <v>0</v>
      </c>
      <c r="AB34" s="2097">
        <f t="shared" si="57"/>
        <v>0</v>
      </c>
      <c r="AC34" s="2098">
        <f t="shared" ca="1" si="8"/>
        <v>0</v>
      </c>
      <c r="AD34" s="1803"/>
      <c r="AE34" s="1803"/>
      <c r="AF34" s="1803"/>
      <c r="AG34" s="1803"/>
    </row>
    <row r="35" spans="1:33" ht="21.95" customHeight="1">
      <c r="A35" s="2836"/>
      <c r="B35" s="2838" t="s">
        <v>5798</v>
      </c>
      <c r="C35" s="2099" t="str">
        <f>VLOOKUP(VALUE($P$2&amp;$B35),Sheet_Items,7,0)</f>
        <v>（六）其他</v>
      </c>
      <c r="D35" s="2096">
        <f>IF(ISERROR(VLOOKUP(VALUE(D$2&amp;$B35),Sheet_Trialbal,6,0)),0,VLOOKUP(VALUE(D$2&amp;$B35),Sheet_Trialbal,6,0))</f>
        <v>0</v>
      </c>
      <c r="E35" s="2096">
        <f t="shared" si="52"/>
        <v>0</v>
      </c>
      <c r="F35" s="2096">
        <f t="shared" si="52"/>
        <v>0</v>
      </c>
      <c r="G35" s="2096">
        <f t="shared" si="52"/>
        <v>0</v>
      </c>
      <c r="H35" s="2096">
        <f t="shared" si="53"/>
        <v>0</v>
      </c>
      <c r="I35" s="2096">
        <f t="shared" si="53"/>
        <v>0</v>
      </c>
      <c r="J35" s="2096">
        <f>IF(ISERROR(VLOOKUP(J$2&amp;$B35,Sheet_Trialbal,6,0)),0,VLOOKUP(J$2&amp;$B35,Sheet_Trialbal,6,0))</f>
        <v>0</v>
      </c>
      <c r="K35" s="2096">
        <f t="shared" si="54"/>
        <v>0</v>
      </c>
      <c r="L35" s="2096">
        <f t="shared" si="54"/>
        <v>0</v>
      </c>
      <c r="M35" s="2096">
        <f t="shared" si="54"/>
        <v>0</v>
      </c>
      <c r="N35" s="2096">
        <f t="shared" si="54"/>
        <v>0</v>
      </c>
      <c r="O35" s="2096">
        <f t="shared" si="54"/>
        <v>0</v>
      </c>
      <c r="P35" s="2114">
        <f t="shared" si="4"/>
        <v>0</v>
      </c>
      <c r="Q35" s="2112">
        <f>IF(ISERROR(VLOOKUP(VALUE(Q$2&amp;$B35),Sheet_Trialbal,10,0)),0,VLOOKUP(VALUE(Q$2&amp;$B35),Sheet_Trialbal,10,0))</f>
        <v>0</v>
      </c>
      <c r="R35" s="2097">
        <f t="shared" ca="1" si="55"/>
        <v>0</v>
      </c>
      <c r="S35" s="2097">
        <f t="shared" ca="1" si="55"/>
        <v>0</v>
      </c>
      <c r="T35" s="2097">
        <f t="shared" ca="1" si="55"/>
        <v>0</v>
      </c>
      <c r="U35" s="2097">
        <f t="shared" si="56"/>
        <v>0</v>
      </c>
      <c r="V35" s="2097">
        <f t="shared" si="56"/>
        <v>0</v>
      </c>
      <c r="W35" s="2097">
        <f ca="1">IF(ISERROR(VLOOKUP(W$2&amp;$B35,Sheet_Trialbal,10,0)),0,VLOOKUP(W$2&amp;$B35,Sheet_Trialbal,10,0))</f>
        <v>0</v>
      </c>
      <c r="X35" s="2097">
        <f t="shared" si="57"/>
        <v>0</v>
      </c>
      <c r="Y35" s="2097">
        <f t="shared" si="57"/>
        <v>0</v>
      </c>
      <c r="Z35" s="2097">
        <f t="shared" si="57"/>
        <v>0</v>
      </c>
      <c r="AA35" s="2097">
        <f t="shared" si="57"/>
        <v>0</v>
      </c>
      <c r="AB35" s="2097">
        <f t="shared" si="57"/>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58">SUM(D13,D14)</f>
        <v>100000000</v>
      </c>
      <c r="E36" s="2108">
        <f t="shared" si="58"/>
        <v>0</v>
      </c>
      <c r="F36" s="2108">
        <f t="shared" si="58"/>
        <v>0</v>
      </c>
      <c r="G36" s="2108">
        <f t="shared" si="58"/>
        <v>0</v>
      </c>
      <c r="H36" s="2108">
        <f t="shared" si="58"/>
        <v>0</v>
      </c>
      <c r="I36" s="2108">
        <f t="shared" si="58"/>
        <v>0</v>
      </c>
      <c r="J36" s="2108">
        <f t="shared" si="58"/>
        <v>0</v>
      </c>
      <c r="K36" s="2108">
        <f t="shared" si="58"/>
        <v>0</v>
      </c>
      <c r="L36" s="2108">
        <f t="shared" si="58"/>
        <v>418369.59</v>
      </c>
      <c r="M36" s="2108">
        <f t="shared" ref="M36" si="59">SUM(M13,M14)</f>
        <v>0</v>
      </c>
      <c r="N36" s="2108">
        <f t="shared" si="58"/>
        <v>1382585.97</v>
      </c>
      <c r="O36" s="2108">
        <f t="shared" si="58"/>
        <v>0</v>
      </c>
      <c r="P36" s="2115">
        <f t="shared" si="58"/>
        <v>101800955.56</v>
      </c>
      <c r="Q36" s="2113">
        <f t="shared" si="58"/>
        <v>100000000</v>
      </c>
      <c r="R36" s="2109">
        <f t="shared" ca="1" si="58"/>
        <v>0</v>
      </c>
      <c r="S36" s="2109">
        <f t="shared" ca="1" si="58"/>
        <v>0</v>
      </c>
      <c r="T36" s="2109">
        <f t="shared" ca="1" si="58"/>
        <v>0</v>
      </c>
      <c r="U36" s="2109">
        <f t="shared" si="58"/>
        <v>0</v>
      </c>
      <c r="V36" s="2109">
        <f t="shared" si="58"/>
        <v>0</v>
      </c>
      <c r="W36" s="2109">
        <f t="shared" ca="1" si="58"/>
        <v>0</v>
      </c>
      <c r="X36" s="2109">
        <f t="shared" si="58"/>
        <v>0</v>
      </c>
      <c r="Y36" s="2109">
        <f t="shared" si="58"/>
        <v>418369.59</v>
      </c>
      <c r="Z36" s="2109"/>
      <c r="AA36" s="2109">
        <f t="shared" si="58"/>
        <v>3765326.31</v>
      </c>
      <c r="AB36" s="2109">
        <f t="shared" si="58"/>
        <v>0</v>
      </c>
      <c r="AC36" s="2110">
        <f t="shared" ca="1" si="58"/>
        <v>104183695.90000001</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5824</v>
      </c>
      <c r="D41" s="1967"/>
      <c r="E41" s="1967"/>
      <c r="F41" s="1967"/>
      <c r="G41" s="1967"/>
      <c r="H41" s="1968"/>
      <c r="I41" s="1968"/>
      <c r="J41" s="1968"/>
      <c r="K41" s="1968"/>
      <c r="L41" s="1968"/>
      <c r="M41" s="1968"/>
      <c r="N41" s="1968"/>
      <c r="O41" s="1969" t="s">
        <v>47</v>
      </c>
      <c r="P41" s="1968"/>
      <c r="Q41" s="1970" t="s">
        <v>5841</v>
      </c>
      <c r="R41" s="1970" t="s">
        <v>2610</v>
      </c>
      <c r="S41" s="1970" t="s">
        <v>2611</v>
      </c>
      <c r="T41" s="1970" t="s">
        <v>2612</v>
      </c>
      <c r="U41" s="1971" t="s">
        <v>592</v>
      </c>
      <c r="V41" s="1971" t="s">
        <v>682</v>
      </c>
      <c r="W41" s="1971" t="s">
        <v>621</v>
      </c>
      <c r="X41" s="1971" t="s">
        <v>627</v>
      </c>
      <c r="Y41" s="1971" t="s">
        <v>602</v>
      </c>
      <c r="Z41" s="1971" t="s">
        <v>5873</v>
      </c>
      <c r="AA41" s="1971" t="s">
        <v>611</v>
      </c>
      <c r="AB41" s="1971" t="s">
        <v>932</v>
      </c>
      <c r="AC41" s="1972" t="s">
        <v>2614</v>
      </c>
      <c r="AD41" s="1973"/>
      <c r="AE41" s="1973"/>
      <c r="AF41" s="1973"/>
      <c r="AG41" s="1973"/>
    </row>
    <row r="42" spans="1:33" s="1974" customFormat="1" ht="18">
      <c r="A42" s="2879" t="s">
        <v>2565</v>
      </c>
      <c r="B42" s="2880"/>
      <c r="C42" s="1975" t="s">
        <v>5842</v>
      </c>
      <c r="D42" s="1976"/>
      <c r="E42" s="1976"/>
      <c r="F42" s="1976"/>
      <c r="G42" s="1976"/>
      <c r="H42" s="1976"/>
      <c r="I42" s="1976"/>
      <c r="J42" s="1976"/>
      <c r="K42" s="1976"/>
      <c r="L42" s="1977" t="s">
        <v>5826</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0</v>
      </c>
      <c r="D43" s="1976"/>
      <c r="E43" s="1976"/>
      <c r="F43" s="1976"/>
      <c r="G43" s="1976"/>
      <c r="H43" s="1976"/>
      <c r="I43" s="1976"/>
      <c r="J43" s="1976"/>
      <c r="K43" s="1976"/>
      <c r="L43" s="1980" t="str">
        <f>$C$13&amp;":"&amp;$D$6</f>
        <v>二、本年年初余额:2019年度</v>
      </c>
      <c r="M43" s="1980"/>
      <c r="N43" s="1978"/>
      <c r="O43" s="1978"/>
      <c r="P43" s="1893"/>
      <c r="Q43" s="1898">
        <f t="shared" ref="Q43:Z43" si="60">D13</f>
        <v>100000000</v>
      </c>
      <c r="R43" s="1898">
        <f t="shared" si="60"/>
        <v>0</v>
      </c>
      <c r="S43" s="1898">
        <f t="shared" si="60"/>
        <v>0</v>
      </c>
      <c r="T43" s="1898">
        <f t="shared" si="60"/>
        <v>0</v>
      </c>
      <c r="U43" s="1898">
        <f t="shared" si="60"/>
        <v>0</v>
      </c>
      <c r="V43" s="1898">
        <f t="shared" si="60"/>
        <v>0</v>
      </c>
      <c r="W43" s="1898">
        <f t="shared" si="60"/>
        <v>0</v>
      </c>
      <c r="X43" s="1898">
        <f t="shared" si="60"/>
        <v>0</v>
      </c>
      <c r="Y43" s="1898">
        <f t="shared" si="60"/>
        <v>418369.59</v>
      </c>
      <c r="Z43" s="1898">
        <f t="shared" si="60"/>
        <v>0</v>
      </c>
      <c r="AA43" s="1898">
        <f t="shared" ref="AA43:AC43" si="61">N13</f>
        <v>3765326.31</v>
      </c>
      <c r="AB43" s="1898">
        <f t="shared" si="61"/>
        <v>0</v>
      </c>
      <c r="AC43" s="1867">
        <f t="shared" si="61"/>
        <v>104183695.90000001</v>
      </c>
      <c r="AD43" s="1973"/>
      <c r="AE43" s="1973"/>
      <c r="AF43" s="1973"/>
      <c r="AG43" s="1973"/>
    </row>
    <row r="44" spans="1:33" s="1974" customFormat="1" ht="18">
      <c r="A44" s="2879" t="s">
        <v>2565</v>
      </c>
      <c r="B44" s="2880"/>
      <c r="C44" s="1981" t="str">
        <f ca="1">IF(C43=0,"Balanced","Diff "&amp;TEXT(ROUND(C43,2),"#,###.00"))</f>
        <v>Balanced</v>
      </c>
      <c r="D44" s="1976"/>
      <c r="E44" s="1976"/>
      <c r="F44" s="1976"/>
      <c r="G44" s="1976"/>
      <c r="H44" s="1976"/>
      <c r="I44" s="1976"/>
      <c r="J44" s="1976"/>
      <c r="K44" s="1976"/>
      <c r="L44" s="1980" t="str">
        <f>$Q$6&amp;":"&amp;$C$36</f>
        <v>2018年度:四、本年年末余额</v>
      </c>
      <c r="M44" s="1980"/>
      <c r="N44" s="1978"/>
      <c r="O44" s="1978"/>
      <c r="P44" s="1893"/>
      <c r="Q44" s="1982">
        <f t="shared" ref="Q44:AC44" si="62">Q36</f>
        <v>100000000</v>
      </c>
      <c r="R44" s="1982">
        <f t="shared" ca="1" si="62"/>
        <v>0</v>
      </c>
      <c r="S44" s="1982">
        <f t="shared" ca="1" si="62"/>
        <v>0</v>
      </c>
      <c r="T44" s="1982">
        <f t="shared" ca="1" si="62"/>
        <v>0</v>
      </c>
      <c r="U44" s="1983">
        <f t="shared" si="62"/>
        <v>0</v>
      </c>
      <c r="V44" s="1983">
        <f t="shared" si="62"/>
        <v>0</v>
      </c>
      <c r="W44" s="1983">
        <f t="shared" ca="1" si="62"/>
        <v>0</v>
      </c>
      <c r="X44" s="1983">
        <f t="shared" si="62"/>
        <v>0</v>
      </c>
      <c r="Y44" s="1983">
        <f t="shared" si="62"/>
        <v>418369.59</v>
      </c>
      <c r="Z44" s="1983">
        <f t="shared" si="62"/>
        <v>0</v>
      </c>
      <c r="AA44" s="1983">
        <f t="shared" si="62"/>
        <v>3765326.31</v>
      </c>
      <c r="AB44" s="1983">
        <f t="shared" si="62"/>
        <v>0</v>
      </c>
      <c r="AC44" s="1899">
        <f t="shared" ca="1" si="62"/>
        <v>104183695.90000001</v>
      </c>
      <c r="AD44" s="1973"/>
      <c r="AE44" s="1973"/>
      <c r="AF44" s="1973"/>
      <c r="AG44" s="1973"/>
    </row>
    <row r="45" spans="1:33" s="1974" customFormat="1" ht="18.75" thickBot="1">
      <c r="A45" s="2879" t="s">
        <v>2565</v>
      </c>
      <c r="B45" s="2880"/>
      <c r="C45" s="1984" t="s">
        <v>5829</v>
      </c>
      <c r="D45" s="1976"/>
      <c r="E45" s="1976"/>
      <c r="F45" s="1976"/>
      <c r="G45" s="1976"/>
      <c r="H45" s="1976"/>
      <c r="I45" s="1976"/>
      <c r="J45" s="1976"/>
      <c r="K45" s="1976"/>
      <c r="L45" s="1985" t="s">
        <v>2580</v>
      </c>
      <c r="M45" s="1985"/>
      <c r="N45" s="1978"/>
      <c r="O45" s="1978"/>
      <c r="P45" s="1976"/>
      <c r="Q45" s="1902">
        <f t="shared" ref="Q45:AC45" si="63">ROUND(Q43-Q44,2)</f>
        <v>0</v>
      </c>
      <c r="R45" s="1902">
        <f t="shared" ca="1" si="63"/>
        <v>0</v>
      </c>
      <c r="S45" s="1902">
        <f t="shared" ca="1" si="63"/>
        <v>0</v>
      </c>
      <c r="T45" s="1902">
        <f t="shared" ca="1" si="63"/>
        <v>0</v>
      </c>
      <c r="U45" s="1986">
        <f t="shared" si="63"/>
        <v>0</v>
      </c>
      <c r="V45" s="1986">
        <f t="shared" si="63"/>
        <v>0</v>
      </c>
      <c r="W45" s="1986">
        <f t="shared" ca="1" si="63"/>
        <v>0</v>
      </c>
      <c r="X45" s="1986">
        <f t="shared" si="63"/>
        <v>0</v>
      </c>
      <c r="Y45" s="1986">
        <f t="shared" si="63"/>
        <v>0</v>
      </c>
      <c r="Z45" s="1986">
        <f t="shared" ref="Z45" si="64">ROUND(Z43-Z44,2)</f>
        <v>0</v>
      </c>
      <c r="AA45" s="1986">
        <f t="shared" si="63"/>
        <v>0</v>
      </c>
      <c r="AB45" s="1986">
        <f t="shared" si="63"/>
        <v>0</v>
      </c>
      <c r="AC45" s="1903">
        <f t="shared" ca="1" si="63"/>
        <v>0</v>
      </c>
      <c r="AD45" s="1973"/>
      <c r="AE45" s="1973"/>
      <c r="AF45" s="1973"/>
      <c r="AG45" s="1973"/>
    </row>
    <row r="46" spans="1:33" s="1974" customFormat="1" ht="18.75" thickTop="1">
      <c r="A46" s="2879" t="s">
        <v>2565</v>
      </c>
      <c r="B46" s="2880"/>
      <c r="C46" s="1984" t="s">
        <v>5829</v>
      </c>
      <c r="D46" s="1976"/>
      <c r="E46" s="1976"/>
      <c r="F46" s="1976"/>
      <c r="G46" s="1976"/>
      <c r="H46" s="1976"/>
      <c r="I46" s="1976"/>
      <c r="J46" s="1976"/>
      <c r="K46" s="1976"/>
      <c r="L46" s="1976"/>
      <c r="M46" s="1976"/>
      <c r="N46" s="1976"/>
      <c r="O46" s="1976"/>
      <c r="P46" s="1976"/>
      <c r="Q46" s="1905" t="str">
        <f t="shared" ref="Q46:AC46" si="65">IF(Q45=0,"√","×")</f>
        <v>√</v>
      </c>
      <c r="R46" s="1905" t="str">
        <f t="shared" ca="1" si="65"/>
        <v>√</v>
      </c>
      <c r="S46" s="1905" t="str">
        <f t="shared" ca="1" si="65"/>
        <v>√</v>
      </c>
      <c r="T46" s="1905" t="str">
        <f t="shared" ca="1" si="65"/>
        <v>√</v>
      </c>
      <c r="U46" s="1987" t="str">
        <f t="shared" si="65"/>
        <v>√</v>
      </c>
      <c r="V46" s="1987" t="str">
        <f t="shared" si="65"/>
        <v>√</v>
      </c>
      <c r="W46" s="1987" t="str">
        <f t="shared" ca="1" si="65"/>
        <v>√</v>
      </c>
      <c r="X46" s="1987" t="str">
        <f t="shared" si="65"/>
        <v>√</v>
      </c>
      <c r="Y46" s="1987" t="str">
        <f t="shared" si="65"/>
        <v>√</v>
      </c>
      <c r="Z46" s="1987" t="str">
        <f t="shared" ref="Z46" si="66">IF(Z45=0,"√","×")</f>
        <v>√</v>
      </c>
      <c r="AA46" s="1987" t="str">
        <f t="shared" si="65"/>
        <v>√</v>
      </c>
      <c r="AB46" s="1987" t="str">
        <f t="shared" si="65"/>
        <v>√</v>
      </c>
      <c r="AC46" s="1906" t="str">
        <f t="shared" ca="1" si="65"/>
        <v>√</v>
      </c>
      <c r="AD46" s="1973"/>
      <c r="AE46" s="1973"/>
      <c r="AF46" s="1973"/>
      <c r="AG46" s="1973"/>
    </row>
    <row r="47" spans="1:33" s="1974" customFormat="1" ht="18">
      <c r="A47" s="2879" t="s">
        <v>2565</v>
      </c>
      <c r="B47" s="2880"/>
      <c r="C47" s="1988" t="s">
        <v>5824</v>
      </c>
      <c r="D47" s="1989" t="s">
        <v>5840</v>
      </c>
      <c r="E47" s="1990"/>
      <c r="F47" s="1990"/>
      <c r="G47" s="1990"/>
      <c r="H47" s="1991"/>
      <c r="I47" s="1991"/>
      <c r="J47" s="1991"/>
      <c r="K47" s="1991"/>
      <c r="L47" s="1991"/>
      <c r="M47" s="1991"/>
      <c r="N47" s="1991"/>
      <c r="O47" s="1991"/>
      <c r="P47" s="1992"/>
      <c r="Q47" s="1993" t="s">
        <v>5843</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5873</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5873</v>
      </c>
      <c r="AA48" s="1996" t="s">
        <v>611</v>
      </c>
      <c r="AB48" s="1996" t="s">
        <v>932</v>
      </c>
      <c r="AC48" s="1999" t="s">
        <v>2614</v>
      </c>
      <c r="AD48" s="1973"/>
      <c r="AE48" s="1973"/>
      <c r="AF48" s="1973"/>
      <c r="AG48" s="1973"/>
    </row>
    <row r="49" spans="1:33" s="1974" customFormat="1" ht="18">
      <c r="A49" s="2879" t="s">
        <v>2565</v>
      </c>
      <c r="B49" s="2880"/>
      <c r="C49" s="2000" t="s">
        <v>5844</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67">D36</f>
        <v>100000000</v>
      </c>
      <c r="E50" s="1873">
        <f t="shared" si="67"/>
        <v>0</v>
      </c>
      <c r="F50" s="1873">
        <f t="shared" si="67"/>
        <v>0</v>
      </c>
      <c r="G50" s="1873">
        <f t="shared" si="67"/>
        <v>0</v>
      </c>
      <c r="H50" s="1873">
        <f t="shared" si="67"/>
        <v>0</v>
      </c>
      <c r="I50" s="1873">
        <f t="shared" si="67"/>
        <v>0</v>
      </c>
      <c r="J50" s="1873">
        <f t="shared" si="67"/>
        <v>0</v>
      </c>
      <c r="K50" s="1873">
        <f t="shared" si="67"/>
        <v>0</v>
      </c>
      <c r="L50" s="1873">
        <f t="shared" si="67"/>
        <v>418369.59</v>
      </c>
      <c r="M50" s="1873">
        <f t="shared" si="67"/>
        <v>0</v>
      </c>
      <c r="N50" s="1873">
        <f t="shared" si="67"/>
        <v>1382585.97</v>
      </c>
      <c r="O50" s="1873">
        <f t="shared" si="67"/>
        <v>0</v>
      </c>
      <c r="P50" s="2003">
        <f t="shared" si="67"/>
        <v>101800955.56</v>
      </c>
      <c r="Q50" s="1982">
        <f t="shared" si="67"/>
        <v>100000000</v>
      </c>
      <c r="R50" s="1982">
        <f t="shared" ca="1" si="67"/>
        <v>0</v>
      </c>
      <c r="S50" s="1982">
        <f t="shared" ca="1" si="67"/>
        <v>0</v>
      </c>
      <c r="T50" s="1982">
        <f t="shared" ca="1" si="67"/>
        <v>0</v>
      </c>
      <c r="U50" s="1983">
        <f t="shared" si="67"/>
        <v>0</v>
      </c>
      <c r="V50" s="1983">
        <f t="shared" si="67"/>
        <v>0</v>
      </c>
      <c r="W50" s="1983">
        <f t="shared" ca="1" si="67"/>
        <v>0</v>
      </c>
      <c r="X50" s="1983">
        <f t="shared" si="67"/>
        <v>0</v>
      </c>
      <c r="Y50" s="1983">
        <f t="shared" si="67"/>
        <v>418369.59</v>
      </c>
      <c r="Z50" s="1983">
        <f t="shared" si="67"/>
        <v>0</v>
      </c>
      <c r="AA50" s="1983">
        <f t="shared" si="67"/>
        <v>3765326.31</v>
      </c>
      <c r="AB50" s="1983">
        <f t="shared" si="67"/>
        <v>0</v>
      </c>
      <c r="AC50" s="1899">
        <f t="shared" ca="1" si="67"/>
        <v>104183695.90000001</v>
      </c>
      <c r="AD50" s="1973"/>
      <c r="AE50" s="1973"/>
      <c r="AF50" s="1973"/>
      <c r="AG50" s="1973"/>
    </row>
    <row r="51" spans="1:33" s="1974" customFormat="1" ht="18">
      <c r="A51" s="2879" t="s">
        <v>2565</v>
      </c>
      <c r="B51" s="2880"/>
      <c r="C51" s="2004" t="s">
        <v>5845</v>
      </c>
      <c r="D51" s="1873">
        <f>BS!K38</f>
        <v>100000000</v>
      </c>
      <c r="E51" s="1873">
        <f>BS!K40</f>
        <v>0</v>
      </c>
      <c r="F51" s="1873">
        <f>BS!K41</f>
        <v>0</v>
      </c>
      <c r="G51" s="1873">
        <f>BS!K39-BS!K40-BS!K41</f>
        <v>0</v>
      </c>
      <c r="H51" s="1873">
        <f>BS!K42</f>
        <v>0</v>
      </c>
      <c r="I51" s="1873">
        <f>BS!K43</f>
        <v>0</v>
      </c>
      <c r="J51" s="1873">
        <f>BS!K44</f>
        <v>0</v>
      </c>
      <c r="K51" s="1873">
        <f>BS!K45</f>
        <v>0</v>
      </c>
      <c r="L51" s="1873">
        <f>BS!K46</f>
        <v>418369.59</v>
      </c>
      <c r="M51" s="1873">
        <f>BS!K47</f>
        <v>0</v>
      </c>
      <c r="N51" s="1873">
        <f>BS!K48</f>
        <v>1382585.97</v>
      </c>
      <c r="O51" s="1873"/>
      <c r="P51" s="2003">
        <f>BS!K49</f>
        <v>101800955.56</v>
      </c>
      <c r="Q51" s="1982">
        <f>BS!L38</f>
        <v>100000000</v>
      </c>
      <c r="R51" s="1982">
        <f>BS!L40</f>
        <v>0</v>
      </c>
      <c r="S51" s="1982">
        <f>BS!L41</f>
        <v>0</v>
      </c>
      <c r="T51" s="1982">
        <f>BS!L39-BS!L40-BS!L41</f>
        <v>0</v>
      </c>
      <c r="U51" s="1983">
        <f>BS!L42</f>
        <v>0</v>
      </c>
      <c r="V51" s="1983">
        <f>BS!L43</f>
        <v>0</v>
      </c>
      <c r="W51" s="1983">
        <f>BS!L44</f>
        <v>0</v>
      </c>
      <c r="X51" s="1983">
        <f>BS!L45</f>
        <v>0</v>
      </c>
      <c r="Y51" s="1983">
        <f>BS!L46</f>
        <v>418369.59</v>
      </c>
      <c r="Z51" s="1983">
        <f>BS!L47</f>
        <v>0</v>
      </c>
      <c r="AA51" s="1983">
        <f>BS!L48</f>
        <v>3765326.31</v>
      </c>
      <c r="AB51" s="1983"/>
      <c r="AC51" s="1899">
        <f>BS!L49</f>
        <v>104183695.90000001</v>
      </c>
      <c r="AD51" s="1973"/>
      <c r="AE51" s="1973"/>
      <c r="AF51" s="1973"/>
      <c r="AG51" s="1973"/>
    </row>
    <row r="52" spans="1:33" s="1974" customFormat="1" ht="18.75" thickBot="1">
      <c r="A52" s="2879" t="s">
        <v>2565</v>
      </c>
      <c r="B52" s="2880"/>
      <c r="C52" s="2005" t="s">
        <v>2580</v>
      </c>
      <c r="D52" s="1986">
        <f t="shared" ref="D52:AC52" si="68">ROUND(D50-D51,2)</f>
        <v>0</v>
      </c>
      <c r="E52" s="1986">
        <f t="shared" si="68"/>
        <v>0</v>
      </c>
      <c r="F52" s="1986">
        <f t="shared" si="68"/>
        <v>0</v>
      </c>
      <c r="G52" s="1986">
        <f t="shared" si="68"/>
        <v>0</v>
      </c>
      <c r="H52" s="1986">
        <f t="shared" si="68"/>
        <v>0</v>
      </c>
      <c r="I52" s="1986">
        <f t="shared" si="68"/>
        <v>0</v>
      </c>
      <c r="J52" s="1986">
        <f t="shared" si="68"/>
        <v>0</v>
      </c>
      <c r="K52" s="1986">
        <f t="shared" si="68"/>
        <v>0</v>
      </c>
      <c r="L52" s="1986">
        <f t="shared" si="68"/>
        <v>0</v>
      </c>
      <c r="M52" s="1986">
        <f t="shared" ref="M52" si="69">ROUND(M50-M51,2)</f>
        <v>0</v>
      </c>
      <c r="N52" s="1986">
        <f t="shared" si="68"/>
        <v>0</v>
      </c>
      <c r="O52" s="1986">
        <f t="shared" si="68"/>
        <v>0</v>
      </c>
      <c r="P52" s="2006">
        <f t="shared" si="68"/>
        <v>0</v>
      </c>
      <c r="Q52" s="1902">
        <f t="shared" si="68"/>
        <v>0</v>
      </c>
      <c r="R52" s="1902">
        <f t="shared" ca="1" si="68"/>
        <v>0</v>
      </c>
      <c r="S52" s="1902">
        <f t="shared" ca="1" si="68"/>
        <v>0</v>
      </c>
      <c r="T52" s="1902">
        <f t="shared" ca="1" si="68"/>
        <v>0</v>
      </c>
      <c r="U52" s="1986">
        <f t="shared" si="68"/>
        <v>0</v>
      </c>
      <c r="V52" s="1986">
        <f t="shared" si="68"/>
        <v>0</v>
      </c>
      <c r="W52" s="1986">
        <f t="shared" ca="1" si="68"/>
        <v>0</v>
      </c>
      <c r="X52" s="1986">
        <f t="shared" si="68"/>
        <v>0</v>
      </c>
      <c r="Y52" s="1986">
        <f t="shared" si="68"/>
        <v>0</v>
      </c>
      <c r="Z52" s="1986">
        <f t="shared" ref="Z52" si="70">ROUND(Z50-Z51,2)</f>
        <v>0</v>
      </c>
      <c r="AA52" s="1986">
        <f t="shared" si="68"/>
        <v>0</v>
      </c>
      <c r="AB52" s="1986">
        <f t="shared" si="68"/>
        <v>0</v>
      </c>
      <c r="AC52" s="1903">
        <f t="shared" ca="1" si="68"/>
        <v>0</v>
      </c>
      <c r="AD52" s="1973"/>
      <c r="AE52" s="1973"/>
      <c r="AF52" s="1973"/>
      <c r="AG52" s="1973"/>
    </row>
    <row r="53" spans="1:33" s="1974" customFormat="1" ht="19.5" thickTop="1" thickBot="1">
      <c r="A53" s="2879" t="s">
        <v>2565</v>
      </c>
      <c r="B53" s="2880"/>
      <c r="C53" s="2007" t="s">
        <v>5820</v>
      </c>
      <c r="D53" s="2008" t="str">
        <f t="shared" ref="D53:AC53" si="71">IF(D52=0,"√","×")</f>
        <v>√</v>
      </c>
      <c r="E53" s="2008" t="str">
        <f t="shared" si="71"/>
        <v>√</v>
      </c>
      <c r="F53" s="2008" t="str">
        <f t="shared" si="71"/>
        <v>√</v>
      </c>
      <c r="G53" s="2008" t="str">
        <f t="shared" si="71"/>
        <v>√</v>
      </c>
      <c r="H53" s="2008" t="str">
        <f t="shared" si="71"/>
        <v>√</v>
      </c>
      <c r="I53" s="2008" t="str">
        <f t="shared" si="71"/>
        <v>√</v>
      </c>
      <c r="J53" s="2008" t="str">
        <f t="shared" si="71"/>
        <v>√</v>
      </c>
      <c r="K53" s="2008" t="str">
        <f t="shared" si="71"/>
        <v>√</v>
      </c>
      <c r="L53" s="2008" t="str">
        <f t="shared" si="71"/>
        <v>√</v>
      </c>
      <c r="M53" s="2008" t="str">
        <f t="shared" ref="M53" si="72">IF(M52=0,"√","×")</f>
        <v>√</v>
      </c>
      <c r="N53" s="2008" t="str">
        <f t="shared" si="71"/>
        <v>√</v>
      </c>
      <c r="O53" s="2008" t="str">
        <f t="shared" si="71"/>
        <v>√</v>
      </c>
      <c r="P53" s="2009" t="str">
        <f t="shared" si="71"/>
        <v>√</v>
      </c>
      <c r="Q53" s="2010" t="str">
        <f t="shared" si="71"/>
        <v>√</v>
      </c>
      <c r="R53" s="2010" t="str">
        <f t="shared" ca="1" si="71"/>
        <v>√</v>
      </c>
      <c r="S53" s="2010" t="str">
        <f t="shared" ca="1" si="71"/>
        <v>√</v>
      </c>
      <c r="T53" s="2010" t="str">
        <f t="shared" ca="1" si="71"/>
        <v>√</v>
      </c>
      <c r="U53" s="2008" t="str">
        <f t="shared" si="71"/>
        <v>√</v>
      </c>
      <c r="V53" s="2008" t="str">
        <f t="shared" si="71"/>
        <v>√</v>
      </c>
      <c r="W53" s="2008" t="str">
        <f t="shared" ca="1" si="71"/>
        <v>√</v>
      </c>
      <c r="X53" s="2008" t="str">
        <f t="shared" si="71"/>
        <v>√</v>
      </c>
      <c r="Y53" s="2008" t="str">
        <f t="shared" si="71"/>
        <v>√</v>
      </c>
      <c r="Z53" s="2008" t="str">
        <f t="shared" ref="Z53" si="73">IF(Z52=0,"√","×")</f>
        <v>√</v>
      </c>
      <c r="AA53" s="2008" t="str">
        <f t="shared" si="71"/>
        <v>√</v>
      </c>
      <c r="AB53" s="2008" t="str">
        <f t="shared" si="71"/>
        <v>√</v>
      </c>
      <c r="AC53" s="2011" t="str">
        <f t="shared" ca="1" si="71"/>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AB7:AB8"/>
    <mergeCell ref="AC7:AC8"/>
    <mergeCell ref="V7:V8"/>
    <mergeCell ref="W7:W8"/>
    <mergeCell ref="X7:X8"/>
    <mergeCell ref="Y7:Y8"/>
    <mergeCell ref="AA7:AA8"/>
    <mergeCell ref="Z7:Z8"/>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s>
  <phoneticPr fontId="163" type="noConversion"/>
  <conditionalFormatting sqref="C43 Q45:AC45 D52:AC52">
    <cfRule type="cellIs" dxfId="73" priority="128" stopIfTrue="1" operator="notEqual">
      <formula>0</formula>
    </cfRule>
  </conditionalFormatting>
  <conditionalFormatting sqref="C47:C48 C41">
    <cfRule type="expression" dxfId="72" priority="127" stopIfTrue="1">
      <formula>#REF!=TRUE</formula>
    </cfRule>
  </conditionalFormatting>
  <conditionalFormatting sqref="C47:C48 C41">
    <cfRule type="expression" dxfId="71"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9" workbookViewId="0">
      <selection activeCell="F9" sqref="F9"/>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北京天马金信供应链管理有限公司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43864</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3"/>
      <c r="U6" s="1647" t="s">
        <v>6790</v>
      </c>
    </row>
    <row r="7" spans="1:21" ht="12.75" thickTop="1">
      <c r="A7" s="1647"/>
      <c r="B7" s="1647"/>
      <c r="C7" s="1647"/>
      <c r="D7" s="876"/>
      <c r="E7" s="877"/>
      <c r="F7" s="878" t="s">
        <v>2437</v>
      </c>
      <c r="G7" s="879"/>
      <c r="H7" s="879"/>
      <c r="I7" s="906"/>
      <c r="J7" s="907" t="s">
        <v>2444</v>
      </c>
      <c r="K7" s="908"/>
      <c r="L7" s="908"/>
      <c r="M7" s="909"/>
      <c r="N7" s="641"/>
      <c r="O7" s="641"/>
      <c r="P7" s="641"/>
      <c r="Q7" s="641"/>
      <c r="T7" s="3054"/>
      <c r="U7" s="3061"/>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5">
        <v>1</v>
      </c>
      <c r="U9" s="3063"/>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5">
        <v>1000</v>
      </c>
      <c r="U10" s="3063"/>
    </row>
    <row r="11" spans="1:21" ht="18">
      <c r="A11" s="1648">
        <f t="shared" si="0"/>
        <v>0</v>
      </c>
      <c r="B11" s="1647">
        <f t="shared" si="1"/>
        <v>1</v>
      </c>
      <c r="C11" s="1647" t="str">
        <f t="shared" si="2"/>
        <v>J</v>
      </c>
      <c r="D11" s="1659">
        <v>1015</v>
      </c>
      <c r="E11" s="886" t="str">
        <f t="shared" si="3"/>
        <v>货币资金</v>
      </c>
      <c r="F11" s="884">
        <f t="shared" ref="F11:F62" si="4">VLOOKUP($D11,Sheet_Prebs1,4,0)</f>
        <v>4299668.37</v>
      </c>
      <c r="G11" s="885">
        <f>SUMIF(AJE!$B:$B,$C11&amp;$D11&amp;"*",AJE!$O:$O)</f>
        <v>0</v>
      </c>
      <c r="H11" s="885">
        <f>SUMIF(AJE!$B:$B,$C11&amp;$D11&amp;"*",AJE!$P:$P)</f>
        <v>0</v>
      </c>
      <c r="I11" s="913">
        <f>($B11*F11+G11-H11)*$B11</f>
        <v>4299668.37</v>
      </c>
      <c r="J11" s="914">
        <f t="shared" ref="J11:J62" si="5">VLOOKUP($D11,Sheet_Prebs1,5,0)</f>
        <v>91308.84</v>
      </c>
      <c r="K11" s="885">
        <f>SUMIF('AJE1'!$B:$B,$C11&amp;$D11&amp;"*",'AJE1'!$O:$O)</f>
        <v>0</v>
      </c>
      <c r="L11" s="885">
        <f>SUMIF('AJE1'!$B:$B,$C11&amp;$D11&amp;"*",'AJE1'!$P:$P)</f>
        <v>0</v>
      </c>
      <c r="M11" s="891">
        <f t="shared" ref="M11:M62" si="6">($B11*J11+K11-L11)*$B11</f>
        <v>91308.84</v>
      </c>
      <c r="N11" s="641"/>
      <c r="O11" s="641"/>
      <c r="P11" s="641"/>
      <c r="Q11" s="641"/>
      <c r="T11" s="3055">
        <v>1015</v>
      </c>
      <c r="U11" s="3063">
        <v>91308.84</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3">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3">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3">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3">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3">
        <v>0</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1200000</v>
      </c>
      <c r="G17" s="885">
        <f>SUMIF(AJE!$B:$B,$C17&amp;$D17&amp;"*",AJE!$O:$O)+SUMIF(AJE!$B:$B,"J1121*",AJE!$O:$O)+SUMIF(AJE!$B:$B,"J1122*",AJE!$O:$O)</f>
        <v>0</v>
      </c>
      <c r="H17" s="885">
        <f>SUMIF(AJE!$B:$B,$C17&amp;$D17&amp;"*",AJE!$P:$P)+SUMIF(AJE!$B:$B,"J1121*",AJE!$P:$P)+SUMIF(AJE!$B:$B,"J1122*",AJE!$P:$P)</f>
        <v>0</v>
      </c>
      <c r="I17" s="913">
        <f>($B17*F17+G17-H17)*$B17</f>
        <v>1200000</v>
      </c>
      <c r="J17" s="914">
        <f>SUM(J18:J19)</f>
        <v>0</v>
      </c>
      <c r="K17" s="885">
        <f>SUMIF('AJE1'!$B:$B,$C17&amp;$D17&amp;"*",'AJE1'!$O:$O)+SUMIF('AJE1'!$B:$B,"J1121*",'AJE1'!$O:$O)+SUMIF('AJE1'!$B:$B,"J1122*",'AJE1'!$O:$O)</f>
        <v>0</v>
      </c>
      <c r="L17" s="885">
        <f>SUMIF('AJE1'!$B:$B,$C17&amp;$D17&amp;"*",'AJE1'!$P:$P)+SUMIF('AJE1'!$B:$B,"J1121*",'AJE1'!$P:$P)+SUMIF('AJE1'!$B:$B,"J1122*",'AJE1'!$P:$P)</f>
        <v>0</v>
      </c>
      <c r="M17" s="891">
        <f t="shared" si="6"/>
        <v>0</v>
      </c>
      <c r="N17" s="641"/>
      <c r="O17" s="641"/>
      <c r="P17" s="641"/>
      <c r="Q17" s="641"/>
      <c r="T17" s="3055">
        <v>1121</v>
      </c>
      <c r="U17" s="3063">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5">
        <v>1122</v>
      </c>
      <c r="U18" s="3063">
        <v>0</v>
      </c>
    </row>
    <row r="19" spans="1:21" ht="18">
      <c r="A19" s="1648">
        <f t="shared" si="0"/>
        <v>0</v>
      </c>
      <c r="B19" s="1647">
        <f t="shared" si="1"/>
        <v>1</v>
      </c>
      <c r="C19" s="1647" t="str">
        <f t="shared" si="2"/>
        <v>J</v>
      </c>
      <c r="D19" s="1659">
        <v>1122</v>
      </c>
      <c r="E19" s="886" t="str">
        <f t="shared" si="3"/>
        <v>应收账款</v>
      </c>
      <c r="F19" s="884">
        <f t="shared" si="4"/>
        <v>1200000</v>
      </c>
      <c r="G19" s="885">
        <f>SUMIF(AJE!$B:$B,$C19&amp;$D19&amp;"*",AJE!$O:$O)</f>
        <v>0</v>
      </c>
      <c r="H19" s="885">
        <f>SUMIF(AJE!$B:$B,$C19&amp;$D19&amp;"*",AJE!$P:$P)</f>
        <v>0</v>
      </c>
      <c r="I19" s="913">
        <f t="shared" si="7"/>
        <v>1200000</v>
      </c>
      <c r="J19" s="914">
        <f t="shared" si="5"/>
        <v>0</v>
      </c>
      <c r="K19" s="885">
        <f>SUMIF('AJE1'!$B:$B,$C19&amp;$D19&amp;"*",'AJE1'!$O:$O)</f>
        <v>0</v>
      </c>
      <c r="L19" s="885">
        <f>SUMIF('AJE1'!$B:$B,$C19&amp;$D19&amp;"*",'AJE1'!$P:$P)</f>
        <v>0</v>
      </c>
      <c r="M19" s="891">
        <f t="shared" si="6"/>
        <v>0</v>
      </c>
      <c r="N19" s="641"/>
      <c r="O19" s="641"/>
      <c r="P19" s="641"/>
      <c r="Q19" s="641"/>
      <c r="T19" s="3055">
        <v>1125</v>
      </c>
      <c r="U19" s="3063">
        <v>0</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5">
        <v>1127</v>
      </c>
      <c r="U20" s="3063">
        <v>0</v>
      </c>
    </row>
    <row r="21" spans="1:21" ht="18">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0</v>
      </c>
      <c r="K21" s="885">
        <f>SUMIF('AJE1'!$B:$B,$C21&amp;$D21&amp;"*",'AJE1'!$O:$O)</f>
        <v>0</v>
      </c>
      <c r="L21" s="885">
        <f>SUMIF('AJE1'!$B:$B,$C21&amp;$D21&amp;"*",'AJE1'!$P:$P)</f>
        <v>0</v>
      </c>
      <c r="M21" s="891">
        <f t="shared" si="6"/>
        <v>0</v>
      </c>
      <c r="N21" s="641"/>
      <c r="O21" s="641"/>
      <c r="P21" s="641"/>
      <c r="Q21" s="641"/>
      <c r="T21" s="3055">
        <v>1211</v>
      </c>
      <c r="U21" s="3063">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3">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3">
        <v>35000000</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3">
        <v>0</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50300000</v>
      </c>
      <c r="G25" s="885">
        <f>SUMIF(AJE!$B:$B,"J1221*",AJE!$O:$O)+SUMIF(AJE!$B:$B,"J1132*",AJE!$O:$O)+SUMIF(AJE!$B:$B,"J1131*",AJE!$O:$O)</f>
        <v>0</v>
      </c>
      <c r="H25" s="885">
        <f>SUMIF(AJE!$B:$B,"J1221*",AJE!$P:$P)+SUMIF(AJE!$B:$B,"J1132*",AJE!$P:$P)+SUMIF(AJE!$B:$B,"J1131*",AJE!$P:$P)</f>
        <v>0</v>
      </c>
      <c r="I25" s="913">
        <f>($B25*F25+G25-H25)*$B25</f>
        <v>50300000</v>
      </c>
      <c r="J25" s="914">
        <f t="shared" si="5"/>
        <v>35000000</v>
      </c>
      <c r="K25" s="885">
        <f>SUMIF('AJE1'!$B:$B,"J1221*",'AJE1'!$O:$O)+SUMIF('AJE1'!$B:$B,"J1132*",'AJE1'!$O:$O)+SUMIF('AJE1'!$B:$B,"J1131*",'AJE1'!$O:$O)</f>
        <v>0</v>
      </c>
      <c r="L25" s="885">
        <f>SUMIF('AJE1'!$B:$B,"J1221*",'AJE1'!$P:$P)+SUMIF('AJE1'!$B:$B,"J1132*",'AJE1'!$P:$P)+SUMIF('AJE1'!$B:$B,"J1131*",'AJE1'!$P:$P)</f>
        <v>0</v>
      </c>
      <c r="M25" s="891">
        <f t="shared" si="6"/>
        <v>35000000</v>
      </c>
      <c r="N25" s="641"/>
      <c r="O25" s="641"/>
      <c r="P25" s="641"/>
      <c r="Q25" s="641"/>
      <c r="T25" s="3055">
        <v>1131</v>
      </c>
      <c r="U25" s="3063">
        <v>0</v>
      </c>
    </row>
    <row r="26" spans="1:21" ht="18">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3">
        <v>35000000</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3">
        <v>0</v>
      </c>
    </row>
    <row r="28" spans="1:21" ht="18">
      <c r="A28" s="1648">
        <f t="shared" si="0"/>
        <v>0</v>
      </c>
      <c r="B28" s="1647">
        <f t="shared" si="1"/>
        <v>1</v>
      </c>
      <c r="C28" s="1647" t="str">
        <f t="shared" si="2"/>
        <v>J</v>
      </c>
      <c r="D28" s="1659">
        <v>1221</v>
      </c>
      <c r="E28" s="2185" t="str">
        <f t="shared" si="3"/>
        <v>其他应收款</v>
      </c>
      <c r="F28" s="884">
        <f t="shared" si="4"/>
        <v>50300000</v>
      </c>
      <c r="G28" s="885">
        <f>SUMIF(AJE!$B:$B,$C28&amp;$D28&amp;"*",AJE!$O:$O)</f>
        <v>0</v>
      </c>
      <c r="H28" s="885">
        <f>SUMIF(AJE!$B:$B,$C28&amp;$D28&amp;"*",AJE!$P:$P)</f>
        <v>0</v>
      </c>
      <c r="I28" s="913">
        <f t="shared" si="7"/>
        <v>50300000</v>
      </c>
      <c r="J28" s="914">
        <f t="shared" si="5"/>
        <v>35000000</v>
      </c>
      <c r="K28" s="885">
        <f>SUMIF('AJE1'!$B:$B,$C28&amp;$D28&amp;"*",'AJE1'!$O:$O)</f>
        <v>0</v>
      </c>
      <c r="L28" s="885">
        <f>SUMIF('AJE1'!$B:$B,$C28&amp;$D28&amp;"*",'AJE1'!$P:$P)</f>
        <v>0</v>
      </c>
      <c r="M28" s="891">
        <f t="shared" si="6"/>
        <v>35000000</v>
      </c>
      <c r="N28" s="641"/>
      <c r="O28" s="641"/>
      <c r="P28" s="641"/>
      <c r="Q28" s="641"/>
      <c r="T28" s="3055">
        <v>1400</v>
      </c>
      <c r="U28" s="3063">
        <v>17540765.449999999</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3">
        <v>0</v>
      </c>
    </row>
    <row r="30" spans="1:21"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17540765.449999999</v>
      </c>
      <c r="K30" s="885">
        <f>SUMIF('AJE1'!$B:$B,$C30&amp;$D30&amp;"*",'AJE1'!$O:$O)</f>
        <v>0</v>
      </c>
      <c r="L30" s="885">
        <f>SUMIF('AJE1'!$B:$B,$C30&amp;$D30&amp;"*",'AJE1'!$P:$P)</f>
        <v>0</v>
      </c>
      <c r="M30" s="891">
        <f t="shared" si="6"/>
        <v>17540765.449999999</v>
      </c>
      <c r="N30" s="641"/>
      <c r="O30" s="641"/>
      <c r="P30" s="641"/>
      <c r="Q30" s="641"/>
      <c r="T30" s="3055">
        <v>1495</v>
      </c>
      <c r="U30" s="3063">
        <v>0</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3">
        <v>2966551.07</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3">
        <v>55598625.359999999</v>
      </c>
    </row>
    <row r="33" spans="1:21"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3"/>
    </row>
    <row r="34" spans="1:21"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2966551.07</v>
      </c>
      <c r="K34" s="885">
        <f>SUMIF('AJE1'!$B:$B,$C34&amp;$D34&amp;"*",'AJE1'!$O:$O)</f>
        <v>0</v>
      </c>
      <c r="L34" s="885">
        <f>SUMIF('AJE1'!$B:$B,$C34&amp;$D34&amp;"*",'AJE1'!$P:$P)</f>
        <v>0</v>
      </c>
      <c r="M34" s="891">
        <f t="shared" si="6"/>
        <v>2966551.07</v>
      </c>
      <c r="N34" s="641"/>
      <c r="O34" s="641"/>
      <c r="P34" s="641"/>
      <c r="Q34" s="641"/>
      <c r="T34" s="3055">
        <v>1600</v>
      </c>
      <c r="U34" s="3063">
        <v>0</v>
      </c>
    </row>
    <row r="35" spans="1:21" ht="18">
      <c r="A35" s="1648" t="str">
        <f t="shared" si="0"/>
        <v>＝</v>
      </c>
      <c r="B35" s="1647">
        <f t="shared" si="1"/>
        <v>0</v>
      </c>
      <c r="C35" s="1647">
        <f t="shared" si="2"/>
        <v>0</v>
      </c>
      <c r="D35" s="1659">
        <v>1498</v>
      </c>
      <c r="E35" s="888" t="str">
        <f t="shared" si="3"/>
        <v>流动资产</v>
      </c>
      <c r="F35" s="884">
        <f>SUM(F11:F34)-SUM(F17,F26,F27,F28)</f>
        <v>55799668.369999997</v>
      </c>
      <c r="G35" s="885">
        <f t="shared" ref="G35:M35" si="11">SUM(G11:G34)-SUM(G17,G26,G27,G28)</f>
        <v>0</v>
      </c>
      <c r="H35" s="885">
        <f t="shared" si="11"/>
        <v>0</v>
      </c>
      <c r="I35" s="913">
        <f t="shared" si="11"/>
        <v>55799668.369999997</v>
      </c>
      <c r="J35" s="914">
        <f t="shared" si="11"/>
        <v>55598625.359999999</v>
      </c>
      <c r="K35" s="885">
        <f t="shared" si="11"/>
        <v>0</v>
      </c>
      <c r="L35" s="885">
        <f t="shared" si="11"/>
        <v>0</v>
      </c>
      <c r="M35" s="891">
        <f t="shared" si="11"/>
        <v>55598625.359999999</v>
      </c>
      <c r="N35" s="641"/>
      <c r="O35" s="641"/>
      <c r="P35" s="641"/>
      <c r="Q35" s="641"/>
      <c r="T35" s="3055">
        <v>1503</v>
      </c>
      <c r="U35" s="3063">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5">
        <v>1501</v>
      </c>
      <c r="U36" s="3063">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3">
        <v>0</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3">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3">
        <v>162000000</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3">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3">
        <v>16540.18</v>
      </c>
    </row>
    <row r="42" spans="1:21"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3">
        <v>16540.18</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3">
        <v>0</v>
      </c>
    </row>
    <row r="44" spans="1:21" ht="18">
      <c r="A44" s="1648">
        <f t="shared" si="0"/>
        <v>0</v>
      </c>
      <c r="B44" s="1647">
        <f t="shared" si="1"/>
        <v>1</v>
      </c>
      <c r="C44" s="1647" t="str">
        <f t="shared" si="2"/>
        <v>J</v>
      </c>
      <c r="D44" s="1659">
        <v>1511</v>
      </c>
      <c r="E44" s="888" t="str">
        <f t="shared" si="3"/>
        <v>长期股权投资</v>
      </c>
      <c r="F44" s="884">
        <f t="shared" si="4"/>
        <v>50000000</v>
      </c>
      <c r="G44" s="885">
        <f>SUMIF(AJE!$B:$B,$C44&amp;$D44&amp;"*",AJE!$O:$O)</f>
        <v>0</v>
      </c>
      <c r="H44" s="885">
        <f>SUMIF(AJE!$B:$B,$C44&amp;$D44&amp;"*",AJE!$P:$P)</f>
        <v>0</v>
      </c>
      <c r="I44" s="913">
        <f t="shared" si="12"/>
        <v>50000000</v>
      </c>
      <c r="J44" s="914">
        <f t="shared" si="5"/>
        <v>162000000</v>
      </c>
      <c r="K44" s="885">
        <f>SUMIF('AJE1'!$B:$B,$C44&amp;$D44&amp;"*",'AJE1'!$O:$O)</f>
        <v>0</v>
      </c>
      <c r="L44" s="885">
        <f>SUMIF('AJE1'!$B:$B,$C44&amp;$D44&amp;"*",'AJE1'!$P:$P)</f>
        <v>0</v>
      </c>
      <c r="M44" s="891">
        <f t="shared" si="6"/>
        <v>162000000</v>
      </c>
      <c r="N44" s="641"/>
      <c r="O44" s="641"/>
      <c r="P44" s="641"/>
      <c r="Q44" s="641"/>
      <c r="T44" s="3055">
        <v>1616</v>
      </c>
      <c r="U44" s="3063">
        <v>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3">
        <v>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3">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3">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11018.74</v>
      </c>
      <c r="G48" s="885">
        <f>SUMIF(AJE!$B:$B,"J1601*",AJE!$O:$O)+SUMIF(AJE!$B:$B,"J1606*",AJE!$O:$O)</f>
        <v>0</v>
      </c>
      <c r="H48" s="885">
        <f>SUMIF(AJE!$B:$B,"J1601*",AJE!$P:$P)+SUMIF(AJE!$B:$B,"J1606*",AJE!$P:$P)</f>
        <v>0</v>
      </c>
      <c r="I48" s="913">
        <f>($B48*F48+G48-H48)*$B48</f>
        <v>11018.74</v>
      </c>
      <c r="J48" s="914">
        <f t="shared" si="5"/>
        <v>16540.18</v>
      </c>
      <c r="K48" s="885">
        <f>SUMIF('AJE1'!$B:$B,"J1601*",'AJE1'!$O:$O)+SUMIF('AJE1'!$B:$B,"J1606*",'AJE1'!$O:$O)</f>
        <v>0</v>
      </c>
      <c r="L48" s="885">
        <f>SUMIF('AJE1'!$B:$B,"J1601*",'AJE1'!$P:$P)+SUMIF('AJE1'!$B:$B,"J1606*",'AJE1'!$P:$P)</f>
        <v>0</v>
      </c>
      <c r="M48" s="891">
        <f t="shared" si="6"/>
        <v>16540.18</v>
      </c>
      <c r="N48" s="641"/>
      <c r="O48" s="641"/>
      <c r="P48" s="641"/>
      <c r="Q48" s="641"/>
      <c r="T48" s="3055">
        <v>1631</v>
      </c>
      <c r="U48" s="3063">
        <v>0</v>
      </c>
    </row>
    <row r="49" spans="1:21" ht="18">
      <c r="A49" s="1648">
        <f t="shared" si="0"/>
        <v>0</v>
      </c>
      <c r="B49" s="1647">
        <f t="shared" si="1"/>
        <v>1</v>
      </c>
      <c r="C49" s="1647" t="str">
        <f t="shared" si="2"/>
        <v>J</v>
      </c>
      <c r="D49" s="1659">
        <v>1601</v>
      </c>
      <c r="E49" s="2188" t="str">
        <f t="shared" si="3"/>
        <v>固定资产</v>
      </c>
      <c r="F49" s="884">
        <f t="shared" si="4"/>
        <v>11018.74</v>
      </c>
      <c r="G49" s="885">
        <f>SUMIF(AJE!$B:$B,$C49&amp;$D49&amp;"*",AJE!$O:$O)</f>
        <v>0</v>
      </c>
      <c r="H49" s="885">
        <f>SUMIF(AJE!$B:$B,$C49&amp;$D49&amp;"*",AJE!$P:$P)</f>
        <v>0</v>
      </c>
      <c r="I49" s="913">
        <f t="shared" si="12"/>
        <v>11018.74</v>
      </c>
      <c r="J49" s="914">
        <f t="shared" si="5"/>
        <v>16540.18</v>
      </c>
      <c r="K49" s="885">
        <f>SUMIF('AJE1'!$B:$B,$C49&amp;$D49&amp;"*",'AJE1'!$O:$O)</f>
        <v>0</v>
      </c>
      <c r="L49" s="885">
        <f>SUMIF('AJE1'!$B:$B,$C49&amp;$D49&amp;"*",'AJE1'!$P:$P)</f>
        <v>0</v>
      </c>
      <c r="M49" s="891">
        <f t="shared" si="6"/>
        <v>16540.18</v>
      </c>
      <c r="N49" s="641"/>
      <c r="O49" s="641"/>
      <c r="P49" s="641"/>
      <c r="Q49" s="641"/>
      <c r="T49" s="3055">
        <v>1701</v>
      </c>
      <c r="U49" s="3063">
        <v>0</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3">
        <v>0</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5">
        <v>1711</v>
      </c>
      <c r="U51" s="3063">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5">
        <v>1801</v>
      </c>
      <c r="U52" s="3063">
        <v>0</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5">
        <v>1811</v>
      </c>
      <c r="U53" s="3063">
        <v>937117.56</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3">
        <v>0</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3">
        <v>162953657.74000001</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3">
        <v>218552283.09999999</v>
      </c>
    </row>
    <row r="57" spans="1:21"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5">
        <v>2000</v>
      </c>
      <c r="U57" s="3063">
        <v>0</v>
      </c>
    </row>
    <row r="58" spans="1:21"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5">
        <v>2001</v>
      </c>
      <c r="U58" s="3063">
        <v>0</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3">
        <v>0</v>
      </c>
    </row>
    <row r="60" spans="1:21" ht="18">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5">
        <v>2010</v>
      </c>
      <c r="U60" s="3063">
        <v>0</v>
      </c>
    </row>
    <row r="61" spans="1:21" ht="18">
      <c r="A61" s="1648">
        <f t="shared" si="0"/>
        <v>0</v>
      </c>
      <c r="B61" s="1647">
        <f t="shared" si="1"/>
        <v>1</v>
      </c>
      <c r="C61" s="1647" t="str">
        <f t="shared" si="2"/>
        <v>J</v>
      </c>
      <c r="D61" s="1659">
        <v>1811</v>
      </c>
      <c r="E61" s="888" t="str">
        <f t="shared" si="3"/>
        <v>递延所得税资产</v>
      </c>
      <c r="F61" s="884">
        <f t="shared" si="4"/>
        <v>937117.56</v>
      </c>
      <c r="G61" s="885">
        <f>SUMIF(AJE!$B:$B,$C61&amp;$D61&amp;"*",AJE!$O:$O)</f>
        <v>0</v>
      </c>
      <c r="H61" s="885">
        <f>SUMIF(AJE!$B:$B,$C61&amp;$D61&amp;"*",AJE!$P:$P)</f>
        <v>0</v>
      </c>
      <c r="I61" s="913">
        <f t="shared" si="12"/>
        <v>937117.56</v>
      </c>
      <c r="J61" s="914">
        <f t="shared" si="5"/>
        <v>937117.56</v>
      </c>
      <c r="K61" s="885">
        <f>SUMIF('AJE1'!$B:$B,$C61&amp;$D61&amp;"*",'AJE1'!$O:$O)</f>
        <v>0</v>
      </c>
      <c r="L61" s="885">
        <f>SUMIF('AJE1'!$B:$B,$C61&amp;$D61&amp;"*",'AJE1'!$P:$P)</f>
        <v>0</v>
      </c>
      <c r="M61" s="891">
        <f t="shared" si="6"/>
        <v>937117.56</v>
      </c>
      <c r="N61" s="641"/>
      <c r="O61" s="641"/>
      <c r="P61" s="641"/>
      <c r="Q61" s="641"/>
      <c r="T61" s="3055">
        <v>2003</v>
      </c>
      <c r="U61" s="3063">
        <v>0</v>
      </c>
    </row>
    <row r="62" spans="1:21"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5">
        <v>2101</v>
      </c>
      <c r="U62" s="3063">
        <v>0</v>
      </c>
    </row>
    <row r="63" spans="1:21" ht="18">
      <c r="A63" s="1648" t="str">
        <f t="shared" si="0"/>
        <v>＝</v>
      </c>
      <c r="B63" s="1647">
        <f t="shared" si="1"/>
        <v>0</v>
      </c>
      <c r="C63" s="1647">
        <f t="shared" si="2"/>
        <v>0</v>
      </c>
      <c r="D63" s="1659">
        <v>1998</v>
      </c>
      <c r="E63" s="890" t="str">
        <f t="shared" si="3"/>
        <v>非流动资产</v>
      </c>
      <c r="F63" s="891">
        <f t="shared" ref="F63:M63" si="17">SUM(F37:F62)-SUM(F49,F50,F52,F53)</f>
        <v>50948136.299999997</v>
      </c>
      <c r="G63" s="891">
        <f t="shared" si="17"/>
        <v>0</v>
      </c>
      <c r="H63" s="891">
        <f t="shared" si="17"/>
        <v>0</v>
      </c>
      <c r="I63" s="913">
        <f t="shared" si="17"/>
        <v>50948136.299999997</v>
      </c>
      <c r="J63" s="915">
        <f t="shared" si="17"/>
        <v>162953657.74000001</v>
      </c>
      <c r="K63" s="891">
        <f t="shared" si="17"/>
        <v>0</v>
      </c>
      <c r="L63" s="891">
        <f t="shared" si="17"/>
        <v>0</v>
      </c>
      <c r="M63" s="891">
        <f t="shared" si="17"/>
        <v>162953657.74000001</v>
      </c>
      <c r="N63" s="641"/>
      <c r="O63" s="641"/>
      <c r="P63" s="641"/>
      <c r="Q63" s="641"/>
      <c r="T63" s="3055">
        <v>2115</v>
      </c>
      <c r="U63" s="3063">
        <v>0</v>
      </c>
    </row>
    <row r="64" spans="1:21" ht="18">
      <c r="A64" s="1648" t="str">
        <f t="shared" si="0"/>
        <v>＝</v>
      </c>
      <c r="B64" s="1647">
        <f t="shared" si="1"/>
        <v>0</v>
      </c>
      <c r="C64" s="1647">
        <f t="shared" si="2"/>
        <v>0</v>
      </c>
      <c r="D64" s="1659">
        <v>1999</v>
      </c>
      <c r="E64" s="890" t="str">
        <f t="shared" si="3"/>
        <v>资产</v>
      </c>
      <c r="F64" s="891">
        <f t="shared" ref="F64:M64" si="18">SUM(F35,F63)</f>
        <v>106747804.67</v>
      </c>
      <c r="G64" s="891">
        <f t="shared" si="18"/>
        <v>0</v>
      </c>
      <c r="H64" s="891">
        <f t="shared" si="18"/>
        <v>0</v>
      </c>
      <c r="I64" s="913">
        <f t="shared" si="18"/>
        <v>106747804.67</v>
      </c>
      <c r="J64" s="915">
        <f t="shared" si="18"/>
        <v>218552283.09999999</v>
      </c>
      <c r="K64" s="891">
        <f t="shared" si="18"/>
        <v>0</v>
      </c>
      <c r="L64" s="891">
        <f t="shared" si="18"/>
        <v>0</v>
      </c>
      <c r="M64" s="891">
        <f t="shared" si="18"/>
        <v>218552283.09999999</v>
      </c>
      <c r="N64" s="641"/>
      <c r="O64" s="641"/>
      <c r="P64" s="641"/>
      <c r="Q64" s="641"/>
      <c r="T64" s="3055">
        <v>2203</v>
      </c>
      <c r="U64" s="3063">
        <v>182031</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5">
        <v>2201</v>
      </c>
      <c r="U65" s="3063">
        <v>0</v>
      </c>
    </row>
    <row r="66" spans="1:21"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5">
        <v>2202</v>
      </c>
      <c r="U66" s="3063">
        <v>182031</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3">
        <v>0</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3">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3">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3">
        <v>306477.86</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3">
        <v>27898.14</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22"/>
        <v>0</v>
      </c>
      <c r="J72" s="914">
        <f>SUM(J73:J74)</f>
        <v>182031</v>
      </c>
      <c r="K72" s="885">
        <f>SUMIF('AJE1'!$B:$B,$C72&amp;$D72&amp;"*",'AJE1'!$O:$O)+SUMIF('AJE1'!$B:$B,"J2201*",'AJE1'!$O:$O)+SUMIF('AJE1'!$B:$B,"J2202*",'AJE1'!$O:$O)</f>
        <v>0</v>
      </c>
      <c r="L72" s="885">
        <f>SUMIF('AJE1'!$B:$B,$C72&amp;$D72&amp;"*",'AJE1'!$P:$P)+SUMIF('AJE1'!$B:$B,"J2201*",'AJE1'!$P:$P)+SUMIF('AJE1'!$B:$B,"J2202*",'AJE1'!$P:$P)</f>
        <v>0</v>
      </c>
      <c r="M72" s="891">
        <f t="shared" si="21"/>
        <v>182031</v>
      </c>
      <c r="N72" s="641"/>
      <c r="O72" s="641"/>
      <c r="P72" s="641"/>
      <c r="Q72" s="641"/>
      <c r="T72" s="3055">
        <v>2246</v>
      </c>
      <c r="U72" s="3063">
        <v>113852180.2</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5">
        <v>2231</v>
      </c>
      <c r="U73" s="3063">
        <v>0</v>
      </c>
    </row>
    <row r="74" spans="1:21" ht="18">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0</v>
      </c>
      <c r="I74" s="913">
        <f t="shared" si="22"/>
        <v>0</v>
      </c>
      <c r="J74" s="914">
        <f t="shared" si="20"/>
        <v>182031</v>
      </c>
      <c r="K74" s="885">
        <f>SUMIF('AJE1'!$B:$B,$C74&amp;$D74&amp;"*",'AJE1'!$O:$O)</f>
        <v>0</v>
      </c>
      <c r="L74" s="885">
        <f>SUMIF('AJE1'!$B:$B,$C74&amp;$D74&amp;"*",'AJE1'!$P:$P)</f>
        <v>0</v>
      </c>
      <c r="M74" s="891">
        <f t="shared" si="21"/>
        <v>182031</v>
      </c>
      <c r="N74" s="641"/>
      <c r="O74" s="641"/>
      <c r="P74" s="641"/>
      <c r="Q74" s="641"/>
      <c r="T74" s="3055">
        <v>2232</v>
      </c>
      <c r="U74" s="3063">
        <v>0</v>
      </c>
    </row>
    <row r="75" spans="1:21"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0</v>
      </c>
      <c r="K75" s="885">
        <f>SUMIF('AJE1'!$B:$B,$C75&amp;$D75&amp;"*",'AJE1'!$O:$O)</f>
        <v>0</v>
      </c>
      <c r="L75" s="885">
        <f>SUMIF('AJE1'!$B:$B,$C75&amp;$D75&amp;"*",'AJE1'!$P:$P)</f>
        <v>0</v>
      </c>
      <c r="M75" s="891">
        <f t="shared" si="21"/>
        <v>0</v>
      </c>
      <c r="N75" s="641"/>
      <c r="O75" s="641"/>
      <c r="P75" s="641"/>
      <c r="Q75" s="641"/>
      <c r="T75" s="3055">
        <v>2241</v>
      </c>
      <c r="U75" s="3063">
        <v>113852180.2</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3">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3">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3">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3">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3">
        <v>0</v>
      </c>
    </row>
    <row r="81" spans="1:21" ht="18">
      <c r="A81" s="1648">
        <f t="shared" si="0"/>
        <v>0</v>
      </c>
      <c r="B81" s="1647">
        <f t="shared" si="1"/>
        <v>-1</v>
      </c>
      <c r="C81" s="1647" t="str">
        <f t="shared" si="2"/>
        <v>J</v>
      </c>
      <c r="D81" s="1659">
        <v>2211</v>
      </c>
      <c r="E81" s="888" t="str">
        <f t="shared" si="3"/>
        <v>应付职工薪酬</v>
      </c>
      <c r="F81" s="884">
        <f t="shared" si="19"/>
        <v>807099.09</v>
      </c>
      <c r="G81" s="885">
        <f>SUMIF(AJE!$B:$B,$C81&amp;$D81&amp;"*",AJE!$O:$O)</f>
        <v>5265</v>
      </c>
      <c r="H81" s="885">
        <f>SUMIF(AJE!$B:$B,$C81&amp;$D81&amp;"*",AJE!$P:$P)</f>
        <v>-180500</v>
      </c>
      <c r="I81" s="913">
        <f t="shared" si="22"/>
        <v>621334.09</v>
      </c>
      <c r="J81" s="914">
        <f t="shared" si="20"/>
        <v>306477.86</v>
      </c>
      <c r="K81" s="885">
        <f>SUMIF('AJE1'!$B:$B,$C81&amp;$D81&amp;"*",'AJE1'!$O:$O)</f>
        <v>0</v>
      </c>
      <c r="L81" s="885">
        <f>SUMIF('AJE1'!$B:$B,$C81&amp;$D81&amp;"*",'AJE1'!$P:$P)</f>
        <v>0</v>
      </c>
      <c r="M81" s="891">
        <f t="shared" si="21"/>
        <v>306477.86</v>
      </c>
      <c r="N81" s="641"/>
      <c r="O81" s="641"/>
      <c r="P81" s="641"/>
      <c r="Q81" s="641"/>
      <c r="T81" s="3055">
        <v>2395</v>
      </c>
      <c r="U81" s="3063">
        <v>0</v>
      </c>
    </row>
    <row r="82" spans="1:21" ht="18">
      <c r="A82" s="1648">
        <f t="shared" si="0"/>
        <v>0</v>
      </c>
      <c r="B82" s="1647">
        <f t="shared" si="1"/>
        <v>-1</v>
      </c>
      <c r="C82" s="1647" t="str">
        <f t="shared" si="2"/>
        <v>J</v>
      </c>
      <c r="D82" s="1659">
        <v>2221</v>
      </c>
      <c r="E82" s="888" t="str">
        <f t="shared" si="3"/>
        <v>应交税费</v>
      </c>
      <c r="F82" s="884">
        <f t="shared" si="19"/>
        <v>95790.66</v>
      </c>
      <c r="G82" s="885">
        <f>SUMIF(AJE!$B:$B,$C82&amp;$D82&amp;"*",AJE!$O:$O)</f>
        <v>0</v>
      </c>
      <c r="H82" s="885">
        <f>SUMIF(AJE!$B:$B,$C82&amp;$D82&amp;"*",AJE!$P:$P)</f>
        <v>5265</v>
      </c>
      <c r="I82" s="913">
        <f t="shared" si="22"/>
        <v>101055.66</v>
      </c>
      <c r="J82" s="914">
        <f t="shared" si="20"/>
        <v>27898.14</v>
      </c>
      <c r="K82" s="885">
        <f>SUMIF('AJE1'!$B:$B,$C82&amp;$D82&amp;"*",'AJE1'!$O:$O)</f>
        <v>0</v>
      </c>
      <c r="L82" s="885">
        <f>SUMIF('AJE1'!$B:$B,$C82&amp;$D82&amp;"*",'AJE1'!$P:$P)</f>
        <v>0</v>
      </c>
      <c r="M82" s="891">
        <f t="shared" si="21"/>
        <v>27898.14</v>
      </c>
      <c r="N82" s="641"/>
      <c r="O82" s="641"/>
      <c r="P82" s="641"/>
      <c r="Q82" s="641"/>
      <c r="T82" s="3055">
        <v>2396</v>
      </c>
      <c r="U82" s="3063">
        <v>0</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4224459.3600000003</v>
      </c>
      <c r="G83" s="885">
        <f>SUMIF(AJE!$B:$B,"J2241*",AJE!$O:$O)+SUMIF(AJE!$B:$B,"J2231*",AJE!$O:$O)+SUMIF(AJE!$B:$B,"J2232*",AJE!$O:$O)</f>
        <v>0</v>
      </c>
      <c r="H83" s="885">
        <f>SUMIF(AJE!$B:$B,"J2241*",AJE!$P:$P)+SUMIF(AJE!$B:$B,"J2231*",AJE!$P:$P)+SUMIF(AJE!$B:$B,"J2232*",AJE!$P:$P)</f>
        <v>0</v>
      </c>
      <c r="I83" s="913">
        <f t="shared" si="22"/>
        <v>4224459.3600000003</v>
      </c>
      <c r="J83" s="914">
        <f t="shared" si="20"/>
        <v>113852180.2</v>
      </c>
      <c r="K83" s="885">
        <f>SUMIF('AJE1'!$B:$B,"J2241*",'AJE1'!$O:$O)+SUMIF('AJE1'!$B:$B,"J2231*",'AJE1'!$O:$O)+SUMIF('AJE1'!$B:$B,"J2232*",'AJE1'!$O:$O)</f>
        <v>0</v>
      </c>
      <c r="L83" s="885">
        <f>SUMIF('AJE1'!$B:$B,"J2241*",'AJE1'!$P:$P)+SUMIF('AJE1'!$B:$B,"J2231*",'AJE1'!$P:$P)+SUMIF('AJE1'!$B:$B,"J2232*",'AJE1'!$P:$P)</f>
        <v>0</v>
      </c>
      <c r="M83" s="891">
        <f t="shared" si="21"/>
        <v>113852180.2</v>
      </c>
      <c r="N83" s="641"/>
      <c r="O83" s="641"/>
      <c r="P83" s="641"/>
      <c r="Q83" s="641"/>
      <c r="T83" s="3055">
        <v>2498</v>
      </c>
      <c r="U83" s="3063">
        <v>114368587.2</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5">
        <v>2500</v>
      </c>
      <c r="U84" s="3063"/>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3">
        <v>0</v>
      </c>
    </row>
    <row r="86" spans="1:21" ht="18">
      <c r="A86" s="1648">
        <f t="shared" si="0"/>
        <v>0</v>
      </c>
      <c r="B86" s="1647">
        <f t="shared" si="1"/>
        <v>-1</v>
      </c>
      <c r="C86" s="1647" t="str">
        <f t="shared" si="2"/>
        <v>J</v>
      </c>
      <c r="D86" s="1659">
        <v>2241</v>
      </c>
      <c r="E86" s="2188" t="str">
        <f t="shared" si="3"/>
        <v>其他应付款</v>
      </c>
      <c r="F86" s="884">
        <f t="shared" si="19"/>
        <v>4224459.3600000003</v>
      </c>
      <c r="G86" s="885">
        <f>SUMIF(AJE!$B:$B,$C86&amp;$D86&amp;"*",AJE!$O:$O)</f>
        <v>0</v>
      </c>
      <c r="H86" s="885">
        <f>SUMIF(AJE!$B:$B,$C86&amp;$D86&amp;"*",AJE!$P:$P)</f>
        <v>0</v>
      </c>
      <c r="I86" s="913">
        <f t="shared" si="22"/>
        <v>4224459.3600000003</v>
      </c>
      <c r="J86" s="914">
        <f t="shared" si="20"/>
        <v>113852180.2</v>
      </c>
      <c r="K86" s="885">
        <f>SUMIF('AJE1'!$B:$B,$C86&amp;$D86&amp;"*",'AJE1'!$O:$O)</f>
        <v>0</v>
      </c>
      <c r="L86" s="885">
        <f>SUMIF('AJE1'!$B:$B,$C86&amp;$D86&amp;"*",'AJE1'!$P:$P)</f>
        <v>0</v>
      </c>
      <c r="M86" s="891">
        <f t="shared" si="21"/>
        <v>113852180.2</v>
      </c>
      <c r="N86" s="641"/>
      <c r="O86" s="641"/>
      <c r="P86" s="641"/>
      <c r="Q86" s="641"/>
      <c r="T86" s="3055">
        <v>2502</v>
      </c>
      <c r="U86" s="3063">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3">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3">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3">
        <v>0</v>
      </c>
    </row>
    <row r="90" spans="1:21"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3">
        <v>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5">
        <v>2711</v>
      </c>
      <c r="U91" s="3063">
        <v>0</v>
      </c>
    </row>
    <row r="92" spans="1:21" ht="18">
      <c r="A92" s="1648" t="str">
        <f t="shared" si="0"/>
        <v>＝</v>
      </c>
      <c r="B92" s="1647">
        <f t="shared" si="1"/>
        <v>0</v>
      </c>
      <c r="C92" s="1647">
        <f t="shared" si="2"/>
        <v>0</v>
      </c>
      <c r="D92" s="2186">
        <v>2498</v>
      </c>
      <c r="E92" s="2187" t="str">
        <f t="shared" si="3"/>
        <v>流动负债</v>
      </c>
      <c r="F92" s="884">
        <f>SUM(F66:F91)-SUM(F72,F84,F85,F86)</f>
        <v>5127349.1100000003</v>
      </c>
      <c r="G92" s="885">
        <f t="shared" ref="G92:M92" si="25">SUM(G66:G91)-SUM(G72,G84,G85,G86)</f>
        <v>5265</v>
      </c>
      <c r="H92" s="885">
        <f t="shared" si="25"/>
        <v>-175235</v>
      </c>
      <c r="I92" s="913">
        <f t="shared" si="25"/>
        <v>4946849.1100000003</v>
      </c>
      <c r="J92" s="914">
        <f t="shared" si="25"/>
        <v>114368587.2</v>
      </c>
      <c r="K92" s="885">
        <f t="shared" si="25"/>
        <v>0</v>
      </c>
      <c r="L92" s="885">
        <f t="shared" si="25"/>
        <v>0</v>
      </c>
      <c r="M92" s="891">
        <f t="shared" si="25"/>
        <v>114368587.2</v>
      </c>
      <c r="N92" s="641"/>
      <c r="O92" s="641"/>
      <c r="P92" s="641"/>
      <c r="Q92" s="641"/>
      <c r="T92" s="3055">
        <v>2715</v>
      </c>
      <c r="U92" s="3063">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5">
        <v>2801</v>
      </c>
      <c r="U93" s="3063">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3">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3">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3">
        <v>0</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3">
        <v>0</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3">
        <v>114368587.2</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3"/>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3">
        <v>100000000</v>
      </c>
    </row>
    <row r="101" spans="1:21"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3">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3">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3">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5">
        <v>4002</v>
      </c>
      <c r="U104" s="3063">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3">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3">
        <v>0</v>
      </c>
    </row>
    <row r="107" spans="1:21"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3">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5">
        <v>4101</v>
      </c>
      <c r="U108" s="3063">
        <v>418369.59</v>
      </c>
    </row>
    <row r="109" spans="1:21" ht="18">
      <c r="A109" s="1648" t="str">
        <f t="shared" si="26"/>
        <v>＝</v>
      </c>
      <c r="B109" s="1647">
        <f t="shared" si="27"/>
        <v>0</v>
      </c>
      <c r="C109" s="1647">
        <f t="shared" si="28"/>
        <v>0</v>
      </c>
      <c r="D109" s="2186">
        <v>2999</v>
      </c>
      <c r="E109" s="2187" t="str">
        <f t="shared" si="29"/>
        <v>负债</v>
      </c>
      <c r="F109" s="884">
        <f t="shared" ref="F109:M109" si="33">SUM(F92,F108)</f>
        <v>5127349.1100000003</v>
      </c>
      <c r="G109" s="885">
        <f t="shared" si="33"/>
        <v>5265</v>
      </c>
      <c r="H109" s="885">
        <f t="shared" si="33"/>
        <v>-175235</v>
      </c>
      <c r="I109" s="913">
        <f t="shared" si="33"/>
        <v>4946849.1100000003</v>
      </c>
      <c r="J109" s="914">
        <f t="shared" si="33"/>
        <v>114368587.2</v>
      </c>
      <c r="K109" s="885">
        <f t="shared" si="33"/>
        <v>0</v>
      </c>
      <c r="L109" s="885">
        <f t="shared" si="33"/>
        <v>0</v>
      </c>
      <c r="M109" s="891">
        <f t="shared" si="33"/>
        <v>114368587.2</v>
      </c>
      <c r="N109" s="641"/>
      <c r="O109" s="641"/>
      <c r="P109" s="641"/>
      <c r="Q109" s="641"/>
      <c r="T109" s="3055">
        <v>4102</v>
      </c>
      <c r="U109" s="3063">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5">
        <v>4200</v>
      </c>
      <c r="U110" s="3063">
        <v>3765326.31</v>
      </c>
    </row>
    <row r="111" spans="1:21" ht="18">
      <c r="A111" s="1648">
        <f t="shared" si="26"/>
        <v>0</v>
      </c>
      <c r="B111" s="1647">
        <f t="shared" si="27"/>
        <v>-1</v>
      </c>
      <c r="C111" s="1647" t="str">
        <f t="shared" si="28"/>
        <v>J</v>
      </c>
      <c r="D111" s="1659">
        <v>4001</v>
      </c>
      <c r="E111" s="888" t="str">
        <f t="shared" si="29"/>
        <v>实收资本</v>
      </c>
      <c r="F111" s="884">
        <f t="shared" si="19"/>
        <v>100000000</v>
      </c>
      <c r="G111" s="885">
        <f>SUMIF(AJE!$B:$B,$C111&amp;"81*",AJE!$O:$O)</f>
        <v>0</v>
      </c>
      <c r="H111" s="885">
        <f>SUMIF(AJE!$B:$B,$C111&amp;"81*",AJE!$P:$P)</f>
        <v>0</v>
      </c>
      <c r="I111" s="913">
        <f t="shared" ref="I111:I123" si="34">(B111*F111+G111-H111)*B111</f>
        <v>100000000</v>
      </c>
      <c r="J111" s="914">
        <f t="shared" si="20"/>
        <v>100000000</v>
      </c>
      <c r="K111" s="885">
        <f>SUMIF('AJE1'!$B:$B,$C111&amp;"81*",'AJE1'!$O:$O)</f>
        <v>0</v>
      </c>
      <c r="L111" s="885">
        <f>SUMIF('AJE1'!$B:$B,$C111&amp;"81*",'AJE1'!$P:$P)</f>
        <v>0</v>
      </c>
      <c r="M111" s="891">
        <f t="shared" si="21"/>
        <v>100000000</v>
      </c>
      <c r="N111" s="641"/>
      <c r="O111" s="641"/>
      <c r="P111" s="641"/>
      <c r="Q111" s="641"/>
      <c r="T111" s="3055">
        <v>4210</v>
      </c>
      <c r="U111" s="3064">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3">
        <v>104183695.90000001</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3">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3">
        <v>104183695.90000001</v>
      </c>
    </row>
    <row r="115" spans="1:21"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5">
        <v>5000</v>
      </c>
      <c r="U115" s="3063">
        <v>218552283.09999999</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3"/>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3">
        <v>9961204.6999999993</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3">
        <v>9961204.6999999993</v>
      </c>
    </row>
    <row r="119" spans="1:21" ht="18">
      <c r="A119" s="1648">
        <f t="shared" si="26"/>
        <v>0</v>
      </c>
      <c r="B119" s="1647">
        <f t="shared" si="27"/>
        <v>-1</v>
      </c>
      <c r="C119" s="1647" t="str">
        <f t="shared" si="28"/>
        <v>J</v>
      </c>
      <c r="D119" s="1659">
        <v>4101</v>
      </c>
      <c r="E119" s="888" t="str">
        <f t="shared" si="29"/>
        <v>盈余公积</v>
      </c>
      <c r="F119" s="884">
        <f t="shared" si="19"/>
        <v>418369.59</v>
      </c>
      <c r="G119" s="885">
        <f>SUMIF(AJE!$B:$B,$C119&amp;"85*",AJE!$O:$O)</f>
        <v>0</v>
      </c>
      <c r="H119" s="885">
        <f>SUMIF(AJE!$B:$B,$C119&amp;"85*",AJE!$P:$P)</f>
        <v>0</v>
      </c>
      <c r="I119" s="913">
        <f t="shared" si="34"/>
        <v>418369.59</v>
      </c>
      <c r="J119" s="914">
        <f t="shared" si="20"/>
        <v>418369.59</v>
      </c>
      <c r="K119" s="885">
        <f>SUMIF('AJE1'!$B:$B,$C119&amp;"85*",'AJE1'!$O:$O)</f>
        <v>0</v>
      </c>
      <c r="L119" s="885">
        <f>SUMIF('AJE1'!$B:$B,$C119&amp;"85*",'AJE1'!$P:$P)</f>
        <v>0</v>
      </c>
      <c r="M119" s="891">
        <f t="shared" si="21"/>
        <v>418369.59</v>
      </c>
      <c r="N119" s="641"/>
      <c r="O119" s="641"/>
      <c r="P119" s="641"/>
      <c r="Q119" s="641"/>
      <c r="T119" s="3055">
        <v>6011</v>
      </c>
      <c r="U119" s="3063">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3">
        <v>0</v>
      </c>
    </row>
    <row r="121" spans="1:21" ht="18">
      <c r="A121" s="1648">
        <f t="shared" si="26"/>
        <v>0</v>
      </c>
      <c r="B121" s="1647">
        <f t="shared" si="27"/>
        <v>-1</v>
      </c>
      <c r="C121" s="1647" t="str">
        <f t="shared" si="28"/>
        <v>J</v>
      </c>
      <c r="D121" s="2186">
        <v>4200</v>
      </c>
      <c r="E121" s="2187" t="str">
        <f t="shared" si="29"/>
        <v>未分配利润</v>
      </c>
      <c r="F121" s="884">
        <f t="shared" si="19"/>
        <v>1202085.97</v>
      </c>
      <c r="G121" s="885">
        <f>SUMIF(AJE!$B:$B,$C121&amp;"87*",AJE!$O:$O)+VLOOKUP(6799,Sheet_Trialbal,4,0)</f>
        <v>-180500</v>
      </c>
      <c r="H121" s="885">
        <f>SUMIF(AJE!$B:$B,$C121&amp;"87*",AJE!$P:$P)+VLOOKUP(6799,Sheet_Trialbal,5,0)</f>
        <v>0</v>
      </c>
      <c r="I121" s="913">
        <f t="shared" si="34"/>
        <v>1382585.97</v>
      </c>
      <c r="J121" s="914">
        <f t="shared" si="20"/>
        <v>3765326.31</v>
      </c>
      <c r="K121" s="885">
        <f>SUMIF('AJE1'!$B:$B,$C121&amp;"87*",'AJE1'!$O:$O)+VLOOKUP(6799,Sheet_Trialbal,8,0)</f>
        <v>0</v>
      </c>
      <c r="L121" s="885">
        <f>SUMIF('AJE1'!$B:$B,$C121&amp;"87*",'AJE1'!$P:$P)+VLOOKUP(6799,Sheet_Trialbal,9,0)</f>
        <v>0</v>
      </c>
      <c r="M121" s="891">
        <f t="shared" si="21"/>
        <v>3765326.31</v>
      </c>
      <c r="N121" s="641"/>
      <c r="O121" s="641"/>
      <c r="P121" s="641"/>
      <c r="Q121" s="641"/>
      <c r="T121" s="3055">
        <v>6021</v>
      </c>
      <c r="U121" s="3063">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101620455.56</v>
      </c>
      <c r="G122" s="919">
        <f>SUM(G111:G112,G115:G121)</f>
        <v>-180500</v>
      </c>
      <c r="H122" s="919">
        <f>SUM(H111:H112,H115:H121)</f>
        <v>0</v>
      </c>
      <c r="I122" s="913">
        <f>SUM(I111:I112,I115,-I116,I117:I121)</f>
        <v>101800955.56</v>
      </c>
      <c r="J122" s="914">
        <f>SUM(J111:J112,J115,-J116,J117:J121)</f>
        <v>104183695.90000001</v>
      </c>
      <c r="K122" s="919">
        <f>SUM(K111:K112,K115:K121)</f>
        <v>0</v>
      </c>
      <c r="L122" s="919">
        <f>SUM(L111:L112,L115:L121)</f>
        <v>0</v>
      </c>
      <c r="M122" s="891">
        <f>SUM(M111:M112,M115,-M116,M117:M121)</f>
        <v>104183695.90000001</v>
      </c>
      <c r="N122" s="641"/>
      <c r="O122" s="641"/>
      <c r="P122" s="641"/>
      <c r="Q122" s="641"/>
      <c r="T122" s="3055">
        <v>6598</v>
      </c>
      <c r="U122" s="3063">
        <v>13845297.869999999</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3">
        <v>8620689.6300000008</v>
      </c>
    </row>
    <row r="124" spans="1:21" ht="18">
      <c r="A124" s="1648" t="str">
        <f t="shared" si="26"/>
        <v>＝</v>
      </c>
      <c r="B124" s="1647">
        <f t="shared" si="27"/>
        <v>0</v>
      </c>
      <c r="C124" s="1647">
        <f t="shared" si="28"/>
        <v>0</v>
      </c>
      <c r="D124" s="2186">
        <v>4999</v>
      </c>
      <c r="E124" s="2187" t="str">
        <f t="shared" si="29"/>
        <v>所有者权益</v>
      </c>
      <c r="F124" s="884">
        <f t="shared" ref="F124:M124" si="35">SUM(F122:F123)</f>
        <v>101620455.56</v>
      </c>
      <c r="G124" s="885">
        <f t="shared" si="35"/>
        <v>-180500</v>
      </c>
      <c r="H124" s="885">
        <f t="shared" si="35"/>
        <v>0</v>
      </c>
      <c r="I124" s="913">
        <f t="shared" si="35"/>
        <v>101800955.56</v>
      </c>
      <c r="J124" s="914">
        <f t="shared" si="35"/>
        <v>104183695.90000001</v>
      </c>
      <c r="K124" s="885">
        <f t="shared" si="35"/>
        <v>0</v>
      </c>
      <c r="L124" s="885">
        <f t="shared" si="35"/>
        <v>0</v>
      </c>
      <c r="M124" s="891">
        <f t="shared" si="35"/>
        <v>104183695.90000001</v>
      </c>
      <c r="N124" s="641"/>
      <c r="O124" s="641"/>
      <c r="P124" s="641"/>
      <c r="Q124" s="641"/>
      <c r="T124" s="3055">
        <v>6411</v>
      </c>
      <c r="U124" s="3063">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106747804.67</v>
      </c>
      <c r="G125" s="885">
        <f t="shared" si="36"/>
        <v>-175235</v>
      </c>
      <c r="H125" s="885">
        <f t="shared" si="36"/>
        <v>-175235</v>
      </c>
      <c r="I125" s="913">
        <f t="shared" si="36"/>
        <v>106747804.67</v>
      </c>
      <c r="J125" s="914">
        <f t="shared" si="36"/>
        <v>218552283.09999999</v>
      </c>
      <c r="K125" s="885">
        <f t="shared" si="36"/>
        <v>0</v>
      </c>
      <c r="L125" s="885">
        <f t="shared" si="36"/>
        <v>0</v>
      </c>
      <c r="M125" s="891">
        <f t="shared" si="36"/>
        <v>218552283.09999999</v>
      </c>
      <c r="N125" s="641"/>
      <c r="O125" s="641"/>
      <c r="P125" s="641"/>
      <c r="Q125" s="641"/>
      <c r="T125" s="3055">
        <v>6421</v>
      </c>
      <c r="U125" s="3063">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5">
        <v>6531</v>
      </c>
      <c r="U126" s="3063">
        <v>0</v>
      </c>
    </row>
    <row r="127" spans="1:21" ht="18">
      <c r="A127" s="1648" t="str">
        <f t="shared" si="26"/>
        <v>※</v>
      </c>
      <c r="B127" s="1647">
        <f t="shared" si="27"/>
        <v>0</v>
      </c>
      <c r="C127" s="1647">
        <f t="shared" si="28"/>
        <v>0</v>
      </c>
      <c r="D127" s="2186">
        <v>6098</v>
      </c>
      <c r="E127" s="2187" t="str">
        <f t="shared" si="29"/>
        <v>营业总收入</v>
      </c>
      <c r="F127" s="884">
        <f t="shared" ref="F127:M127" si="37">SUM(F128:F131)</f>
        <v>20266366.969999999</v>
      </c>
      <c r="G127" s="885">
        <f t="shared" si="37"/>
        <v>0</v>
      </c>
      <c r="H127" s="885">
        <f t="shared" si="37"/>
        <v>0</v>
      </c>
      <c r="I127" s="913">
        <f t="shared" si="37"/>
        <v>20266366.969999999</v>
      </c>
      <c r="J127" s="914">
        <f t="shared" si="37"/>
        <v>9961204.6999999993</v>
      </c>
      <c r="K127" s="885">
        <f t="shared" si="37"/>
        <v>0</v>
      </c>
      <c r="L127" s="885">
        <f t="shared" si="37"/>
        <v>0</v>
      </c>
      <c r="M127" s="891">
        <f t="shared" si="37"/>
        <v>9961204.6999999993</v>
      </c>
      <c r="N127" s="641"/>
      <c r="O127" s="641"/>
      <c r="P127" s="641"/>
      <c r="Q127" s="641"/>
      <c r="T127" s="3055">
        <v>6510</v>
      </c>
      <c r="U127" s="3063">
        <v>0</v>
      </c>
    </row>
    <row r="128" spans="1:21" ht="18">
      <c r="A128" s="1648">
        <f t="shared" si="26"/>
        <v>0</v>
      </c>
      <c r="B128" s="1647">
        <f t="shared" si="27"/>
        <v>-1</v>
      </c>
      <c r="C128" s="1647" t="str">
        <f t="shared" si="28"/>
        <v>J</v>
      </c>
      <c r="D128" s="1659">
        <v>6001</v>
      </c>
      <c r="E128" s="888" t="str">
        <f t="shared" si="29"/>
        <v>营业收入</v>
      </c>
      <c r="F128" s="884">
        <f>VLOOKUP($D128,Sheet_Preis,4,0)</f>
        <v>20266366.969999999</v>
      </c>
      <c r="G128" s="885">
        <f>SUMIF(AJE!$B:$B,$C128&amp;$D128&amp;"*",AJE!$O:$O)</f>
        <v>0</v>
      </c>
      <c r="H128" s="885">
        <f>SUMIF(AJE!$B:$B,$C128&amp;$D128&amp;"*",AJE!$P:$P)</f>
        <v>0</v>
      </c>
      <c r="I128" s="913">
        <f t="shared" ref="I128:I169" si="38">(B128*F128+G128-H128)*B128</f>
        <v>20266366.969999999</v>
      </c>
      <c r="J128" s="914">
        <f>VLOOKUP($D128,Sheet_Preis,5,0)</f>
        <v>9961204.6999999993</v>
      </c>
      <c r="K128" s="885">
        <f>SUMIF('AJE1'!$B:$B,$C128&amp;$D128&amp;"*",'AJE1'!$O:$O)</f>
        <v>0</v>
      </c>
      <c r="L128" s="885">
        <f>SUMIF('AJE1'!$B:$B,$C128&amp;$D128&amp;"*",'AJE1'!$P:$P)</f>
        <v>0</v>
      </c>
      <c r="M128" s="891">
        <f t="shared" ref="M128:M169" si="39">($B128*J128+K128-L128)*$B128</f>
        <v>9961204.6999999993</v>
      </c>
      <c r="N128" s="641"/>
      <c r="O128" s="641"/>
      <c r="P128" s="641"/>
      <c r="Q128" s="641"/>
      <c r="T128" s="3055">
        <v>6505</v>
      </c>
      <c r="U128" s="3063">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3">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3">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3">
        <v>68861.460000000006</v>
      </c>
    </row>
    <row r="132" spans="1:21" ht="18">
      <c r="A132" s="1648" t="str">
        <f t="shared" si="26"/>
        <v>※</v>
      </c>
      <c r="B132" s="1647">
        <f t="shared" si="27"/>
        <v>0</v>
      </c>
      <c r="C132" s="1647">
        <f t="shared" si="28"/>
        <v>0</v>
      </c>
      <c r="D132" s="2186">
        <v>6598</v>
      </c>
      <c r="E132" s="2187" t="str">
        <f t="shared" si="29"/>
        <v>营业总成本</v>
      </c>
      <c r="F132" s="884">
        <f>SUM(F133:F145)</f>
        <v>22840097.489999998</v>
      </c>
      <c r="G132" s="885">
        <f>SUM(G133:G145)</f>
        <v>-180500</v>
      </c>
      <c r="H132" s="885">
        <f t="shared" ref="H132:M132" si="40">SUM(H133:H145)</f>
        <v>0</v>
      </c>
      <c r="I132" s="913">
        <f t="shared" si="40"/>
        <v>22659597.489999998</v>
      </c>
      <c r="J132" s="914">
        <f t="shared" si="40"/>
        <v>13845297.869999999</v>
      </c>
      <c r="K132" s="885">
        <f t="shared" si="40"/>
        <v>0</v>
      </c>
      <c r="L132" s="885">
        <f t="shared" si="40"/>
        <v>0</v>
      </c>
      <c r="M132" s="891">
        <f t="shared" si="40"/>
        <v>13845297.869999999</v>
      </c>
      <c r="N132" s="641"/>
      <c r="O132" s="641"/>
      <c r="P132" s="641"/>
      <c r="Q132" s="641"/>
      <c r="T132" s="3055">
        <v>6601</v>
      </c>
      <c r="U132" s="3063">
        <v>0</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17540765.449999999</v>
      </c>
      <c r="G133" s="885">
        <f>SUMIF(AJE!$B:$B,$C133&amp;$D133&amp;"*",AJE!$O:$O)</f>
        <v>0</v>
      </c>
      <c r="H133" s="885">
        <f>SUMIF(AJE!$B:$B,$C133&amp;$D133&amp;"*",AJE!$P:$P)</f>
        <v>0</v>
      </c>
      <c r="I133" s="913">
        <f t="shared" si="38"/>
        <v>17540765.449999999</v>
      </c>
      <c r="J133" s="914">
        <f t="shared" ref="J133:J157" si="42">VLOOKUP($D133,Sheet_Preis,5,0)</f>
        <v>8620689.6300000008</v>
      </c>
      <c r="K133" s="885">
        <f>SUMIF('AJE1'!$B:$B,$C133&amp;$D133&amp;"*",'AJE1'!$O:$O)</f>
        <v>0</v>
      </c>
      <c r="L133" s="885">
        <f>SUMIF('AJE1'!$B:$B,$C133&amp;$D133&amp;"*",'AJE1'!$P:$P)</f>
        <v>0</v>
      </c>
      <c r="M133" s="891">
        <f t="shared" si="39"/>
        <v>8620689.6300000008</v>
      </c>
      <c r="N133" s="641"/>
      <c r="O133" s="641"/>
      <c r="P133" s="641"/>
      <c r="Q133" s="641"/>
      <c r="T133" s="3055">
        <v>6602</v>
      </c>
      <c r="U133" s="3063">
        <v>5160685.92</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3">
        <v>0</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3">
        <v>-4939.1400000000003</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3">
        <v>0</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3">
        <v>0</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3">
        <v>0</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3">
        <v>0</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3">
        <v>5521086.3499999996</v>
      </c>
    </row>
    <row r="141" spans="1:21" ht="18">
      <c r="A141" s="1648">
        <f t="shared" si="26"/>
        <v>0</v>
      </c>
      <c r="B141" s="1647">
        <f t="shared" si="27"/>
        <v>1</v>
      </c>
      <c r="C141" s="1647" t="str">
        <f t="shared" si="28"/>
        <v>J</v>
      </c>
      <c r="D141" s="1659">
        <v>6600</v>
      </c>
      <c r="E141" s="888" t="str">
        <f t="shared" si="29"/>
        <v>税金及附加</v>
      </c>
      <c r="F141" s="884">
        <f t="shared" si="41"/>
        <v>78151.759999999995</v>
      </c>
      <c r="G141" s="885">
        <f>SUMIF(AJE!$B:$B,$C141&amp;$D141&amp;"*",AJE!$O:$O)</f>
        <v>0</v>
      </c>
      <c r="H141" s="885">
        <f>SUMIF(AJE!$B:$B,$C141&amp;$D141&amp;"*",AJE!$P:$P)</f>
        <v>0</v>
      </c>
      <c r="I141" s="913">
        <f t="shared" si="38"/>
        <v>78151.759999999995</v>
      </c>
      <c r="J141" s="914">
        <f t="shared" si="42"/>
        <v>68861.460000000006</v>
      </c>
      <c r="K141" s="885">
        <f>SUMIF('AJE1'!$B:$B,$C141&amp;$D141&amp;"*",'AJE1'!$O:$O)</f>
        <v>0</v>
      </c>
      <c r="L141" s="885">
        <f>SUMIF('AJE1'!$B:$B,$C141&amp;$D141&amp;"*",'AJE1'!$P:$P)</f>
        <v>0</v>
      </c>
      <c r="M141" s="891">
        <f t="shared" si="39"/>
        <v>68861.460000000006</v>
      </c>
      <c r="N141" s="641"/>
      <c r="O141" s="641"/>
      <c r="P141" s="641"/>
      <c r="Q141" s="641"/>
      <c r="T141" s="3056">
        <v>6111.01</v>
      </c>
      <c r="U141" s="3063">
        <v>0</v>
      </c>
    </row>
    <row r="142" spans="1:21" ht="18">
      <c r="A142" s="1648">
        <f t="shared" si="26"/>
        <v>0</v>
      </c>
      <c r="B142" s="1647">
        <f t="shared" si="27"/>
        <v>1</v>
      </c>
      <c r="C142" s="1647" t="str">
        <f t="shared" si="28"/>
        <v>J</v>
      </c>
      <c r="D142" s="1659">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c r="T142" s="3055">
        <v>6161</v>
      </c>
      <c r="U142" s="3063">
        <v>0</v>
      </c>
    </row>
    <row r="143" spans="1:21" ht="18">
      <c r="A143" s="1648">
        <f t="shared" si="26"/>
        <v>0</v>
      </c>
      <c r="B143" s="1647">
        <f t="shared" si="27"/>
        <v>1</v>
      </c>
      <c r="C143" s="1647" t="str">
        <f t="shared" si="28"/>
        <v>J</v>
      </c>
      <c r="D143" s="1659">
        <v>6602</v>
      </c>
      <c r="E143" s="888" t="str">
        <f t="shared" si="29"/>
        <v>管理费用</v>
      </c>
      <c r="F143" s="884">
        <f t="shared" si="41"/>
        <v>5231717.3499999996</v>
      </c>
      <c r="G143" s="885">
        <f>SUMIF(AJE!$B:$B,$C143&amp;$D143&amp;"*",AJE!$O:$O)</f>
        <v>-180500</v>
      </c>
      <c r="H143" s="885">
        <f>SUMIF(AJE!$B:$B,$C143&amp;$D143&amp;"*",AJE!$P:$P)</f>
        <v>0</v>
      </c>
      <c r="I143" s="913">
        <f t="shared" si="38"/>
        <v>5051217.3499999996</v>
      </c>
      <c r="J143" s="914">
        <f t="shared" si="42"/>
        <v>5160685.92</v>
      </c>
      <c r="K143" s="885">
        <f>SUMIF('AJE1'!$B:$B,$C143&amp;$D143&amp;"*",'AJE1'!$O:$O)</f>
        <v>0</v>
      </c>
      <c r="L143" s="885">
        <f>SUMIF('AJE1'!$B:$B,$C143&amp;$D143&amp;"*",'AJE1'!$P:$P)</f>
        <v>0</v>
      </c>
      <c r="M143" s="891">
        <f t="shared" si="39"/>
        <v>5160685.92</v>
      </c>
      <c r="N143" s="641"/>
      <c r="O143" s="641"/>
      <c r="P143" s="641"/>
      <c r="Q143" s="641"/>
      <c r="T143" s="3055">
        <v>6101</v>
      </c>
      <c r="U143" s="3063">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5">
        <v>6171</v>
      </c>
      <c r="U144" s="3063">
        <v>0</v>
      </c>
    </row>
    <row r="145" spans="1:21" ht="18">
      <c r="A145" s="1648">
        <f t="shared" si="26"/>
        <v>0</v>
      </c>
      <c r="B145" s="1647">
        <f t="shared" si="27"/>
        <v>1</v>
      </c>
      <c r="C145" s="1647" t="str">
        <f t="shared" si="28"/>
        <v>J</v>
      </c>
      <c r="D145" s="1659">
        <v>6603</v>
      </c>
      <c r="E145" s="888" t="str">
        <f t="shared" si="29"/>
        <v>财务费用</v>
      </c>
      <c r="F145" s="884">
        <f t="shared" si="41"/>
        <v>-10537.07</v>
      </c>
      <c r="G145" s="885">
        <f>SUMIF(AJE!$B:$B,$C145&amp;$D145&amp;"*",AJE!$O:$O)</f>
        <v>0</v>
      </c>
      <c r="H145" s="885">
        <f>SUMIF(AJE!$B:$B,$C145&amp;$D145&amp;"*",AJE!$P:$P)</f>
        <v>0</v>
      </c>
      <c r="I145" s="913">
        <f t="shared" si="38"/>
        <v>-10537.07</v>
      </c>
      <c r="J145" s="914">
        <f t="shared" si="42"/>
        <v>-4939.1400000000003</v>
      </c>
      <c r="K145" s="885">
        <f>SUMIF('AJE1'!$B:$B,$C145&amp;$D145&amp;"*",'AJE1'!$O:$O)</f>
        <v>0</v>
      </c>
      <c r="L145" s="885">
        <f>SUMIF('AJE1'!$B:$B,$C145&amp;$D145&amp;"*",'AJE1'!$P:$P)</f>
        <v>0</v>
      </c>
      <c r="M145" s="891">
        <f t="shared" si="39"/>
        <v>-4939.1400000000003</v>
      </c>
      <c r="N145" s="641"/>
      <c r="O145" s="641"/>
      <c r="P145" s="641"/>
      <c r="Q145" s="641"/>
      <c r="T145" s="3055">
        <v>6689</v>
      </c>
      <c r="U145" s="3063">
        <v>1636993.18</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55">
        <v>6710</v>
      </c>
      <c r="U146" s="3063">
        <v>0</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10615</v>
      </c>
      <c r="G147" s="885">
        <f>SUMIF(AJE!$B:$B,$C147&amp;$D147&amp;"*",AJE!$O:$O)</f>
        <v>0</v>
      </c>
      <c r="H147" s="885">
        <f>SUMIF(AJE!$B:$B,$C147&amp;$D147&amp;"*",AJE!$P:$P)</f>
        <v>0</v>
      </c>
      <c r="I147" s="913">
        <f t="shared" si="38"/>
        <v>10615</v>
      </c>
      <c r="J147" s="914">
        <f>VLOOKUP($D147,Sheet_Preis,5,0)</f>
        <v>0</v>
      </c>
      <c r="K147" s="885">
        <f>SUMIF('AJE1'!$B:$B,$C147&amp;$D147&amp;"*",'AJE1'!$O:$O)</f>
        <v>0</v>
      </c>
      <c r="L147" s="885">
        <f>SUMIF('AJE1'!$B:$B,$C147&amp;$D147&amp;"*",'AJE1'!$P:$P)</f>
        <v>0</v>
      </c>
      <c r="M147" s="891">
        <f t="shared" si="39"/>
        <v>0</v>
      </c>
      <c r="N147" s="641"/>
      <c r="O147" s="641"/>
      <c r="P147" s="641"/>
      <c r="Q147" s="641"/>
      <c r="T147" s="3055">
        <v>6711</v>
      </c>
      <c r="U147" s="3063">
        <v>0</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10490.18</v>
      </c>
      <c r="G148" s="885">
        <f>SUMIF(AJE!$B:$B,$C148&amp;$D148&amp;"*",AJE!$O:$O)</f>
        <v>0</v>
      </c>
      <c r="H148" s="885">
        <f>SUMIF(AJE!$B:$B,$C148&amp;$D148&amp;"*",AJE!$P:$P)</f>
        <v>0</v>
      </c>
      <c r="I148" s="913">
        <f t="shared" si="38"/>
        <v>10490.18</v>
      </c>
      <c r="J148" s="914">
        <f>VLOOKUP($D148,Sheet_Preis,5,0)</f>
        <v>0</v>
      </c>
      <c r="K148" s="885">
        <f>SUMIF('AJE1'!$B:$B,$C148&amp;$D148&amp;"*",'AJE1'!$O:$O)</f>
        <v>0</v>
      </c>
      <c r="L148" s="885">
        <f>SUMIF('AJE1'!$B:$B,$C148&amp;$D148&amp;"*",'AJE1'!$P:$P)</f>
        <v>0</v>
      </c>
      <c r="M148" s="891">
        <f t="shared" si="39"/>
        <v>0</v>
      </c>
      <c r="N148" s="641"/>
      <c r="O148" s="641"/>
      <c r="P148" s="641"/>
      <c r="Q148" s="641"/>
      <c r="T148" s="3055">
        <v>6788</v>
      </c>
      <c r="U148" s="3063">
        <v>1636993.18</v>
      </c>
    </row>
    <row r="149" spans="1:21"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5521086.3499999996</v>
      </c>
      <c r="K149" s="885">
        <f>SUMIF('AJE1'!$B:$B,$C149&amp;$D149&amp;"*",'AJE1'!$O:$O)</f>
        <v>0</v>
      </c>
      <c r="L149" s="885">
        <f>SUMIF('AJE1'!$B:$B,$C149&amp;$D149&amp;"*",'AJE1'!$P:$P)</f>
        <v>0</v>
      </c>
      <c r="M149" s="891">
        <f t="shared" si="39"/>
        <v>5521086.3499999996</v>
      </c>
      <c r="N149" s="641"/>
      <c r="O149" s="641"/>
      <c r="P149" s="641"/>
      <c r="Q149" s="641"/>
      <c r="T149" s="3055">
        <v>6791</v>
      </c>
      <c r="U149" s="3063">
        <v>-926583.97</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3">
        <v>2563577.15</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4"/>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4"/>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4"/>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3"/>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0</v>
      </c>
      <c r="G155" s="885">
        <f>SUMIF(AJE!$B:$B,$C155&amp;$D155&amp;"*",AJE!$O:$O)</f>
        <v>0</v>
      </c>
      <c r="H155" s="885">
        <f>SUMIF(AJE!$B:$B,$C155&amp;$D155&amp;"*",AJE!$P:$P)</f>
        <v>0</v>
      </c>
      <c r="I155" s="913">
        <f t="shared" ref="I155:I157" si="47">(B155*F155+G155-H155)*B155</f>
        <v>0</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3">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0</v>
      </c>
      <c r="K156" s="885">
        <f>SUMIF('AJE1'!$B:$B,$C156&amp;$D156&amp;"*",'AJE1'!$O:$O)</f>
        <v>0</v>
      </c>
      <c r="L156" s="885">
        <f>SUMIF('AJE1'!$B:$B,$C156&amp;$D156&amp;"*",'AJE1'!$P:$P)</f>
        <v>0</v>
      </c>
      <c r="M156" s="891">
        <f t="shared" si="48"/>
        <v>0</v>
      </c>
      <c r="N156" s="641"/>
      <c r="O156" s="641"/>
      <c r="P156" s="641"/>
      <c r="Q156" s="641"/>
      <c r="T156" s="3055">
        <v>6811</v>
      </c>
      <c r="U156" s="3063">
        <v>2563577.15</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5">
        <v>6829</v>
      </c>
      <c r="U157" s="3063">
        <v>0</v>
      </c>
    </row>
    <row r="158" spans="1:21" ht="18">
      <c r="A158" s="1648" t="str">
        <f t="shared" si="26"/>
        <v>＝</v>
      </c>
      <c r="B158" s="1647">
        <f t="shared" si="27"/>
        <v>0</v>
      </c>
      <c r="C158" s="1647">
        <f t="shared" si="28"/>
        <v>0</v>
      </c>
      <c r="D158" s="2186">
        <v>6689</v>
      </c>
      <c r="E158" s="2187" t="str">
        <f t="shared" si="29"/>
        <v>营业利润</v>
      </c>
      <c r="F158" s="884">
        <f>SUM(F128:F131)-SUM(F133:F145)+SUM(F148:F157)-SUM(F150,F151)</f>
        <v>-2563240.34</v>
      </c>
      <c r="G158" s="919">
        <f>SUM(G128:G131)+SUM(G133:G145)+SUM(G148:G157)-SUM(G150,G151)</f>
        <v>-180500</v>
      </c>
      <c r="H158" s="919">
        <f>SUM(H128:H131)+SUM(H133:H145)+SUM(H148:H157)-SUM(H150,H151)</f>
        <v>0</v>
      </c>
      <c r="I158" s="913">
        <f>SUM(I128:I131)-SUM(I133:I145)+SUM(I148:I157)-SUM(I150,I151)</f>
        <v>-2382740.34</v>
      </c>
      <c r="J158" s="914">
        <f>SUM(J128:J131)-SUM(J133:J145)+SUM(J148:J157)-SUM(J150,J151)</f>
        <v>1636993.18</v>
      </c>
      <c r="K158" s="919">
        <f>SUM(K128:K131)+SUM(K133:K145)+SUM(K148:K157)-SUM(K150,K151)</f>
        <v>0</v>
      </c>
      <c r="L158" s="919">
        <f>SUM(L128:L131)+SUM(L133:L145)+SUM(L148:L157)-SUM(L150,L151)</f>
        <v>0</v>
      </c>
      <c r="M158" s="891">
        <f>SUM(M128:M131)-SUM(M133:M145)+SUM(M148:M157)-SUM(M150,M151)</f>
        <v>1636993.18</v>
      </c>
      <c r="N158" s="641"/>
      <c r="O158" s="641"/>
      <c r="P158" s="641"/>
      <c r="Q158" s="641"/>
      <c r="T158" s="3058">
        <v>6829.2</v>
      </c>
      <c r="U158" s="3063">
        <v>0</v>
      </c>
    </row>
    <row r="159" spans="1:21" ht="18">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c r="T159" s="3056">
        <v>6829.21</v>
      </c>
      <c r="U159" s="3063">
        <v>0</v>
      </c>
    </row>
    <row r="160" spans="1:21" ht="18">
      <c r="A160" s="1648">
        <f t="shared" si="26"/>
        <v>0</v>
      </c>
      <c r="B160" s="1647">
        <f t="shared" si="27"/>
        <v>1</v>
      </c>
      <c r="C160" s="1647" t="str">
        <f t="shared" si="28"/>
        <v>J</v>
      </c>
      <c r="D160" s="1659">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59">
        <v>6829.2110000000002</v>
      </c>
      <c r="U160" s="3063">
        <v>0</v>
      </c>
    </row>
    <row r="161" spans="1:21" ht="18">
      <c r="A161" s="1648" t="str">
        <f t="shared" si="26"/>
        <v>＝</v>
      </c>
      <c r="B161" s="1647">
        <f t="shared" si="27"/>
        <v>0</v>
      </c>
      <c r="C161" s="1647">
        <f t="shared" si="28"/>
        <v>0</v>
      </c>
      <c r="D161" s="1659">
        <v>6788</v>
      </c>
      <c r="E161" s="888" t="str">
        <f t="shared" si="29"/>
        <v>利润总额</v>
      </c>
      <c r="F161" s="884">
        <f>SUM(F158,F159,-F160)</f>
        <v>-2563240.34</v>
      </c>
      <c r="G161" s="919">
        <f>SUM(G158,G159,G160)</f>
        <v>-180500</v>
      </c>
      <c r="H161" s="919">
        <f>SUM(H158,H159,H160)</f>
        <v>0</v>
      </c>
      <c r="I161" s="913">
        <f>SUM(I158,I159,-I160)</f>
        <v>-2382740.34</v>
      </c>
      <c r="J161" s="914">
        <f>SUM(J158,J159,-J160)</f>
        <v>1636993.18</v>
      </c>
      <c r="K161" s="919">
        <f>SUM(K158,K159,K160)</f>
        <v>0</v>
      </c>
      <c r="L161" s="919">
        <f>SUM(L158,L159,L160)</f>
        <v>0</v>
      </c>
      <c r="M161" s="891">
        <f>SUM(M158,M159,-M160)</f>
        <v>1636993.18</v>
      </c>
      <c r="N161" s="641"/>
      <c r="O161" s="641"/>
      <c r="P161" s="641"/>
      <c r="Q161" s="641"/>
      <c r="T161" s="3059">
        <v>6829.2120000000004</v>
      </c>
      <c r="U161" s="3063">
        <v>0</v>
      </c>
    </row>
    <row r="162" spans="1:21" ht="18">
      <c r="A162" s="1648">
        <f t="shared" si="26"/>
        <v>0</v>
      </c>
      <c r="B162" s="1647">
        <f t="shared" si="27"/>
        <v>1</v>
      </c>
      <c r="C162" s="1647" t="str">
        <f t="shared" si="28"/>
        <v>J</v>
      </c>
      <c r="D162" s="1659">
        <v>6791</v>
      </c>
      <c r="E162" s="888" t="str">
        <f t="shared" si="29"/>
        <v>所得税费用</v>
      </c>
      <c r="F162" s="884">
        <f>VLOOKUP($D162,Sheet_Preis,4,0)</f>
        <v>0</v>
      </c>
      <c r="G162" s="885">
        <f>SUMIF(AJE!$B:$B,$C162&amp;$D162&amp;"*",AJE!$O:$O)</f>
        <v>0</v>
      </c>
      <c r="H162" s="885">
        <f>SUMIF(AJE!$B:$B,$C162&amp;$D162&amp;"*",AJE!$P:$P)</f>
        <v>0</v>
      </c>
      <c r="I162" s="913">
        <f t="shared" si="38"/>
        <v>0</v>
      </c>
      <c r="J162" s="914">
        <f>VLOOKUP($D162,Sheet_Preis,5,0)</f>
        <v>-926583.97</v>
      </c>
      <c r="K162" s="885">
        <f>SUMIF('AJE1'!$B:$B,$C162&amp;$D162&amp;"*",'AJE1'!$O:$O)</f>
        <v>0</v>
      </c>
      <c r="L162" s="885">
        <f>SUMIF('AJE1'!$B:$B,$C162&amp;$D162&amp;"*",'AJE1'!$P:$P)</f>
        <v>0</v>
      </c>
      <c r="M162" s="891">
        <f t="shared" si="39"/>
        <v>-926583.97</v>
      </c>
      <c r="N162" s="641"/>
      <c r="O162" s="641"/>
      <c r="P162" s="641"/>
      <c r="Q162" s="641"/>
      <c r="T162" s="3059">
        <v>6829.2190000000001</v>
      </c>
      <c r="U162" s="3063">
        <v>0</v>
      </c>
    </row>
    <row r="163" spans="1:21" ht="18">
      <c r="A163" s="1648" t="str">
        <f t="shared" si="26"/>
        <v>＝</v>
      </c>
      <c r="B163" s="1647">
        <f t="shared" si="27"/>
        <v>0</v>
      </c>
      <c r="C163" s="1647">
        <f t="shared" si="28"/>
        <v>0</v>
      </c>
      <c r="D163" s="2186">
        <v>6799</v>
      </c>
      <c r="E163" s="2187" t="str">
        <f t="shared" si="29"/>
        <v>净利润</v>
      </c>
      <c r="F163" s="884">
        <f t="shared" ref="F163:M163" si="49">SUM(F161,-F162)</f>
        <v>-2563240.34</v>
      </c>
      <c r="G163" s="919">
        <f>SUM(G161,G162)</f>
        <v>-180500</v>
      </c>
      <c r="H163" s="919">
        <f>SUM(H161,H162)</f>
        <v>0</v>
      </c>
      <c r="I163" s="913">
        <f t="shared" si="49"/>
        <v>-2382740.34</v>
      </c>
      <c r="J163" s="914">
        <f t="shared" si="49"/>
        <v>2563577.15</v>
      </c>
      <c r="K163" s="919">
        <f>SUM(K161,K162)</f>
        <v>0</v>
      </c>
      <c r="L163" s="919">
        <f>SUM(L161,L162)</f>
        <v>0</v>
      </c>
      <c r="M163" s="891">
        <f t="shared" si="49"/>
        <v>2563577.15</v>
      </c>
      <c r="N163" s="641"/>
      <c r="O163" s="641"/>
      <c r="P163" s="641"/>
      <c r="Q163" s="641"/>
      <c r="T163" s="3056">
        <v>6829.23</v>
      </c>
      <c r="U163" s="3063">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59">
        <v>6829.2309999999998</v>
      </c>
      <c r="U164" s="3063">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-2563240.34</v>
      </c>
      <c r="G165" s="918"/>
      <c r="H165" s="918"/>
      <c r="I165" s="921"/>
      <c r="J165" s="922">
        <f>VLOOKUP($D165,Sheet_Preis,5,0)</f>
        <v>2563577.15</v>
      </c>
      <c r="K165" s="918"/>
      <c r="L165" s="918"/>
      <c r="M165" s="923"/>
      <c r="T165" s="3059">
        <v>6829.232</v>
      </c>
      <c r="U165" s="3063">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3">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3">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3">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-2563240.34</v>
      </c>
      <c r="G169" s="885">
        <f>SUM(VLOOKUP(6799,Sheet_Trialbal,4,0),VLOOKUP(6812,Sheet_Trialbal,4,0))</f>
        <v>-180500</v>
      </c>
      <c r="H169" s="885">
        <f>SUM(VLOOKUP(6799,Sheet_Trialbal,5,0),VLOOKUP(6812,Sheet_Trialbal,5,0))</f>
        <v>0</v>
      </c>
      <c r="I169" s="913">
        <f t="shared" si="38"/>
        <v>-2382740.34</v>
      </c>
      <c r="J169" s="914">
        <f>VLOOKUP($D169,Sheet_Preis,5,0)</f>
        <v>2563577.15</v>
      </c>
      <c r="K169" s="885">
        <f>SUM(VLOOKUP(6799,Sheet_Trialbal,8,0),VLOOKUP(6812,Sheet_Trialbal,8,0))</f>
        <v>0</v>
      </c>
      <c r="L169" s="885">
        <f>SUM(VLOOKUP(6799,Sheet_Trialbal,9,0),VLOOKUP(6812,Sheet_Trialbal,9,0))</f>
        <v>0</v>
      </c>
      <c r="M169" s="891">
        <f t="shared" si="39"/>
        <v>2563577.15</v>
      </c>
      <c r="N169" s="641"/>
      <c r="O169" s="641"/>
      <c r="P169" s="641"/>
      <c r="Q169" s="641"/>
      <c r="T169" s="3059">
        <v>6829.2359999999999</v>
      </c>
      <c r="U169" s="3063">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3">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3">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3">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3">
        <v>2563577.15</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3">
        <v>2563577.15</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3">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4"/>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4"/>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4"/>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4"/>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4"/>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4"/>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3"/>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3"/>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3">
        <v>101620118.75</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3">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3">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3">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3">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3">
        <v>101620118.75</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3">
        <v>2563577.15</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3">
        <v>2563577.15</v>
      </c>
    </row>
    <row r="192" spans="1:21" ht="18">
      <c r="A192" s="1648" t="str">
        <f t="shared" si="26"/>
        <v>＝</v>
      </c>
      <c r="B192" s="1647">
        <f t="shared" si="27"/>
        <v>0</v>
      </c>
      <c r="C192" s="1647">
        <f t="shared" si="28"/>
        <v>0</v>
      </c>
      <c r="D192" s="2186">
        <v>6839</v>
      </c>
      <c r="E192" s="2187" t="str">
        <f t="shared" si="29"/>
        <v>综合收益总额</v>
      </c>
      <c r="F192" s="884">
        <f t="shared" ref="F192:M192" si="58">SUM(F163,F170)</f>
        <v>-2563240.34</v>
      </c>
      <c r="G192" s="885">
        <f t="shared" si="58"/>
        <v>-180500</v>
      </c>
      <c r="H192" s="885">
        <f t="shared" si="58"/>
        <v>0</v>
      </c>
      <c r="I192" s="913">
        <f t="shared" si="58"/>
        <v>-2382740.34</v>
      </c>
      <c r="J192" s="914">
        <f t="shared" si="58"/>
        <v>2563577.15</v>
      </c>
      <c r="K192" s="885">
        <f t="shared" si="58"/>
        <v>0</v>
      </c>
      <c r="L192" s="885">
        <f t="shared" si="58"/>
        <v>0</v>
      </c>
      <c r="M192" s="891">
        <f t="shared" si="58"/>
        <v>2563577.15</v>
      </c>
      <c r="N192" s="641"/>
      <c r="O192" s="641"/>
      <c r="P192" s="641"/>
      <c r="Q192" s="641"/>
      <c r="T192" s="3055">
        <v>8030</v>
      </c>
      <c r="U192" s="3063">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-2563240.34</v>
      </c>
      <c r="G193" s="885">
        <f t="shared" si="59"/>
        <v>-180500</v>
      </c>
      <c r="H193" s="885">
        <f t="shared" si="59"/>
        <v>0</v>
      </c>
      <c r="I193" s="913">
        <f t="shared" si="59"/>
        <v>-2382740.34</v>
      </c>
      <c r="J193" s="914">
        <f t="shared" si="59"/>
        <v>2563577.15</v>
      </c>
      <c r="K193" s="885">
        <f t="shared" si="59"/>
        <v>0</v>
      </c>
      <c r="L193" s="885">
        <f t="shared" si="59"/>
        <v>0</v>
      </c>
      <c r="M193" s="891">
        <f t="shared" si="59"/>
        <v>2563577.15</v>
      </c>
      <c r="N193" s="641"/>
      <c r="O193" s="641"/>
      <c r="P193" s="641"/>
      <c r="Q193" s="641"/>
      <c r="T193" s="3055">
        <v>8040</v>
      </c>
      <c r="U193" s="3063">
        <v>2563577.15</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3">
        <v>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5">
        <v>8051</v>
      </c>
      <c r="U195" s="3063">
        <v>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5">
        <v>8053</v>
      </c>
      <c r="U196" s="3063">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5">
        <v>8052</v>
      </c>
      <c r="U197" s="3063">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3">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3">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3">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5">
        <v>8062</v>
      </c>
      <c r="U201" s="3063">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3">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104183695.90000001</v>
      </c>
      <c r="G203" s="885">
        <f t="shared" ref="G203:H209" si="66">SUM(G236,G362,G395,G459,G492,G525,G558,G591,G624,G269,G300,G331,G428)</f>
        <v>0</v>
      </c>
      <c r="H203" s="885">
        <f t="shared" si="66"/>
        <v>0</v>
      </c>
      <c r="I203" s="913">
        <f t="shared" ref="I203:J209" si="67">SUM(I236,I362,-I395,I459,I492,I525,I558,I591,I624,I269,I300,I331,I428)</f>
        <v>104183695.90000001</v>
      </c>
      <c r="J203" s="914">
        <f t="shared" ca="1" si="67"/>
        <v>101620118.75</v>
      </c>
      <c r="K203" s="885">
        <f t="shared" ref="K203:L209" si="68">SUM(K236,K362,K395,K459,K492,K525,K558,K591,K624,K269,K300,K331,K428)</f>
        <v>0</v>
      </c>
      <c r="L203" s="885">
        <f t="shared" si="68"/>
        <v>0</v>
      </c>
      <c r="M203" s="891">
        <f t="shared" ref="M203:M209" ca="1" si="69">SUM(M236,M362,-M395,M459,M492,M525,M558,M591,M624,M269,M300,M331,M428)</f>
        <v>101620118.75</v>
      </c>
      <c r="N203" s="641"/>
      <c r="O203" s="641"/>
      <c r="P203" s="641"/>
      <c r="Q203" s="641"/>
      <c r="T203" s="3055">
        <v>8066</v>
      </c>
      <c r="U203" s="3063">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5">
        <v>8070</v>
      </c>
      <c r="U204" s="3063">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3">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3">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3">
        <v>0</v>
      </c>
    </row>
    <row r="208" spans="1:21" ht="18">
      <c r="A208" s="1648" t="str">
        <f t="shared" si="63"/>
        <v>＝</v>
      </c>
      <c r="B208" s="1647">
        <f t="shared" si="64"/>
        <v>0</v>
      </c>
      <c r="C208" s="1647">
        <f t="shared" si="61"/>
        <v>0</v>
      </c>
      <c r="D208" s="1659">
        <v>8010</v>
      </c>
      <c r="E208" s="888" t="str">
        <f t="shared" si="62"/>
        <v>所有者权益_本年年初余额</v>
      </c>
      <c r="F208" s="884">
        <f t="shared" si="65"/>
        <v>104183695.90000001</v>
      </c>
      <c r="G208" s="885">
        <f t="shared" si="66"/>
        <v>0</v>
      </c>
      <c r="H208" s="885">
        <f t="shared" si="66"/>
        <v>0</v>
      </c>
      <c r="I208" s="913">
        <f t="shared" si="67"/>
        <v>104183695.90000001</v>
      </c>
      <c r="J208" s="914">
        <f t="shared" ca="1" si="67"/>
        <v>101620118.75</v>
      </c>
      <c r="K208" s="885">
        <f t="shared" si="68"/>
        <v>0</v>
      </c>
      <c r="L208" s="885">
        <f t="shared" si="68"/>
        <v>0</v>
      </c>
      <c r="M208" s="891">
        <f t="shared" ca="1" si="69"/>
        <v>101620118.75</v>
      </c>
      <c r="N208" s="641"/>
      <c r="O208" s="641"/>
      <c r="P208" s="641"/>
      <c r="Q208" s="641"/>
      <c r="T208" s="3055">
        <v>8075</v>
      </c>
      <c r="U208" s="3063">
        <v>0</v>
      </c>
    </row>
    <row r="209" spans="1:21" ht="18">
      <c r="A209" s="1648" t="str">
        <f t="shared" si="63"/>
        <v>＝</v>
      </c>
      <c r="B209" s="1647">
        <f t="shared" si="64"/>
        <v>0</v>
      </c>
      <c r="C209" s="1647">
        <f t="shared" si="61"/>
        <v>0</v>
      </c>
      <c r="D209" s="1659">
        <v>8090</v>
      </c>
      <c r="E209" s="888" t="str">
        <f t="shared" si="62"/>
        <v>所有者权益_本期增减变动金额</v>
      </c>
      <c r="F209" s="884">
        <f t="shared" si="65"/>
        <v>-2563240.34</v>
      </c>
      <c r="G209" s="885">
        <f t="shared" si="66"/>
        <v>-180500</v>
      </c>
      <c r="H209" s="885">
        <f t="shared" si="66"/>
        <v>0</v>
      </c>
      <c r="I209" s="913">
        <f t="shared" si="67"/>
        <v>-2382740.34</v>
      </c>
      <c r="J209" s="914">
        <f t="shared" ca="1" si="67"/>
        <v>2563577.15</v>
      </c>
      <c r="K209" s="885">
        <f t="shared" si="68"/>
        <v>0</v>
      </c>
      <c r="L209" s="885">
        <f t="shared" si="68"/>
        <v>0</v>
      </c>
      <c r="M209" s="891">
        <f t="shared" ca="1" si="69"/>
        <v>2563577.15</v>
      </c>
      <c r="N209" s="641"/>
      <c r="O209" s="641"/>
      <c r="P209" s="641"/>
      <c r="Q209" s="641"/>
      <c r="T209" s="3055">
        <v>8076</v>
      </c>
      <c r="U209" s="3063">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-2563240.34</v>
      </c>
      <c r="G210" s="885">
        <f>SUM(G243,G369,G402,G466,G499,G532,G565,G598,G631)</f>
        <v>-180500</v>
      </c>
      <c r="H210" s="885">
        <f>SUM(H243,H369,H402,H466,H499,H532,H565,H598,H631)</f>
        <v>0</v>
      </c>
      <c r="I210" s="913">
        <f>SUM(I243,I369,-I402,I466,I499,I532,I565,I598,I631)</f>
        <v>-2382740.34</v>
      </c>
      <c r="J210" s="914">
        <f>SUM(J243,J369,-J402,J466,J499,J532,J565,J598,J631)</f>
        <v>2563577.15</v>
      </c>
      <c r="K210" s="885">
        <f>SUM(K243,K369,K402,K466,K499,K532,K565,K598,K631)</f>
        <v>0</v>
      </c>
      <c r="L210" s="885">
        <f>SUM(L243,L369,L402,L466,L499,L532,L565,L598,L631)</f>
        <v>0</v>
      </c>
      <c r="M210" s="891">
        <f>SUM(M243,M369,-M402,M466,M499,M532,M565,M598,M631)</f>
        <v>2563577.15</v>
      </c>
      <c r="N210" s="641"/>
      <c r="O210" s="641"/>
      <c r="P210" s="641"/>
      <c r="Q210" s="641"/>
      <c r="T210" s="3055">
        <v>8080</v>
      </c>
      <c r="U210" s="3063">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3">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-2563240.34</v>
      </c>
      <c r="G212" s="885">
        <f t="shared" ref="G212:H234" si="71">SUM(G245,G371,G404,G468,G501,G534,G567,G600,G633,G276,G307,G338,G435)</f>
        <v>-180500</v>
      </c>
      <c r="H212" s="885">
        <f t="shared" si="71"/>
        <v>0</v>
      </c>
      <c r="I212" s="913">
        <f t="shared" ref="I212:J234" si="72">SUM(I245,I371,-I404,I468,I501,I534,I567,I600,I633,I276,I307,I338,I435)</f>
        <v>-2382740.34</v>
      </c>
      <c r="J212" s="914">
        <f t="shared" ca="1" si="72"/>
        <v>2563577.15</v>
      </c>
      <c r="K212" s="885">
        <f t="shared" ref="K212:L234" si="73">SUM(K245,K371,K404,K468,K501,K534,K567,K600,K633,K276,K307,K338,K435)</f>
        <v>0</v>
      </c>
      <c r="L212" s="885">
        <f t="shared" si="73"/>
        <v>0</v>
      </c>
      <c r="M212" s="891">
        <f t="shared" ref="M212:M234" ca="1" si="74">SUM(M245,M371,-M404,M468,M501,M534,M567,M600,M633,M276,M307,M338,M435)</f>
        <v>2563577.15</v>
      </c>
      <c r="N212" s="641"/>
      <c r="O212" s="641"/>
      <c r="P212" s="641"/>
      <c r="Q212" s="641"/>
      <c r="T212" s="3055">
        <v>8082</v>
      </c>
      <c r="U212" s="3063">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5">
        <v>8096</v>
      </c>
      <c r="U213" s="3063">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5">
        <v>8099</v>
      </c>
      <c r="U214" s="3063">
        <v>104183695.90000001</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3"/>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3">
        <v>100000000</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3">
        <v>0</v>
      </c>
    </row>
    <row r="218" spans="1:21" ht="18">
      <c r="A218" s="1648" t="str">
        <f t="shared" si="63"/>
        <v>＝</v>
      </c>
      <c r="B218" s="1647">
        <f t="shared" si="64"/>
        <v>0</v>
      </c>
      <c r="C218" s="1647">
        <f t="shared" si="61"/>
        <v>0</v>
      </c>
      <c r="D218" s="1659">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3">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3">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3">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3">
        <v>100000000</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3">
        <v>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3">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3">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3">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3">
        <v>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3">
        <v>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3">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3">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3">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3">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3">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3">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101620455.56</v>
      </c>
      <c r="G234" s="885">
        <f t="shared" si="71"/>
        <v>-180500</v>
      </c>
      <c r="H234" s="885">
        <f t="shared" si="71"/>
        <v>0</v>
      </c>
      <c r="I234" s="913">
        <f t="shared" si="72"/>
        <v>101800955.56</v>
      </c>
      <c r="J234" s="914">
        <f t="shared" ca="1" si="72"/>
        <v>104183695.90000001</v>
      </c>
      <c r="K234" s="885">
        <f t="shared" si="73"/>
        <v>0</v>
      </c>
      <c r="L234" s="885">
        <f t="shared" si="73"/>
        <v>0</v>
      </c>
      <c r="M234" s="891">
        <f t="shared" ca="1" si="74"/>
        <v>104183695.90000001</v>
      </c>
      <c r="N234" s="641"/>
      <c r="O234" s="641"/>
      <c r="P234" s="641"/>
      <c r="Q234" s="641"/>
      <c r="T234" s="3055">
        <v>8163</v>
      </c>
      <c r="U234" s="3063">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5">
        <v>8166</v>
      </c>
      <c r="U235" s="3063">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100000000</v>
      </c>
      <c r="G236" s="885">
        <f>SUMIF(AJE!$B:$B,$C236&amp;$D236&amp;"*",AJE!$O:$O)</f>
        <v>0</v>
      </c>
      <c r="H236" s="885">
        <f>SUMIF(AJE!$B:$B,$C236&amp;$D236&amp;"*",AJE!$P:$P)</f>
        <v>0</v>
      </c>
      <c r="I236" s="913">
        <f>(B236*F236+G236-H236)*B236</f>
        <v>100000000</v>
      </c>
      <c r="J236" s="914">
        <f>INDEX(Sheet_Presc,MATCH((RIGHT($D236,2)),Sheet_Prescrow,0),MATCH((VALUE(LEFT($D236,2))),Sheet_Presccol,0))</f>
        <v>100000000</v>
      </c>
      <c r="K236" s="885">
        <f>SUMIF('AJE1'!$B:$B,$C236&amp;$D236&amp;"*",'AJE1'!$O:$O)</f>
        <v>0</v>
      </c>
      <c r="L236" s="885">
        <f>SUMIF('AJE1'!$B:$B,$C236&amp;$D236&amp;"*",'AJE1'!$P:$P)</f>
        <v>0</v>
      </c>
      <c r="M236" s="891">
        <f>($B236*J236+K236-L236)*$B236</f>
        <v>100000000</v>
      </c>
      <c r="N236" s="641"/>
      <c r="O236" s="641"/>
      <c r="P236" s="641"/>
      <c r="Q236" s="641"/>
      <c r="T236" s="3055">
        <v>8170</v>
      </c>
      <c r="U236" s="3063">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3">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3">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3">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3">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100000000</v>
      </c>
      <c r="G241" s="885">
        <f t="shared" si="76"/>
        <v>0</v>
      </c>
      <c r="H241" s="885">
        <f t="shared" si="76"/>
        <v>0</v>
      </c>
      <c r="I241" s="913">
        <f t="shared" si="76"/>
        <v>100000000</v>
      </c>
      <c r="J241" s="914">
        <f t="shared" si="76"/>
        <v>100000000</v>
      </c>
      <c r="K241" s="885">
        <f t="shared" si="76"/>
        <v>0</v>
      </c>
      <c r="L241" s="885">
        <f t="shared" si="76"/>
        <v>0</v>
      </c>
      <c r="M241" s="891">
        <f t="shared" si="76"/>
        <v>100000000</v>
      </c>
      <c r="N241" s="641"/>
      <c r="O241" s="641"/>
      <c r="P241" s="641"/>
      <c r="Q241" s="641"/>
      <c r="T241" s="3055">
        <v>8176</v>
      </c>
      <c r="U241" s="3063">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5">
        <v>8180</v>
      </c>
      <c r="U242" s="3063">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3">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3">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3">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5">
        <v>8199</v>
      </c>
      <c r="U246" s="3063">
        <v>100000000</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5" t="s">
        <v>1216</v>
      </c>
      <c r="U247" s="3063"/>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3">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3">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3">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3">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3">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3">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3">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3">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3">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3">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3">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3">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3">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3">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3">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3">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3">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3">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3">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100000000</v>
      </c>
      <c r="G267" s="885">
        <f t="shared" si="87"/>
        <v>0</v>
      </c>
      <c r="H267" s="885">
        <f t="shared" si="87"/>
        <v>0</v>
      </c>
      <c r="I267" s="913">
        <f t="shared" si="87"/>
        <v>100000000</v>
      </c>
      <c r="J267" s="914">
        <f t="shared" si="87"/>
        <v>100000000</v>
      </c>
      <c r="K267" s="885">
        <f t="shared" si="87"/>
        <v>0</v>
      </c>
      <c r="L267" s="885">
        <f t="shared" si="87"/>
        <v>0</v>
      </c>
      <c r="M267" s="891">
        <f t="shared" si="87"/>
        <v>100000000</v>
      </c>
      <c r="N267" s="641"/>
      <c r="O267" s="641"/>
      <c r="P267" s="641"/>
      <c r="Q267" s="641"/>
      <c r="T267" s="3055" t="s">
        <v>1318</v>
      </c>
      <c r="U267" s="3063">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3">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3">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3">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3">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3">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3">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3">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3">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3">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3"/>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3">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3">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3">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3">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3">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3">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3">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3">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3">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3">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3">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3">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3">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3">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3">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3">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3">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3">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3">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3">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3">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3">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3">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3">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3">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3">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3">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3">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3">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3"/>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3">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3">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3">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3">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3">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3">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3">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3">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3">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3">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3">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3">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3">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3">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3">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3">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3">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3">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3">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3">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3">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3">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3">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3">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3">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3">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3">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3">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3">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3">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3">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3">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3">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3">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3">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3">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3">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3">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3">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3">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3">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3">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3">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3">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3">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3">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3">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3">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3">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3">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3">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3">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3">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5">
        <v>8273</v>
      </c>
      <c r="U361" s="3063">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5">
        <v>8275</v>
      </c>
      <c r="U362" s="3063">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3">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3">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3">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3">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5">
        <v>8296</v>
      </c>
      <c r="U367" s="3063">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3">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3">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3">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3">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3">
        <v>0</v>
      </c>
    </row>
    <row r="373" spans="1:21"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3">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3">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3">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3">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3">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3">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3">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3">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3">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3">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3">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3">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3">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3">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3">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3">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3">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3">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3">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3">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5">
        <v>8373</v>
      </c>
      <c r="U393" s="3063">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5">
        <v>8375</v>
      </c>
      <c r="U394" s="3063">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3">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3">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3">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3">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3">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3">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3"/>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3">
        <v>0</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3">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3">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3">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3">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3">
        <v>0</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3">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3">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3">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3">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3">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3">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3">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3">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3">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3">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3">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3">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3">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3">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3">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3">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3">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3">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3">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5" t="s">
        <v>1802</v>
      </c>
      <c r="U427" s="3063">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3">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3">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3">
        <v>0</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3">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3">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3">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3">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3">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3">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3">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3">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3">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3">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3">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3">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3">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3">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3">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3">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3">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3">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3">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3">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3">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3">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3">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3">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3">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3">
        <v>0</v>
      </c>
    </row>
    <row r="457" spans="1:21"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3">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5">
        <v>8480</v>
      </c>
      <c r="U458" s="3063">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3">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3">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3">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3">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3">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3">
        <v>162011.87</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3">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3">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3">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3">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3">
        <v>162011.87</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3">
        <v>256357.72</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3">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3">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3">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3">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3">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3">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3">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3">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3">
        <v>256357.72</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3">
        <v>256357.72</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3">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3">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3">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3">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3">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3">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3">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3">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3">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3">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5">
        <v>8581</v>
      </c>
      <c r="U491" s="3063">
        <v>0</v>
      </c>
    </row>
    <row r="492" spans="1:21" ht="18">
      <c r="A492" s="1648">
        <f t="shared" si="150"/>
        <v>0</v>
      </c>
      <c r="B492" s="1647">
        <f t="shared" si="151"/>
        <v>-1</v>
      </c>
      <c r="C492" s="1647" t="str">
        <f t="shared" si="149"/>
        <v>J</v>
      </c>
      <c r="D492" s="1659">
        <v>8501</v>
      </c>
      <c r="E492" s="888" t="str">
        <f t="shared" si="152"/>
        <v>盈余公积_上年年末余额</v>
      </c>
      <c r="F492" s="884">
        <f t="shared" si="188"/>
        <v>418369.59</v>
      </c>
      <c r="G492" s="885">
        <f>SUMIF(AJE!$B:$B,$C492&amp;$D492&amp;"*",AJE!$O:$O)</f>
        <v>0</v>
      </c>
      <c r="H492" s="885">
        <f>SUMIF(AJE!$B:$B,$C492&amp;$D492&amp;"*",AJE!$P:$P)</f>
        <v>0</v>
      </c>
      <c r="I492" s="913">
        <f t="shared" ref="I492:I496" si="191">(B492*F492+G492-H492)*B492</f>
        <v>418369.59</v>
      </c>
      <c r="J492" s="914">
        <f t="shared" si="155"/>
        <v>162011.87</v>
      </c>
      <c r="K492" s="885">
        <f>SUMIF('AJE1'!$B:$B,$C492&amp;$D492&amp;"*",'AJE1'!$O:$O)</f>
        <v>0</v>
      </c>
      <c r="L492" s="885">
        <f>SUMIF('AJE1'!$B:$B,$C492&amp;$D492&amp;"*",'AJE1'!$P:$P)</f>
        <v>0</v>
      </c>
      <c r="M492" s="891">
        <f t="shared" ref="M492:M496" si="192">($B492*J492+K492-L492)*$B492</f>
        <v>162011.87</v>
      </c>
      <c r="N492" s="641"/>
      <c r="O492" s="641"/>
      <c r="P492" s="641"/>
      <c r="Q492" s="641"/>
      <c r="T492" s="3055">
        <v>8582</v>
      </c>
      <c r="U492" s="3063">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3">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3">
        <v>418369.59</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3">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3">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418369.59</v>
      </c>
      <c r="G497" s="885">
        <f t="shared" si="193"/>
        <v>0</v>
      </c>
      <c r="H497" s="885">
        <f t="shared" si="193"/>
        <v>0</v>
      </c>
      <c r="I497" s="913">
        <f t="shared" si="193"/>
        <v>418369.59</v>
      </c>
      <c r="J497" s="914">
        <f t="shared" si="193"/>
        <v>162011.87</v>
      </c>
      <c r="K497" s="885">
        <f t="shared" si="193"/>
        <v>0</v>
      </c>
      <c r="L497" s="885">
        <f t="shared" si="193"/>
        <v>0</v>
      </c>
      <c r="M497" s="891">
        <f t="shared" si="193"/>
        <v>162011.87</v>
      </c>
      <c r="N497" s="641"/>
      <c r="O497" s="641"/>
      <c r="P497" s="641"/>
      <c r="Q497" s="641"/>
      <c r="T497" s="3055">
        <v>8602</v>
      </c>
      <c r="U497" s="3063">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256357.72</v>
      </c>
      <c r="K498" s="885">
        <f t="shared" si="194"/>
        <v>0</v>
      </c>
      <c r="L498" s="885">
        <f t="shared" si="194"/>
        <v>0</v>
      </c>
      <c r="M498" s="891">
        <f t="shared" si="194"/>
        <v>256357.72</v>
      </c>
      <c r="N498" s="641"/>
      <c r="O498" s="641"/>
      <c r="P498" s="641"/>
      <c r="Q498" s="641"/>
      <c r="T498" s="3055">
        <v>8603</v>
      </c>
      <c r="U498" s="3063">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3">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3">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3">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3">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3">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3">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3">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3">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256357.72</v>
      </c>
      <c r="K507" s="885">
        <f t="shared" si="197"/>
        <v>0</v>
      </c>
      <c r="L507" s="885">
        <f t="shared" si="197"/>
        <v>0</v>
      </c>
      <c r="M507" s="891">
        <f t="shared" si="197"/>
        <v>256357.72</v>
      </c>
      <c r="N507" s="641"/>
      <c r="O507" s="641"/>
      <c r="P507" s="641"/>
      <c r="Q507" s="641"/>
      <c r="T507" s="3055">
        <v>8651</v>
      </c>
      <c r="U507" s="3063">
        <v>0</v>
      </c>
    </row>
    <row r="508" spans="1:21" ht="18">
      <c r="A508" s="1648">
        <f t="shared" si="150"/>
        <v>0</v>
      </c>
      <c r="B508" s="1647">
        <f t="shared" si="151"/>
        <v>-1</v>
      </c>
      <c r="C508" s="1647" t="str">
        <f t="shared" si="149"/>
        <v>J</v>
      </c>
      <c r="D508" s="1659">
        <v>8561</v>
      </c>
      <c r="E508" s="888" t="str">
        <f t="shared" si="152"/>
        <v>盈余公积_提取</v>
      </c>
      <c r="F508" s="884">
        <f t="shared" si="196"/>
        <v>0</v>
      </c>
      <c r="G508" s="885">
        <f>SUMIF(AJE!$B:$B,$C508&amp;$D508&amp;"*",AJE!$O:$O)</f>
        <v>0</v>
      </c>
      <c r="H508" s="885">
        <f>SUMIF(AJE!$B:$B,$C508&amp;$D508&amp;"*",AJE!$P:$P)</f>
        <v>0</v>
      </c>
      <c r="I508" s="913">
        <f>(B508*F508+G508-H508)*B508</f>
        <v>0</v>
      </c>
      <c r="J508" s="914">
        <f t="shared" si="155"/>
        <v>256357.72</v>
      </c>
      <c r="K508" s="885">
        <f>SUMIF('AJE1'!$B:$B,$C508&amp;$D508&amp;"*",'AJE1'!$O:$O)</f>
        <v>0</v>
      </c>
      <c r="L508" s="885">
        <f>SUMIF('AJE1'!$B:$B,$C508&amp;$D508&amp;"*",'AJE1'!$P:$P)</f>
        <v>0</v>
      </c>
      <c r="M508" s="891">
        <f>($B508*J508+K508-L508)*$B508</f>
        <v>256357.72</v>
      </c>
      <c r="N508" s="641"/>
      <c r="O508" s="641"/>
      <c r="P508" s="641"/>
      <c r="Q508" s="641"/>
      <c r="T508" s="3055">
        <v>8653</v>
      </c>
      <c r="U508" s="3063">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3">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3">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3">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3">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3">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3">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3">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3">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3">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3">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3">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3">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3">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3">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418369.59</v>
      </c>
      <c r="G523" s="885">
        <f t="shared" si="202"/>
        <v>0</v>
      </c>
      <c r="H523" s="885">
        <f t="shared" si="202"/>
        <v>0</v>
      </c>
      <c r="I523" s="913">
        <f t="shared" si="202"/>
        <v>418369.59</v>
      </c>
      <c r="J523" s="914">
        <f t="shared" si="202"/>
        <v>418369.59</v>
      </c>
      <c r="K523" s="885">
        <f t="shared" si="202"/>
        <v>0</v>
      </c>
      <c r="L523" s="885">
        <f t="shared" si="202"/>
        <v>0</v>
      </c>
      <c r="M523" s="891">
        <f t="shared" si="202"/>
        <v>418369.59</v>
      </c>
      <c r="N523" s="641"/>
      <c r="O523" s="641"/>
      <c r="P523" s="641"/>
      <c r="Q523" s="641"/>
      <c r="T523" s="3055">
        <v>8681</v>
      </c>
      <c r="U523" s="3063">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5">
        <v>8682</v>
      </c>
      <c r="U524" s="3063">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3">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3">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3">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3">
        <v>1458106.88</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3">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3">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3">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3">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3">
        <v>1458106.88</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3">
        <v>2307219.4300000002</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3">
        <v>2563577.15</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3"/>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3">
        <v>2563577.15</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3">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3">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3">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3">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3">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3">
        <v>-256357.72</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3">
        <v>-256357.72</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3">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3">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3">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3">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3">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3">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3">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3">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3">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3">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3">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3">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5">
        <v>8796</v>
      </c>
      <c r="U557" s="3063">
        <v>0</v>
      </c>
    </row>
    <row r="558" spans="1:21" ht="18">
      <c r="A558" s="1648">
        <f t="shared" si="211"/>
        <v>0</v>
      </c>
      <c r="B558" s="1647">
        <f t="shared" si="212"/>
        <v>-1</v>
      </c>
      <c r="C558" s="1647" t="str">
        <f t="shared" si="210"/>
        <v>J</v>
      </c>
      <c r="D558" s="1659">
        <v>8701</v>
      </c>
      <c r="E558" s="888" t="str">
        <f t="shared" si="213"/>
        <v>未分配利润_上年年末余额</v>
      </c>
      <c r="F558" s="884">
        <f t="shared" si="208"/>
        <v>3765326.31</v>
      </c>
      <c r="G558" s="885">
        <f>SUMIF(AJE!$B:$B,$C558&amp;$D558&amp;"*",AJE!$O:$O)</f>
        <v>0</v>
      </c>
      <c r="H558" s="885">
        <f>SUMIF(AJE!$B:$B,$C558&amp;$D558&amp;"*",AJE!$P:$P)</f>
        <v>0</v>
      </c>
      <c r="I558" s="913">
        <f t="shared" si="215"/>
        <v>3765326.31</v>
      </c>
      <c r="J558" s="914">
        <f t="shared" si="216"/>
        <v>1458106.88</v>
      </c>
      <c r="K558" s="885">
        <f>SUMIF('AJE1'!$B:$B,$C558&amp;$D558&amp;"*",'AJE1'!$O:$O)</f>
        <v>0</v>
      </c>
      <c r="L558" s="885">
        <f>SUMIF('AJE1'!$B:$B,$C558&amp;$D558&amp;"*",'AJE1'!$P:$P)</f>
        <v>0</v>
      </c>
      <c r="M558" s="891">
        <f t="shared" si="217"/>
        <v>1458106.88</v>
      </c>
      <c r="N558" s="641"/>
      <c r="O558" s="641"/>
      <c r="P558" s="641"/>
      <c r="Q558" s="641"/>
      <c r="T558" s="3055">
        <v>8799</v>
      </c>
      <c r="U558" s="3063">
        <v>3765326.31</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5">
        <v>8800</v>
      </c>
      <c r="U559" s="3063">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3">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3">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3">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3765326.31</v>
      </c>
      <c r="G563" s="885">
        <f t="shared" si="220"/>
        <v>0</v>
      </c>
      <c r="H563" s="885">
        <f t="shared" si="220"/>
        <v>0</v>
      </c>
      <c r="I563" s="913">
        <f t="shared" si="220"/>
        <v>3765326.31</v>
      </c>
      <c r="J563" s="914">
        <f t="shared" si="220"/>
        <v>1458106.88</v>
      </c>
      <c r="K563" s="885">
        <f t="shared" si="220"/>
        <v>0</v>
      </c>
      <c r="L563" s="885">
        <f t="shared" si="220"/>
        <v>0</v>
      </c>
      <c r="M563" s="891">
        <f t="shared" si="220"/>
        <v>1458106.88</v>
      </c>
      <c r="N563" s="641"/>
      <c r="O563" s="641"/>
      <c r="P563" s="641"/>
      <c r="Q563" s="641"/>
      <c r="T563" s="3055">
        <v>8804</v>
      </c>
      <c r="U563" s="3063">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-2563240.34</v>
      </c>
      <c r="G564" s="885">
        <f t="shared" ref="G564:M564" si="221">SUM(G567,G568,G573,G578,G585,G588)</f>
        <v>-180500</v>
      </c>
      <c r="H564" s="885">
        <f t="shared" si="221"/>
        <v>0</v>
      </c>
      <c r="I564" s="913">
        <f t="shared" si="221"/>
        <v>-2382740.34</v>
      </c>
      <c r="J564" s="914">
        <f t="shared" si="221"/>
        <v>2307219.4300000002</v>
      </c>
      <c r="K564" s="885">
        <f t="shared" si="221"/>
        <v>0</v>
      </c>
      <c r="L564" s="885">
        <f t="shared" si="221"/>
        <v>0</v>
      </c>
      <c r="M564" s="891">
        <f t="shared" si="221"/>
        <v>2307219.4300000002</v>
      </c>
      <c r="N564" s="641"/>
      <c r="O564" s="641"/>
      <c r="P564" s="641"/>
      <c r="Q564" s="641"/>
      <c r="T564" s="3055">
        <v>8809</v>
      </c>
      <c r="U564" s="3063">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-2563240.34</v>
      </c>
      <c r="G565" s="885">
        <f>SUM(VLOOKUP(6799,Sheet_Trialbal,4,0))</f>
        <v>-180500</v>
      </c>
      <c r="H565" s="885">
        <f>SUM(VLOOKUP(6799,Sheet_Trialbal,5,0))</f>
        <v>0</v>
      </c>
      <c r="I565" s="913">
        <f t="shared" si="215"/>
        <v>-2382740.34</v>
      </c>
      <c r="J565" s="914">
        <f t="shared" si="216"/>
        <v>2563577.15</v>
      </c>
      <c r="K565" s="885">
        <f>SUM(VLOOKUP(6799,Sheet_Trialbal,8,0))</f>
        <v>0</v>
      </c>
      <c r="L565" s="885">
        <f>SUM(VLOOKUP(6799,Sheet_Trialbal,9,0))</f>
        <v>0</v>
      </c>
      <c r="M565" s="891">
        <f t="shared" si="217"/>
        <v>2563577.15</v>
      </c>
      <c r="N565" s="641"/>
      <c r="O565" s="641"/>
      <c r="P565" s="641"/>
      <c r="Q565" s="641"/>
      <c r="T565" s="3055">
        <v>8810</v>
      </c>
      <c r="U565" s="3063">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3">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-2563240.34</v>
      </c>
      <c r="G567" s="885">
        <f>SUM(VLOOKUP(6799,Sheet_Trialbal,4,0))</f>
        <v>-180500</v>
      </c>
      <c r="H567" s="885">
        <f>SUM(VLOOKUP(6799,Sheet_Trialbal,5,0))</f>
        <v>0</v>
      </c>
      <c r="I567" s="913">
        <f>(B567*F567+G567-H567)*B567</f>
        <v>-2382740.34</v>
      </c>
      <c r="J567" s="914">
        <f>INDEX(Sheet_Presc,MATCH((RIGHT($D567,2)),Sheet_Prescrow,0),MATCH((VALUE(LEFT($D567,2))),Sheet_Presccol,0))</f>
        <v>2563577.15</v>
      </c>
      <c r="K567" s="885">
        <f>SUM(VLOOKUP(6799,Sheet_Trialbal,8,0))</f>
        <v>0</v>
      </c>
      <c r="L567" s="885">
        <f>SUM(VLOOKUP(6799,Sheet_Trialbal,9,0))</f>
        <v>0</v>
      </c>
      <c r="M567" s="891">
        <f>($B567*J567+K567-L567)*$B567</f>
        <v>2563577.15</v>
      </c>
      <c r="N567" s="641"/>
      <c r="O567" s="641"/>
      <c r="P567" s="641"/>
      <c r="Q567" s="641"/>
      <c r="T567" s="3055">
        <v>8821</v>
      </c>
      <c r="U567" s="3063">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3">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3">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3">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3">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3">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-256357.72</v>
      </c>
      <c r="K573" s="885">
        <f t="shared" si="224"/>
        <v>0</v>
      </c>
      <c r="L573" s="885">
        <f t="shared" si="224"/>
        <v>0</v>
      </c>
      <c r="M573" s="891">
        <f t="shared" si="224"/>
        <v>-256357.72</v>
      </c>
      <c r="N573" s="641"/>
      <c r="O573" s="641"/>
      <c r="P573" s="641"/>
      <c r="Q573" s="641"/>
      <c r="T573" s="3055">
        <v>8852</v>
      </c>
      <c r="U573" s="3063">
        <v>0</v>
      </c>
    </row>
    <row r="574" spans="1:21" ht="18">
      <c r="A574" s="1648">
        <f t="shared" si="211"/>
        <v>0</v>
      </c>
      <c r="B574" s="1647">
        <f t="shared" si="212"/>
        <v>-1</v>
      </c>
      <c r="C574" s="1647" t="str">
        <f t="shared" si="210"/>
        <v>J</v>
      </c>
      <c r="D574" s="1659">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-256357.72</v>
      </c>
      <c r="K574" s="885">
        <f>SUMIF('AJE1'!$B:$B,$C574&amp;$D574&amp;"*",'AJE1'!$O:$O)</f>
        <v>0</v>
      </c>
      <c r="L574" s="885">
        <f>SUMIF('AJE1'!$B:$B,$C574&amp;$D574&amp;"*",'AJE1'!$P:$P)</f>
        <v>0</v>
      </c>
      <c r="M574" s="891">
        <f t="shared" si="217"/>
        <v>-256357.72</v>
      </c>
      <c r="N574" s="641"/>
      <c r="O574" s="641"/>
      <c r="P574" s="641"/>
      <c r="Q574" s="641"/>
      <c r="T574" s="3055">
        <v>8856</v>
      </c>
      <c r="U574" s="3063">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3">
        <v>0</v>
      </c>
    </row>
    <row r="576" spans="1:21"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3">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3">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3">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3">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3">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3">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3">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3">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3">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3">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3">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3">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3">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1202085.97</v>
      </c>
      <c r="G589" s="885">
        <f t="shared" si="227"/>
        <v>-180500</v>
      </c>
      <c r="H589" s="885">
        <f t="shared" si="227"/>
        <v>0</v>
      </c>
      <c r="I589" s="913">
        <f t="shared" si="227"/>
        <v>1382585.97</v>
      </c>
      <c r="J589" s="914">
        <f t="shared" si="227"/>
        <v>3765326.31</v>
      </c>
      <c r="K589" s="885">
        <f t="shared" si="227"/>
        <v>0</v>
      </c>
      <c r="L589" s="885">
        <f t="shared" si="227"/>
        <v>0</v>
      </c>
      <c r="M589" s="891">
        <f t="shared" si="227"/>
        <v>3765326.31</v>
      </c>
      <c r="N589" s="641"/>
      <c r="O589" s="641"/>
      <c r="P589" s="641"/>
      <c r="Q589" s="641"/>
      <c r="T589" s="3055">
        <v>8896</v>
      </c>
      <c r="U589" s="3063">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5">
        <v>8899</v>
      </c>
      <c r="U590" s="3063">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3">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3">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3">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3">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3">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3">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3">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3">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3">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3">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3">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3">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3">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3">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3">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3">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3">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3">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3">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3">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3">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3">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3">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3">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3">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3">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3">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3">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3">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3">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3">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3">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5">
        <v>7</v>
      </c>
      <c r="U623" s="3063"/>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3"/>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3">
        <v>11427639</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3">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3">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3">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3">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3">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3">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3">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3">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3">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3">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3">
        <v>0</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3">
        <v>202044775.52000001</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3">
        <v>213472414.52000001</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3">
        <v>68088088</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3">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3">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3">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3">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3">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3">
        <v>2346963.46</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3">
        <v>966124.53</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3">
        <v>64284370.009999998</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3">
        <v>135685546</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3">
        <v>77786868.519999996</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3">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3">
        <v>10000000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3">
        <v>5521086.3499999996</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3">
        <v>0</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3">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3">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5">
        <v>7148</v>
      </c>
      <c r="U656" s="3063">
        <v>15521086.35</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5">
        <v>7151</v>
      </c>
      <c r="U657" s="3063">
        <v>0</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57038231</v>
      </c>
      <c r="G658" s="885">
        <f>SUMIF(CFJE!$B:$B,$C658&amp;$D658&amp;"*",CFJE!$S:$S)</f>
        <v>0</v>
      </c>
      <c r="H658" s="885">
        <f>SUMIF(CFJE!$B:$B,$C658&amp;$D658&amp;"*",CFJE!$T:$T)</f>
        <v>0</v>
      </c>
      <c r="I658" s="913">
        <f t="shared" ref="I658:I689" si="252">(B658*F658+G658-H658)*B658</f>
        <v>57038231</v>
      </c>
      <c r="J658" s="914">
        <f t="shared" ref="J658:J689" si="253">VLOOKUP($D658,Sheet_Precf,5,0)</f>
        <v>11427639</v>
      </c>
      <c r="K658" s="885"/>
      <c r="L658" s="885"/>
      <c r="M658" s="891">
        <f t="shared" ref="M658:M689" si="254">($B658*J658+K658-L658)*$B658</f>
        <v>11427639</v>
      </c>
      <c r="N658" s="641"/>
      <c r="O658" s="641"/>
      <c r="P658" s="641"/>
      <c r="Q658" s="641"/>
      <c r="T658" s="3055">
        <v>7161</v>
      </c>
      <c r="U658" s="3063">
        <v>0</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3">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3">
        <v>95600000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3">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3">
        <v>95600000</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3">
        <v>-80078913.650000006</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3">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3">
        <v>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3">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3">
        <v>0</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3">
        <v>0</v>
      </c>
    </row>
    <row r="669" spans="1:21" ht="18">
      <c r="A669" s="1648">
        <f t="shared" si="239"/>
        <v>0</v>
      </c>
      <c r="B669" s="1647">
        <f t="shared" si="240"/>
        <v>1</v>
      </c>
      <c r="C669" s="1647" t="str">
        <f t="shared" si="237"/>
        <v>J</v>
      </c>
      <c r="D669" s="1659">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5">
        <v>7246</v>
      </c>
      <c r="U669" s="3063">
        <v>0</v>
      </c>
    </row>
    <row r="670" spans="1:21" ht="18">
      <c r="A670" s="1648">
        <f t="shared" si="239"/>
        <v>0</v>
      </c>
      <c r="B670" s="1647">
        <f t="shared" si="240"/>
        <v>1</v>
      </c>
      <c r="C670" s="1647" t="str">
        <f t="shared" si="237"/>
        <v>J</v>
      </c>
      <c r="D670" s="1659">
        <v>7046</v>
      </c>
      <c r="E670" s="888" t="str">
        <f t="shared" si="241"/>
        <v>收到其他与经营活动有关的现金</v>
      </c>
      <c r="F670" s="884">
        <f t="shared" si="251"/>
        <v>36993105.18</v>
      </c>
      <c r="G670" s="885">
        <f>SUMIF(CFJE!$B:$B,$C670&amp;$D670&amp;"*",CFJE!$S:$S)</f>
        <v>0</v>
      </c>
      <c r="H670" s="885">
        <f>SUMIF(CFJE!$B:$B,$C670&amp;$D670&amp;"*",CFJE!$T:$T)</f>
        <v>0</v>
      </c>
      <c r="I670" s="913">
        <f t="shared" si="252"/>
        <v>36993105.18</v>
      </c>
      <c r="J670" s="914">
        <f t="shared" si="253"/>
        <v>202044775.52000001</v>
      </c>
      <c r="K670" s="885"/>
      <c r="L670" s="885"/>
      <c r="M670" s="891">
        <f t="shared" si="254"/>
        <v>202044775.52000001</v>
      </c>
      <c r="N670" s="641"/>
      <c r="O670" s="641"/>
      <c r="P670" s="641"/>
      <c r="Q670" s="641"/>
      <c r="T670" s="3055">
        <v>7248</v>
      </c>
      <c r="U670" s="3063">
        <v>0</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94031336.180000007</v>
      </c>
      <c r="G671" s="885">
        <f t="shared" si="257"/>
        <v>0</v>
      </c>
      <c r="H671" s="885">
        <f t="shared" si="257"/>
        <v>0</v>
      </c>
      <c r="I671" s="913">
        <f t="shared" si="257"/>
        <v>94031336.180000007</v>
      </c>
      <c r="J671" s="914">
        <f t="shared" si="257"/>
        <v>213472414.52000001</v>
      </c>
      <c r="K671" s="885">
        <f t="shared" si="257"/>
        <v>0</v>
      </c>
      <c r="L671" s="885">
        <f t="shared" si="257"/>
        <v>0</v>
      </c>
      <c r="M671" s="891">
        <f t="shared" si="257"/>
        <v>213472414.52000001</v>
      </c>
      <c r="N671" s="641"/>
      <c r="O671" s="641"/>
      <c r="P671" s="641"/>
      <c r="Q671" s="641"/>
      <c r="T671" s="3055">
        <v>7251</v>
      </c>
      <c r="U671" s="3063">
        <v>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0</v>
      </c>
      <c r="G672" s="885">
        <f>SUMIF(CFJE!$B:$B,$C672&amp;$D672&amp;"*",CFJE!$S:$S)</f>
        <v>0</v>
      </c>
      <c r="H672" s="885">
        <f>SUMIF(CFJE!$B:$B,$C672&amp;$D672&amp;"*",CFJE!$T:$T)</f>
        <v>0</v>
      </c>
      <c r="I672" s="913">
        <f t="shared" si="252"/>
        <v>0</v>
      </c>
      <c r="J672" s="914">
        <f t="shared" si="253"/>
        <v>68088088</v>
      </c>
      <c r="K672" s="885"/>
      <c r="L672" s="885"/>
      <c r="M672" s="891">
        <f t="shared" si="254"/>
        <v>68088088</v>
      </c>
      <c r="N672" s="641"/>
      <c r="O672" s="641"/>
      <c r="P672" s="641"/>
      <c r="Q672" s="641"/>
      <c r="T672" s="3055">
        <v>7261</v>
      </c>
      <c r="U672" s="3063">
        <v>0</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3">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3">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3">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3">
        <v>0</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3">
        <v>0</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3">
        <v>0</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4451795.68</v>
      </c>
      <c r="G679" s="885">
        <f>SUMIF(CFJE!$B:$B,$C679&amp;$D679&amp;"*",CFJE!$S:$S)</f>
        <v>0</v>
      </c>
      <c r="H679" s="885">
        <f>SUMIF(CFJE!$B:$B,$C679&amp;$D679&amp;"*",CFJE!$T:$T)</f>
        <v>0</v>
      </c>
      <c r="I679" s="913">
        <f t="shared" si="252"/>
        <v>4451795.68</v>
      </c>
      <c r="J679" s="914">
        <f t="shared" si="253"/>
        <v>2346963.46</v>
      </c>
      <c r="K679" s="885"/>
      <c r="L679" s="885"/>
      <c r="M679" s="891">
        <f t="shared" si="254"/>
        <v>2346963.46</v>
      </c>
      <c r="N679" s="641"/>
      <c r="O679" s="641"/>
      <c r="P679" s="641"/>
      <c r="Q679" s="641"/>
      <c r="T679" s="3055">
        <v>7348</v>
      </c>
      <c r="U679" s="3063">
        <v>-2292045.13</v>
      </c>
    </row>
    <row r="680" spans="1:21" ht="18">
      <c r="A680" s="1648">
        <f t="shared" si="239"/>
        <v>0</v>
      </c>
      <c r="B680" s="1647">
        <f t="shared" si="240"/>
        <v>-1</v>
      </c>
      <c r="C680" s="1647" t="str">
        <f t="shared" si="237"/>
        <v>J</v>
      </c>
      <c r="D680" s="1659">
        <v>7071</v>
      </c>
      <c r="E680" s="888" t="str">
        <f t="shared" si="241"/>
        <v>支付的各项税费</v>
      </c>
      <c r="F680" s="884">
        <f t="shared" si="258"/>
        <v>42795.23</v>
      </c>
      <c r="G680" s="885">
        <f>SUMIF(CFJE!$B:$B,$C680&amp;$D680&amp;"*",CFJE!$S:$S)</f>
        <v>0</v>
      </c>
      <c r="H680" s="885">
        <f>SUMIF(CFJE!$B:$B,$C680&amp;$D680&amp;"*",CFJE!$T:$T)</f>
        <v>0</v>
      </c>
      <c r="I680" s="913">
        <f t="shared" si="252"/>
        <v>42795.23</v>
      </c>
      <c r="J680" s="914">
        <f t="shared" si="253"/>
        <v>966124.53</v>
      </c>
      <c r="K680" s="885"/>
      <c r="L680" s="885"/>
      <c r="M680" s="891">
        <f t="shared" si="254"/>
        <v>966124.53</v>
      </c>
      <c r="N680" s="641"/>
      <c r="O680" s="641"/>
      <c r="P680" s="641"/>
      <c r="Q680" s="641"/>
      <c r="T680" s="3055">
        <v>7349</v>
      </c>
      <c r="U680" s="3063">
        <v>2383353.9700000002</v>
      </c>
    </row>
    <row r="681" spans="1:21" ht="18">
      <c r="A681" s="1648">
        <f t="shared" si="239"/>
        <v>0</v>
      </c>
      <c r="B681" s="1647">
        <f t="shared" si="240"/>
        <v>-1</v>
      </c>
      <c r="C681" s="1647" t="str">
        <f t="shared" si="237"/>
        <v>J</v>
      </c>
      <c r="D681" s="1659">
        <v>7096</v>
      </c>
      <c r="E681" s="888" t="str">
        <f t="shared" si="241"/>
        <v>支付其他与经营活动有关的现金</v>
      </c>
      <c r="F681" s="884">
        <f t="shared" si="258"/>
        <v>176928385.74000001</v>
      </c>
      <c r="G681" s="885">
        <f>SUMIF(CFJE!$B:$B,$C681&amp;$D681&amp;"*",CFJE!$S:$S)</f>
        <v>0</v>
      </c>
      <c r="H681" s="885">
        <f>SUMIF(CFJE!$B:$B,$C681&amp;$D681&amp;"*",CFJE!$T:$T)</f>
        <v>0</v>
      </c>
      <c r="I681" s="913">
        <f t="shared" si="252"/>
        <v>176928385.74000001</v>
      </c>
      <c r="J681" s="914">
        <f t="shared" si="253"/>
        <v>64284370.009999998</v>
      </c>
      <c r="K681" s="885"/>
      <c r="L681" s="885"/>
      <c r="M681" s="891">
        <f t="shared" si="254"/>
        <v>64284370.009999998</v>
      </c>
      <c r="N681" s="641"/>
      <c r="O681" s="641"/>
      <c r="P681" s="641"/>
      <c r="Q681" s="641"/>
      <c r="T681" s="3055">
        <v>7399</v>
      </c>
      <c r="U681" s="3063">
        <v>91308.84</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181422976.65000001</v>
      </c>
      <c r="G682" s="885">
        <f t="shared" si="261"/>
        <v>0</v>
      </c>
      <c r="H682" s="885">
        <f t="shared" si="261"/>
        <v>0</v>
      </c>
      <c r="I682" s="913">
        <f t="shared" si="261"/>
        <v>181422976.65000001</v>
      </c>
      <c r="J682" s="914">
        <f t="shared" si="261"/>
        <v>135685546</v>
      </c>
      <c r="K682" s="885">
        <f t="shared" si="261"/>
        <v>0</v>
      </c>
      <c r="L682" s="885">
        <f t="shared" si="261"/>
        <v>0</v>
      </c>
      <c r="M682" s="891">
        <f t="shared" si="261"/>
        <v>135685546</v>
      </c>
      <c r="N682" s="641"/>
      <c r="O682" s="641"/>
      <c r="P682" s="641"/>
      <c r="Q682" s="641"/>
      <c r="T682" s="3055">
        <v>19</v>
      </c>
      <c r="U682" s="3063"/>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-87391640.469999999</v>
      </c>
      <c r="G683" s="919">
        <f>SUM(G671,G682)</f>
        <v>0</v>
      </c>
      <c r="H683" s="919">
        <f>SUM(H671,H682)</f>
        <v>0</v>
      </c>
      <c r="I683" s="913">
        <f t="shared" si="262"/>
        <v>-87391640.469999999</v>
      </c>
      <c r="J683" s="914">
        <f t="shared" si="262"/>
        <v>77786868.519999996</v>
      </c>
      <c r="K683" s="919">
        <f>SUM(K671,K682)</f>
        <v>0</v>
      </c>
      <c r="L683" s="919">
        <f>SUM(L671,L682)</f>
        <v>0</v>
      </c>
      <c r="M683" s="891">
        <f t="shared" si="262"/>
        <v>77786868.519999996</v>
      </c>
      <c r="N683" s="641"/>
      <c r="O683" s="641"/>
      <c r="P683" s="641"/>
      <c r="Q683" s="641"/>
      <c r="T683" s="3060">
        <v>1122.1231</v>
      </c>
      <c r="U683" s="3063">
        <v>0</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60">
        <v>1125.1231</v>
      </c>
      <c r="U684" s="3063">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10000000</v>
      </c>
      <c r="K685" s="885"/>
      <c r="L685" s="885"/>
      <c r="M685" s="891">
        <f t="shared" si="254"/>
        <v>10000000</v>
      </c>
      <c r="N685" s="641"/>
      <c r="O685" s="641"/>
      <c r="P685" s="641"/>
      <c r="Q685" s="641"/>
      <c r="T685" s="3060">
        <v>1221.1231</v>
      </c>
      <c r="U685" s="3063">
        <v>0</v>
      </c>
    </row>
    <row r="686" spans="1:21"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5521086.3499999996</v>
      </c>
      <c r="K686" s="885"/>
      <c r="L686" s="885"/>
      <c r="M686" s="891">
        <f t="shared" si="254"/>
        <v>5521086.3499999996</v>
      </c>
      <c r="N686" s="641"/>
      <c r="O686" s="641"/>
      <c r="P686" s="641"/>
      <c r="Q686" s="641"/>
      <c r="T686" s="3060">
        <v>1400.1470999999999</v>
      </c>
      <c r="U686" s="3063">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0">
        <v>1503.1504</v>
      </c>
      <c r="U687" s="3063">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91600000</v>
      </c>
      <c r="G688" s="885">
        <f>SUMIF(CFJE!$B:$B,$C688&amp;$D688&amp;"*",CFJE!$S:$S)</f>
        <v>0</v>
      </c>
      <c r="H688" s="885">
        <f>SUMIF(CFJE!$B:$B,$C688&amp;$D688&amp;"*",CFJE!$T:$T)</f>
        <v>0</v>
      </c>
      <c r="I688" s="913">
        <f t="shared" si="252"/>
        <v>91600000</v>
      </c>
      <c r="J688" s="914">
        <f t="shared" si="253"/>
        <v>0</v>
      </c>
      <c r="K688" s="885"/>
      <c r="L688" s="885"/>
      <c r="M688" s="891">
        <f t="shared" si="254"/>
        <v>0</v>
      </c>
      <c r="N688" s="641"/>
      <c r="O688" s="641"/>
      <c r="P688" s="641"/>
      <c r="Q688" s="641"/>
      <c r="T688" s="3060">
        <v>1501.1502</v>
      </c>
      <c r="U688" s="3063">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3">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91600000</v>
      </c>
      <c r="G690" s="885">
        <f t="shared" si="264"/>
        <v>0</v>
      </c>
      <c r="H690" s="885">
        <f t="shared" si="264"/>
        <v>0</v>
      </c>
      <c r="I690" s="913">
        <f t="shared" si="264"/>
        <v>91600000</v>
      </c>
      <c r="J690" s="914">
        <f t="shared" si="264"/>
        <v>15521086.35</v>
      </c>
      <c r="K690" s="885">
        <f t="shared" si="264"/>
        <v>0</v>
      </c>
      <c r="L690" s="885">
        <f t="shared" si="264"/>
        <v>0</v>
      </c>
      <c r="M690" s="891">
        <f t="shared" si="264"/>
        <v>15521086.35</v>
      </c>
      <c r="N690" s="641"/>
      <c r="O690" s="641"/>
      <c r="P690" s="641"/>
      <c r="Q690" s="641"/>
      <c r="T690" s="3060">
        <v>1521.1522</v>
      </c>
      <c r="U690" s="3063">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0</v>
      </c>
      <c r="G691" s="885">
        <f>SUMIF(CFJE!$B:$B,$C691&amp;$D691&amp;"*",CFJE!$S:$S)</f>
        <v>0</v>
      </c>
      <c r="H691" s="885">
        <f>SUMIF(CFJE!$B:$B,$C691&amp;$D691&amp;"*",CFJE!$T:$T)</f>
        <v>0</v>
      </c>
      <c r="I691" s="913">
        <f t="shared" ref="I691:I712" si="265">(B691*F691+G691-H691)*B691</f>
        <v>0</v>
      </c>
      <c r="J691" s="914">
        <f t="shared" ref="J691:J712" si="266">VLOOKUP($D691,Sheet_Precf,5,0)</f>
        <v>0</v>
      </c>
      <c r="K691" s="885"/>
      <c r="L691" s="885"/>
      <c r="M691" s="891">
        <f t="shared" ref="M691:M712" si="267">($B691*J691+K691-L691)*$B691</f>
        <v>0</v>
      </c>
      <c r="N691" s="641"/>
      <c r="O691" s="641"/>
      <c r="P691" s="641"/>
      <c r="Q691" s="641"/>
      <c r="T691" s="3060">
        <v>1601.1603</v>
      </c>
      <c r="U691" s="3063">
        <v>0</v>
      </c>
    </row>
    <row r="692" spans="1:21"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0">
        <v>1605.1608000000001</v>
      </c>
      <c r="U692" s="3063">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3">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95600000</v>
      </c>
      <c r="K694" s="885"/>
      <c r="L694" s="885"/>
      <c r="M694" s="891">
        <f t="shared" si="267"/>
        <v>95600000</v>
      </c>
      <c r="N694" s="641"/>
      <c r="O694" s="641"/>
      <c r="P694" s="641"/>
      <c r="Q694" s="641"/>
      <c r="T694" s="3060">
        <v>1621.1623999999999</v>
      </c>
      <c r="U694" s="3063">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0">
        <v>1631.1632999999999</v>
      </c>
      <c r="U695" s="3063">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0</v>
      </c>
      <c r="G696" s="885">
        <f t="shared" si="268"/>
        <v>0</v>
      </c>
      <c r="H696" s="885">
        <f t="shared" si="268"/>
        <v>0</v>
      </c>
      <c r="I696" s="913">
        <f t="shared" si="268"/>
        <v>0</v>
      </c>
      <c r="J696" s="914">
        <f t="shared" si="268"/>
        <v>95600000</v>
      </c>
      <c r="K696" s="885">
        <f t="shared" si="268"/>
        <v>0</v>
      </c>
      <c r="L696" s="885">
        <f t="shared" si="268"/>
        <v>0</v>
      </c>
      <c r="M696" s="891">
        <f t="shared" si="268"/>
        <v>95600000</v>
      </c>
      <c r="N696" s="641"/>
      <c r="O696" s="641"/>
      <c r="P696" s="641"/>
      <c r="Q696" s="641"/>
      <c r="T696" s="3060">
        <v>1701.1703</v>
      </c>
      <c r="U696" s="3063">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91600000</v>
      </c>
      <c r="G697" s="919">
        <f>SUM(G690,G696)</f>
        <v>0</v>
      </c>
      <c r="H697" s="919">
        <f>SUM(H690,H696)</f>
        <v>0</v>
      </c>
      <c r="I697" s="913">
        <f t="shared" si="269"/>
        <v>91600000</v>
      </c>
      <c r="J697" s="914">
        <f t="shared" si="269"/>
        <v>-80078913.650000006</v>
      </c>
      <c r="K697" s="919">
        <f>SUM(K690,K696)</f>
        <v>0</v>
      </c>
      <c r="L697" s="919">
        <f>SUM(L690,L696)</f>
        <v>0</v>
      </c>
      <c r="M697" s="891">
        <f t="shared" si="269"/>
        <v>-80078913.650000006</v>
      </c>
      <c r="N697" s="641"/>
      <c r="O697" s="641"/>
      <c r="P697" s="641"/>
      <c r="Q697" s="641"/>
      <c r="T697" s="3060">
        <v>1711.1712</v>
      </c>
      <c r="U697" s="3063">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60">
        <v>1991.1992</v>
      </c>
      <c r="U698" s="3063">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0">
        <v>1991</v>
      </c>
      <c r="U699" s="3063">
        <v>0</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3"/>
    </row>
    <row r="701" spans="1:21" ht="18">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0">
        <v>7501</v>
      </c>
      <c r="U701" s="3063"/>
    </row>
    <row r="702" spans="1:21" ht="18">
      <c r="A702" s="1648">
        <f t="shared" si="239"/>
        <v>0</v>
      </c>
      <c r="B702" s="1647">
        <f t="shared" si="240"/>
        <v>1</v>
      </c>
      <c r="C702" s="1647" t="str">
        <f t="shared" si="237"/>
        <v>J</v>
      </c>
      <c r="D702" s="1659">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0">
        <v>7502</v>
      </c>
      <c r="U702" s="3064">
        <v>2563577.15</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c r="T703" s="3060">
        <v>7503</v>
      </c>
      <c r="U703" s="3064">
        <v>0</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0">
        <v>7505</v>
      </c>
      <c r="U704" s="3064">
        <v>5521.44</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60">
        <v>7506</v>
      </c>
      <c r="U705" s="3064">
        <v>0</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4">
        <v>0</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0">
        <v>7508</v>
      </c>
      <c r="U707" s="3064">
        <v>0</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60">
        <v>7509</v>
      </c>
      <c r="U708" s="3064">
        <v>0</v>
      </c>
    </row>
    <row r="709" spans="1:21" ht="18">
      <c r="A709" s="1648" t="str">
        <f t="shared" si="273"/>
        <v>＝</v>
      </c>
      <c r="B709" s="1647">
        <f t="shared" si="274"/>
        <v>0</v>
      </c>
      <c r="C709" s="1647">
        <f t="shared" si="272"/>
        <v>0</v>
      </c>
      <c r="D709" s="2186">
        <v>7299</v>
      </c>
      <c r="E709" s="2187"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c r="T709" s="3060">
        <v>7510</v>
      </c>
      <c r="U709" s="3064">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60">
        <v>7511</v>
      </c>
      <c r="U710" s="3064">
        <v>0</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4208359.53</v>
      </c>
      <c r="G711" s="885">
        <f t="shared" si="277"/>
        <v>0</v>
      </c>
      <c r="H711" s="885">
        <f t="shared" si="277"/>
        <v>0</v>
      </c>
      <c r="I711" s="913">
        <f t="shared" si="277"/>
        <v>4208359.53</v>
      </c>
      <c r="J711" s="914">
        <f t="shared" si="277"/>
        <v>-2292045.13</v>
      </c>
      <c r="K711" s="885">
        <f t="shared" si="277"/>
        <v>0</v>
      </c>
      <c r="L711" s="885">
        <f t="shared" si="277"/>
        <v>0</v>
      </c>
      <c r="M711" s="891">
        <f t="shared" si="277"/>
        <v>-2292045.13</v>
      </c>
      <c r="N711" s="641"/>
      <c r="O711" s="641"/>
      <c r="P711" s="641"/>
      <c r="Q711" s="641"/>
      <c r="T711" s="3060">
        <v>7512</v>
      </c>
      <c r="U711" s="3064">
        <v>-5521086.3499999996</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91308.84</v>
      </c>
      <c r="G712" s="918">
        <f>SUMIF(CFJE!$B:$B,$C712&amp;$D712&amp;"*",CFJE!$S:$S)</f>
        <v>0</v>
      </c>
      <c r="H712" s="918">
        <f>SUMIF(CFJE!$B:$B,$C712&amp;$D712&amp;"*",CFJE!$T:$T)</f>
        <v>0</v>
      </c>
      <c r="I712" s="913">
        <f t="shared" si="265"/>
        <v>91308.84</v>
      </c>
      <c r="J712" s="914">
        <f t="shared" si="266"/>
        <v>2383353.9700000002</v>
      </c>
      <c r="K712" s="918"/>
      <c r="L712" s="918"/>
      <c r="M712" s="891">
        <f t="shared" si="267"/>
        <v>2383353.9700000002</v>
      </c>
      <c r="N712" s="641"/>
      <c r="O712" s="641"/>
      <c r="P712" s="641"/>
      <c r="Q712" s="641"/>
      <c r="T712" s="3060">
        <v>7515</v>
      </c>
      <c r="U712" s="3064">
        <v>-937117.56</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4299668.37</v>
      </c>
      <c r="G713" s="885">
        <f t="shared" si="278"/>
        <v>0</v>
      </c>
      <c r="H713" s="885">
        <f t="shared" si="278"/>
        <v>0</v>
      </c>
      <c r="I713" s="913">
        <f t="shared" si="278"/>
        <v>4299668.37</v>
      </c>
      <c r="J713" s="914">
        <f t="shared" si="278"/>
        <v>91308.84</v>
      </c>
      <c r="K713" s="885">
        <f t="shared" si="278"/>
        <v>0</v>
      </c>
      <c r="L713" s="885">
        <f t="shared" si="278"/>
        <v>0</v>
      </c>
      <c r="M713" s="891">
        <f t="shared" si="278"/>
        <v>91308.84</v>
      </c>
      <c r="N713" s="641"/>
      <c r="O713" s="641"/>
      <c r="P713" s="641"/>
      <c r="Q713" s="641"/>
      <c r="T713" s="3060">
        <v>7516</v>
      </c>
      <c r="U713" s="3064">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4">
        <v>-17540765.449999999</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60">
        <v>7518</v>
      </c>
      <c r="U715" s="3064">
        <v>72371151.260000005</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4">
        <v>26845588.030000001</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4">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3">
        <v>77786868.519999996</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4"/>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60">
        <v>7527</v>
      </c>
      <c r="U720" s="3064">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0">
        <v>7528</v>
      </c>
      <c r="U721" s="3064">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4">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4"/>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4">
        <v>91308.84</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4">
        <v>2383353.9700000002</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0">
        <v>7537</v>
      </c>
      <c r="U726" s="3064">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0">
        <v>7538</v>
      </c>
      <c r="U727" s="3064">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0">
        <v>7539</v>
      </c>
      <c r="U728" s="3063">
        <v>-2292045.13</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3065">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3065">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0">
        <v>6829.5190000000002</v>
      </c>
      <c r="U731" s="3065">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3065">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3065">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c r="T734" s="3060">
        <v>6829.5330000000004</v>
      </c>
      <c r="U734" s="3065">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3065">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3065">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-2563240.34</v>
      </c>
      <c r="G737" s="2787">
        <v>0</v>
      </c>
      <c r="H737" s="2787">
        <v>0</v>
      </c>
      <c r="I737" s="921">
        <f t="shared" ref="I737:I753" si="285">(B737*F737+G737-H737)*B737</f>
        <v>-2563240.34</v>
      </c>
      <c r="J737" s="922">
        <f t="shared" ref="J737:J753" si="286">VLOOKUP($D737,Sheet_Precf7,5,0)</f>
        <v>2563577.15</v>
      </c>
      <c r="K737" s="2787">
        <v>0</v>
      </c>
      <c r="L737" s="2787">
        <v>0</v>
      </c>
      <c r="M737" s="923">
        <f t="shared" ref="M737:M753" si="287">($B737*J737+K737-L737)*$B737</f>
        <v>2563577.15</v>
      </c>
      <c r="N737" s="641"/>
      <c r="O737" s="641"/>
      <c r="P737" s="641"/>
      <c r="Q737" s="641"/>
      <c r="T737" s="3060">
        <v>6829.5360000000001</v>
      </c>
      <c r="U737" s="3065">
        <v>0</v>
      </c>
    </row>
    <row r="738" spans="1:21"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0</v>
      </c>
      <c r="K738" s="918"/>
      <c r="L738" s="918"/>
      <c r="M738" s="923">
        <f t="shared" si="287"/>
        <v>0</v>
      </c>
      <c r="N738" s="641"/>
      <c r="O738" s="641"/>
      <c r="P738" s="641"/>
      <c r="Q738" s="641"/>
      <c r="T738" s="3060">
        <v>6829.5370000000003</v>
      </c>
      <c r="U738" s="3065">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0</v>
      </c>
      <c r="G739" s="918"/>
      <c r="H739" s="918"/>
      <c r="I739" s="921">
        <f t="shared" ref="I739" si="288">(B739*F739+G739-H739)*B739</f>
        <v>0</v>
      </c>
      <c r="J739" s="922">
        <f t="shared" si="286"/>
        <v>0</v>
      </c>
      <c r="K739" s="918"/>
      <c r="L739" s="918"/>
      <c r="M739" s="923">
        <f t="shared" ref="M739" si="289">($B739*J739+K739-L739)*$B739</f>
        <v>0</v>
      </c>
      <c r="N739" s="641"/>
      <c r="O739" s="641"/>
      <c r="P739" s="641"/>
      <c r="Q739" s="641"/>
      <c r="T739" s="3060">
        <v>6829.5389999999998</v>
      </c>
      <c r="U739" s="3065">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5521.44</v>
      </c>
      <c r="G740" s="918"/>
      <c r="H740" s="918"/>
      <c r="I740" s="921">
        <f t="shared" si="285"/>
        <v>5521.44</v>
      </c>
      <c r="J740" s="922">
        <f t="shared" si="286"/>
        <v>5521.44</v>
      </c>
      <c r="K740" s="918"/>
      <c r="L740" s="918"/>
      <c r="M740" s="923">
        <f t="shared" si="287"/>
        <v>5521.44</v>
      </c>
      <c r="N740" s="641"/>
      <c r="O740" s="641"/>
      <c r="P740" s="641"/>
      <c r="Q740" s="641"/>
    </row>
    <row r="741" spans="1:21" ht="18">
      <c r="A741" s="1648">
        <f t="shared" si="273"/>
        <v>0</v>
      </c>
      <c r="B741" s="1647">
        <f t="shared" si="274"/>
        <v>1</v>
      </c>
      <c r="C741" s="1647">
        <f t="shared" si="272"/>
        <v>0</v>
      </c>
      <c r="D741" s="1659">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8">
      <c r="A742" s="1648">
        <f t="shared" si="273"/>
        <v>0</v>
      </c>
      <c r="B742" s="1647">
        <f t="shared" si="274"/>
        <v>1</v>
      </c>
      <c r="C742" s="1647">
        <f t="shared" si="272"/>
        <v>0</v>
      </c>
      <c r="D742" s="1659">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8">
        <f t="shared" si="273"/>
        <v>0</v>
      </c>
      <c r="B746" s="1647">
        <f t="shared" si="274"/>
        <v>1</v>
      </c>
      <c r="C746" s="1647">
        <f t="shared" si="272"/>
        <v>0</v>
      </c>
      <c r="D746" s="1659">
        <v>7511</v>
      </c>
      <c r="E746" s="888" t="str">
        <f t="shared" si="275"/>
        <v>财务费用金额</v>
      </c>
      <c r="F746" s="917">
        <f t="shared" si="284"/>
        <v>0</v>
      </c>
      <c r="G746" s="918"/>
      <c r="H746" s="918"/>
      <c r="I746" s="921">
        <f t="shared" si="285"/>
        <v>0</v>
      </c>
      <c r="J746" s="922">
        <f t="shared" si="286"/>
        <v>0</v>
      </c>
      <c r="K746" s="918"/>
      <c r="L746" s="918"/>
      <c r="M746" s="923">
        <f t="shared" si="287"/>
        <v>0</v>
      </c>
      <c r="N746" s="641"/>
      <c r="O746" s="641"/>
      <c r="P746" s="641"/>
      <c r="Q746" s="641"/>
    </row>
    <row r="747" spans="1:21"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-5521086.3499999996</v>
      </c>
      <c r="K747" s="918"/>
      <c r="L747" s="918"/>
      <c r="M747" s="923">
        <f t="shared" si="287"/>
        <v>-5521086.3499999996</v>
      </c>
      <c r="N747" s="641"/>
      <c r="O747" s="641"/>
      <c r="P747" s="641"/>
      <c r="Q747" s="641"/>
    </row>
    <row r="748" spans="1:21" ht="18">
      <c r="A748" s="1648">
        <f t="shared" si="273"/>
        <v>0</v>
      </c>
      <c r="B748" s="1647">
        <f t="shared" si="274"/>
        <v>1</v>
      </c>
      <c r="C748" s="1647">
        <f t="shared" si="272"/>
        <v>0</v>
      </c>
      <c r="D748" s="1659">
        <v>7515</v>
      </c>
      <c r="E748" s="888" t="str">
        <f t="shared" si="275"/>
        <v>递延所得税资产减少</v>
      </c>
      <c r="F748" s="917">
        <f t="shared" si="284"/>
        <v>0</v>
      </c>
      <c r="G748" s="918"/>
      <c r="H748" s="918"/>
      <c r="I748" s="921">
        <f t="shared" si="285"/>
        <v>0</v>
      </c>
      <c r="J748" s="922">
        <f t="shared" si="286"/>
        <v>-937117.56</v>
      </c>
      <c r="K748" s="918"/>
      <c r="L748" s="918"/>
      <c r="M748" s="923">
        <f t="shared" si="287"/>
        <v>-937117.56</v>
      </c>
      <c r="N748" s="641"/>
      <c r="O748" s="641"/>
      <c r="P748" s="641"/>
      <c r="Q748" s="641"/>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8">
        <f t="shared" si="273"/>
        <v>0</v>
      </c>
      <c r="B750" s="1647">
        <f t="shared" si="274"/>
        <v>1</v>
      </c>
      <c r="C750" s="1647">
        <f t="shared" si="272"/>
        <v>0</v>
      </c>
      <c r="D750" s="1659">
        <v>7517</v>
      </c>
      <c r="E750" s="888" t="str">
        <f t="shared" si="275"/>
        <v>存货的减少</v>
      </c>
      <c r="F750" s="917">
        <f t="shared" si="284"/>
        <v>17540765.449999999</v>
      </c>
      <c r="G750" s="918"/>
      <c r="H750" s="918"/>
      <c r="I750" s="921">
        <f t="shared" si="285"/>
        <v>17540765.449999999</v>
      </c>
      <c r="J750" s="922">
        <f t="shared" si="286"/>
        <v>-17540765.449999999</v>
      </c>
      <c r="K750" s="918"/>
      <c r="L750" s="918"/>
      <c r="M750" s="923">
        <f t="shared" si="287"/>
        <v>-17540765.449999999</v>
      </c>
      <c r="N750" s="641"/>
      <c r="O750" s="641"/>
      <c r="P750" s="641"/>
      <c r="Q750" s="641"/>
    </row>
    <row r="751" spans="1:21" ht="18">
      <c r="A751" s="1648">
        <f t="shared" si="273"/>
        <v>0</v>
      </c>
      <c r="B751" s="1647">
        <f t="shared" si="274"/>
        <v>1</v>
      </c>
      <c r="C751" s="1647">
        <f t="shared" si="272"/>
        <v>0</v>
      </c>
      <c r="D751" s="1659">
        <v>7518</v>
      </c>
      <c r="E751" s="888" t="str">
        <f t="shared" si="275"/>
        <v>经营性应收项目的减少</v>
      </c>
      <c r="F751" s="917">
        <f t="shared" si="284"/>
        <v>-68922970.75</v>
      </c>
      <c r="G751" s="918"/>
      <c r="H751" s="918"/>
      <c r="I751" s="921">
        <f t="shared" si="285"/>
        <v>-68922970.75</v>
      </c>
      <c r="J751" s="922">
        <f t="shared" si="286"/>
        <v>72371151.260000005</v>
      </c>
      <c r="K751" s="918"/>
      <c r="L751" s="918"/>
      <c r="M751" s="923">
        <f t="shared" si="287"/>
        <v>72371151.260000005</v>
      </c>
      <c r="N751" s="641"/>
      <c r="O751" s="641"/>
      <c r="P751" s="641"/>
      <c r="Q751" s="641"/>
    </row>
    <row r="752" spans="1:21" ht="18">
      <c r="A752" s="1648">
        <f t="shared" si="273"/>
        <v>0</v>
      </c>
      <c r="B752" s="1647">
        <f t="shared" si="274"/>
        <v>1</v>
      </c>
      <c r="C752" s="1647">
        <f t="shared" si="272"/>
        <v>0</v>
      </c>
      <c r="D752" s="1659">
        <v>7519</v>
      </c>
      <c r="E752" s="888" t="str">
        <f t="shared" si="275"/>
        <v>经营性应付项目的增加</v>
      </c>
      <c r="F752" s="917">
        <f t="shared" si="284"/>
        <v>-33632216.270000003</v>
      </c>
      <c r="G752" s="918"/>
      <c r="H752" s="918"/>
      <c r="I752" s="921">
        <f t="shared" si="285"/>
        <v>-33632216.270000003</v>
      </c>
      <c r="J752" s="922">
        <f t="shared" si="286"/>
        <v>26845588.030000001</v>
      </c>
      <c r="K752" s="918"/>
      <c r="L752" s="918"/>
      <c r="M752" s="923">
        <f t="shared" si="287"/>
        <v>26845588.030000001</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-87572140.469999999</v>
      </c>
      <c r="G754" s="885">
        <f t="shared" ref="G754:M754" si="290">SUM(G737:G753)</f>
        <v>0</v>
      </c>
      <c r="H754" s="885">
        <f t="shared" si="290"/>
        <v>0</v>
      </c>
      <c r="I754" s="913">
        <f t="shared" si="290"/>
        <v>-87572140.469999999</v>
      </c>
      <c r="J754" s="914">
        <f t="shared" si="290"/>
        <v>77786868.519999996</v>
      </c>
      <c r="K754" s="885">
        <f t="shared" si="290"/>
        <v>0</v>
      </c>
      <c r="L754" s="885">
        <f t="shared" si="290"/>
        <v>0</v>
      </c>
      <c r="M754" s="891">
        <f t="shared" si="290"/>
        <v>77786868.519999996</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4299668.37</v>
      </c>
      <c r="G760" s="918"/>
      <c r="H760" s="918"/>
      <c r="I760" s="921">
        <f>(B760*F760+G760-H760)*B760</f>
        <v>4299668.37</v>
      </c>
      <c r="J760" s="922">
        <f>VLOOKUP($D760,Sheet_Precf7,5,0)</f>
        <v>91308.84</v>
      </c>
      <c r="K760" s="918"/>
      <c r="L760" s="918"/>
      <c r="M760" s="923">
        <f>($B760*J760+K760-L760)*$B760</f>
        <v>91308.84</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91308.84</v>
      </c>
      <c r="G761" s="918"/>
      <c r="H761" s="918"/>
      <c r="I761" s="921">
        <f>(B761*F761+G761-H761)*B761</f>
        <v>91308.84</v>
      </c>
      <c r="J761" s="922">
        <f>VLOOKUP($D761,Sheet_Precf7,5,0)</f>
        <v>2383353.9700000002</v>
      </c>
      <c r="K761" s="918"/>
      <c r="L761" s="918"/>
      <c r="M761" s="923">
        <f>($B761*J761+K761-L761)*$B761</f>
        <v>2383353.9700000002</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4208359.53</v>
      </c>
      <c r="G764" s="885">
        <f>SUM(G760:G763)</f>
        <v>0</v>
      </c>
      <c r="H764" s="885">
        <f>SUM(H760:H763)</f>
        <v>0</v>
      </c>
      <c r="I764" s="913">
        <f>SUM(I760,-I761,I762,-I763)</f>
        <v>4208359.53</v>
      </c>
      <c r="J764" s="914">
        <f>SUM(J760,-J761,J762,-J763)</f>
        <v>-2292045.13</v>
      </c>
      <c r="K764" s="885">
        <f>SUM(K760:K763)</f>
        <v>0</v>
      </c>
      <c r="L764" s="885">
        <f>SUM(L760:L763)</f>
        <v>0</v>
      </c>
      <c r="M764" s="891">
        <f>SUM(M760,-M761,M762,-M763)</f>
        <v>-2292045.13</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106747804.67</v>
      </c>
      <c r="G786" s="737"/>
      <c r="H786" s="737"/>
      <c r="I786" s="2199">
        <f ca="1">HYPERLINK("#'"&amp;$G$1&amp;"'!"&amp;ADDRESS(ROW(TB!I64),COLUMN(TB!I64),4),I64)</f>
        <v>106747804.67</v>
      </c>
      <c r="J786" s="2198">
        <f ca="1">HYPERLINK("#'"&amp;$G$1&amp;"'!"&amp;ADDRESS(ROW(TB!J64),COLUMN(TB!J64),4),J64)</f>
        <v>218552283.09999999</v>
      </c>
      <c r="K786" s="734"/>
      <c r="L786" s="734"/>
      <c r="M786" s="2200">
        <f ca="1">HYPERLINK("#'"&amp;$G$1&amp;"'!"&amp;ADDRESS(ROW(TB!M64),COLUMN(TB!M64),4),M64)</f>
        <v>218552283.09999999</v>
      </c>
    </row>
    <row r="787" spans="1:13" ht="18">
      <c r="A787" s="1650" t="s">
        <v>2565</v>
      </c>
      <c r="D787" s="932" t="s">
        <v>428</v>
      </c>
      <c r="E787" s="941" t="str">
        <f>E125</f>
        <v>负债和所有者权益</v>
      </c>
      <c r="F787" s="2201">
        <f ca="1">HYPERLINK("#'"&amp;$G$1&amp;"'!"&amp;ADDRESS(ROW(TB!F125),COLUMN(TB!F125),4),F125)</f>
        <v>106747804.67</v>
      </c>
      <c r="G787" s="737"/>
      <c r="H787" s="737"/>
      <c r="I787" s="2202">
        <f ca="1">HYPERLINK("#'"&amp;$G$1&amp;"'!"&amp;ADDRESS(ROW(TB!I125),COLUMN(TB!I125),4),I125)</f>
        <v>106747804.67</v>
      </c>
      <c r="J787" s="2201">
        <f ca="1">HYPERLINK("#'"&amp;$G$1&amp;"'!"&amp;ADDRESS(ROW(TB!J125),COLUMN(TB!J125),4),J125)</f>
        <v>218552283.09999999</v>
      </c>
      <c r="K787" s="737"/>
      <c r="L787" s="737"/>
      <c r="M787" s="2203">
        <f ca="1">HYPERLINK("#'"&amp;$G$1&amp;"'!"&amp;ADDRESS(ROW(TB!M125),COLUMN(TB!M125),4),M125)</f>
        <v>218552283.09999999</v>
      </c>
    </row>
    <row r="788" spans="1:13" ht="18">
      <c r="A788" s="1650"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-2563240.34</v>
      </c>
      <c r="G790" s="737"/>
      <c r="H790" s="737"/>
      <c r="I790" s="2199">
        <f ca="1">HYPERLINK("#'"&amp;$G$1&amp;"'!"&amp;ADDRESS(ROW(TB!I163),COLUMN(TB!I163),4),I163)</f>
        <v>-2382740.34</v>
      </c>
      <c r="J790" s="2204">
        <f ca="1">HYPERLINK("#'"&amp;$G$1&amp;"'!"&amp;ADDRESS(ROW(TB!J163),COLUMN(TB!J163),4),J163)</f>
        <v>2563577.15</v>
      </c>
      <c r="K790" s="737"/>
      <c r="L790" s="737"/>
      <c r="M790" s="2200">
        <f ca="1">HYPERLINK("#'"&amp;$G$1&amp;"'!"&amp;ADDRESS(ROW(TB!M163),COLUMN(TB!M163),4),M163)</f>
        <v>2563577.15</v>
      </c>
    </row>
    <row r="791" spans="1:13" ht="18">
      <c r="A791" s="1650" t="s">
        <v>2565</v>
      </c>
      <c r="D791" s="932" t="s">
        <v>441</v>
      </c>
      <c r="E791" s="941" t="str">
        <f>E169</f>
        <v>归属于母公司所有者的净利润</v>
      </c>
      <c r="F791" s="2204">
        <f ca="1">HYPERLINK("#'"&amp;$G$1&amp;"'!"&amp;ADDRESS(ROW(TB!F169),COLUMN(TB!F169),4),F169)</f>
        <v>-2563240.34</v>
      </c>
      <c r="G791" s="737"/>
      <c r="H791" s="737"/>
      <c r="I791" s="2199">
        <f ca="1">HYPERLINK("#'"&amp;$G$1&amp;"'!"&amp;ADDRESS(ROW(TB!I169),COLUMN(TB!I169),4),I169)</f>
        <v>-2382740.34</v>
      </c>
      <c r="J791" s="2204">
        <f ca="1">HYPERLINK("#'"&amp;$G$1&amp;"'!"&amp;ADDRESS(ROW(TB!J169),COLUMN(TB!J169),4),J169)</f>
        <v>2563577.15</v>
      </c>
      <c r="K791" s="737"/>
      <c r="L791" s="737"/>
      <c r="M791" s="2200">
        <f ca="1">HYPERLINK("#'"&amp;$G$1&amp;"'!"&amp;ADDRESS(ROW(TB!M169),COLUMN(TB!M169),4),M169)</f>
        <v>2563577.15</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-2563240.34</v>
      </c>
      <c r="G795" s="737"/>
      <c r="H795" s="737"/>
      <c r="I795" s="2199"/>
      <c r="J795" s="2204">
        <f ca="1">HYPERLINK("#'"&amp;$G$1&amp;"'!"&amp;ADDRESS(ROW(TB!J163),COLUMN(TB!J163),4),J163)</f>
        <v>2563577.15</v>
      </c>
      <c r="K795" s="737"/>
      <c r="L795" s="737"/>
      <c r="M795" s="2200"/>
    </row>
    <row r="796" spans="1:13" ht="18">
      <c r="A796" s="1650" t="s">
        <v>2565</v>
      </c>
      <c r="D796" s="932" t="s">
        <v>441</v>
      </c>
      <c r="E796" s="941" t="str">
        <f>E165</f>
        <v>持续经营净利润</v>
      </c>
      <c r="F796" s="2204">
        <f ca="1">HYPERLINK("#'"&amp;$G$1&amp;"'!"&amp;ADDRESS(ROW(TB!F165),COLUMN(TB!F165),4),F165)</f>
        <v>-2563240.34</v>
      </c>
      <c r="G796" s="737"/>
      <c r="H796" s="737"/>
      <c r="I796" s="2199"/>
      <c r="J796" s="2204">
        <f ca="1">HYPERLINK("#'"&amp;$G$1&amp;"'!"&amp;ADDRESS(ROW(TB!J165),COLUMN(TB!J165),4),J165)</f>
        <v>2563577.15</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-2563240.34</v>
      </c>
      <c r="G800" s="737"/>
      <c r="H800" s="737"/>
      <c r="I800" s="2199">
        <f ca="1">HYPERLINK("#'"&amp;$G$1&amp;"'!"&amp;ADDRESS(ROW(TB!I192),COLUMN(TB!I192),4),I192)</f>
        <v>-2382740.34</v>
      </c>
      <c r="J800" s="2204">
        <f ca="1">HYPERLINK("#'"&amp;$G$1&amp;"'!"&amp;ADDRESS(ROW(TB!J192),COLUMN(TB!J192),4),J192)</f>
        <v>2563577.15</v>
      </c>
      <c r="K800" s="737"/>
      <c r="L800" s="737"/>
      <c r="M800" s="2200">
        <f ca="1">HYPERLINK("#'"&amp;$G$1&amp;"'!"&amp;ADDRESS(ROW(TB!M192),COLUMN(TB!M192),4),M192)</f>
        <v>2563577.15</v>
      </c>
    </row>
    <row r="801" spans="1:13" ht="24">
      <c r="A801" s="1650" t="s">
        <v>2565</v>
      </c>
      <c r="D801" s="932" t="s">
        <v>441</v>
      </c>
      <c r="E801" s="941" t="str">
        <f t="shared" si="301"/>
        <v>归属于母公司所有者的综合收益总额</v>
      </c>
      <c r="F801" s="2204">
        <f ca="1">HYPERLINK("#'"&amp;$G$1&amp;"'!"&amp;ADDRESS(ROW(TB!F193),COLUMN(TB!F193),4),F193)</f>
        <v>-2563240.34</v>
      </c>
      <c r="G801" s="737"/>
      <c r="H801" s="737"/>
      <c r="I801" s="2199">
        <f ca="1">HYPERLINK("#'"&amp;$G$1&amp;"'!"&amp;ADDRESS(ROW(TB!I193),COLUMN(TB!I193),4),I193)</f>
        <v>-2382740.34</v>
      </c>
      <c r="J801" s="2204">
        <f ca="1">HYPERLINK("#'"&amp;$G$1&amp;"'!"&amp;ADDRESS(ROW(TB!J193),COLUMN(TB!J193),4),J193)</f>
        <v>2563577.15</v>
      </c>
      <c r="K801" s="737"/>
      <c r="L801" s="737"/>
      <c r="M801" s="2200">
        <f ca="1">HYPERLINK("#'"&amp;$G$1&amp;"'!"&amp;ADDRESS(ROW(TB!M193),COLUMN(TB!M193),4),M193)</f>
        <v>2563577.15</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-2563240.34</v>
      </c>
      <c r="G805" s="737"/>
      <c r="H805" s="737"/>
      <c r="I805" s="2199">
        <f ca="1">HYPERLINK("#'"&amp;$G$1&amp;"'!"&amp;ADDRESS(ROW(TB!I169),COLUMN(TB!I169),4),I169)</f>
        <v>-2382740.34</v>
      </c>
      <c r="J805" s="2204">
        <f ca="1">HYPERLINK("#'"&amp;$G$1&amp;"'!"&amp;ADDRESS(ROW(TB!J169),COLUMN(TB!J169),4),J169)</f>
        <v>2563577.15</v>
      </c>
      <c r="K805" s="737"/>
      <c r="L805" s="737"/>
      <c r="M805" s="2200">
        <f ca="1">HYPERLINK("#'"&amp;$G$1&amp;"'!"&amp;ADDRESS(ROW(TB!M169),COLUMN(TB!M169),4),M169)</f>
        <v>2563577.15</v>
      </c>
    </row>
    <row r="806" spans="1:13" ht="24">
      <c r="A806" s="1650" t="s">
        <v>2565</v>
      </c>
      <c r="D806" s="932" t="s">
        <v>442</v>
      </c>
      <c r="E806" s="941" t="str">
        <f>E567</f>
        <v>未分配利润_综合收益总额增加权益</v>
      </c>
      <c r="F806" s="2204">
        <f ca="1">HYPERLINK("#'"&amp;$G$1&amp;"'!"&amp;ADDRESS(ROW(TB!F567),COLUMN(TB!F567),4),F567)</f>
        <v>-2563240.34</v>
      </c>
      <c r="G806" s="737"/>
      <c r="H806" s="737"/>
      <c r="I806" s="2202">
        <f ca="1">HYPERLINK("#'"&amp;$G$1&amp;"'!"&amp;ADDRESS(ROW(TB!I567),COLUMN(TB!I567),4),I567)</f>
        <v>-2382740.34</v>
      </c>
      <c r="J806" s="2204">
        <f ca="1">HYPERLINK("#'"&amp;$G$1&amp;"'!"&amp;ADDRESS(ROW(TB!J567),COLUMN(TB!J567),4),J567)</f>
        <v>2563577.15</v>
      </c>
      <c r="K806" s="737"/>
      <c r="L806" s="737"/>
      <c r="M806" s="2200">
        <f ca="1">HYPERLINK("#'"&amp;$G$1&amp;"'!"&amp;ADDRESS(ROW(TB!M567),COLUMN(TB!M567),4),M567)</f>
        <v>2563577.15</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-2563240.34</v>
      </c>
      <c r="G813" s="737"/>
      <c r="H813" s="737"/>
      <c r="I813" s="2199">
        <f ca="1">HYPERLINK("#'"&amp;$G$1&amp;"'!"&amp;ADDRESS(ROW(TB!I192),COLUMN(TB!I192),4),I192)</f>
        <v>-2382740.34</v>
      </c>
      <c r="J813" s="2204">
        <f ca="1">HYPERLINK("#'"&amp;$G$1&amp;"'!"&amp;ADDRESS(ROW(TB!J192),COLUMN(TB!J192),4),J192)</f>
        <v>2563577.15</v>
      </c>
      <c r="K813" s="737"/>
      <c r="L813" s="737"/>
      <c r="M813" s="2200">
        <f ca="1">HYPERLINK("#'"&amp;$G$1&amp;"'!"&amp;ADDRESS(ROW(TB!M192),COLUMN(TB!M192),4),M192)</f>
        <v>2563577.15</v>
      </c>
    </row>
    <row r="814" spans="1:13" ht="24">
      <c r="A814" s="1650" t="s">
        <v>2565</v>
      </c>
      <c r="D814" s="932" t="s">
        <v>442</v>
      </c>
      <c r="E814" s="941" t="str">
        <f>E212</f>
        <v>所有者权益_综合收益总额增加权益</v>
      </c>
      <c r="F814" s="2204">
        <f ca="1">HYPERLINK("#'"&amp;$G$1&amp;"'!"&amp;ADDRESS(ROW(TB!F212),COLUMN(TB!F212),4),F212)</f>
        <v>-2563240.34</v>
      </c>
      <c r="G814" s="737"/>
      <c r="H814" s="737"/>
      <c r="I814" s="2202">
        <f ca="1">HYPERLINK("#'"&amp;$G$1&amp;"'!"&amp;ADDRESS(ROW(TB!I212),COLUMN(TB!I212),4),I212)</f>
        <v>-2382740.34</v>
      </c>
      <c r="J814" s="2204">
        <f ca="1">HYPERLINK("#'"&amp;$G$1&amp;"'!"&amp;ADDRESS(ROW(TB!J212),COLUMN(TB!J212),4),J212)</f>
        <v>2563577.15</v>
      </c>
      <c r="K814" s="737"/>
      <c r="L814" s="737"/>
      <c r="M814" s="2200">
        <f ca="1">HYPERLINK("#'"&amp;$G$1&amp;"'!"&amp;ADDRESS(ROW(TB!M212),COLUMN(TB!M212),4),M212)</f>
        <v>2563577.15</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-2563240.34</v>
      </c>
      <c r="G821" s="737"/>
      <c r="H821" s="737"/>
      <c r="I821" s="2199">
        <f ca="1">HYPERLINK("#'"&amp;$G$1&amp;"'!"&amp;ADDRESS(ROW(TB!I163),COLUMN(TB!I163),4),I163)</f>
        <v>-2382740.34</v>
      </c>
      <c r="J821" s="2204">
        <f ca="1">HYPERLINK("#'"&amp;$G$1&amp;"'!"&amp;ADDRESS(ROW(TB!J163),COLUMN(TB!J163),4),J163)</f>
        <v>2563577.15</v>
      </c>
      <c r="K821" s="737"/>
      <c r="L821" s="737"/>
      <c r="M821" s="2200">
        <f ca="1">HYPERLINK("#'"&amp;$G$1&amp;"'!"&amp;ADDRESS(ROW(TB!M163),COLUMN(TB!M163),4),M163)</f>
        <v>2563577.15</v>
      </c>
    </row>
    <row r="822" spans="1:13" ht="18">
      <c r="A822" s="1650" t="s">
        <v>2565</v>
      </c>
      <c r="D822" s="932" t="s">
        <v>578</v>
      </c>
      <c r="E822" s="941" t="str">
        <f>E737</f>
        <v>净利润金额</v>
      </c>
      <c r="F822" s="2204">
        <f ca="1">HYPERLINK("#'"&amp;$G$1&amp;"'!"&amp;ADDRESS(ROW(TB!F737),COLUMN(TB!F737),4),F737)</f>
        <v>-2563240.34</v>
      </c>
      <c r="G822" s="737"/>
      <c r="H822" s="737"/>
      <c r="I822" s="2202">
        <f ca="1">HYPERLINK("#'"&amp;$G$1&amp;"'!"&amp;ADDRESS(ROW(TB!I737),COLUMN(TB!I737),4),I737)</f>
        <v>-2563240.34</v>
      </c>
      <c r="J822" s="2204">
        <f ca="1">HYPERLINK("#'"&amp;$G$1&amp;"'!"&amp;ADDRESS(ROW(TB!J737),COLUMN(TB!J737),4),J737)</f>
        <v>2563577.15</v>
      </c>
      <c r="K822" s="737"/>
      <c r="L822" s="737"/>
      <c r="M822" s="2200">
        <f ca="1">HYPERLINK("#'"&amp;$G$1&amp;"'!"&amp;ADDRESS(ROW(TB!M737),COLUMN(TB!M737),4),M737)</f>
        <v>2563577.15</v>
      </c>
    </row>
    <row r="823" spans="1:13" ht="18">
      <c r="A823" s="1650" t="s">
        <v>2565</v>
      </c>
      <c r="D823" s="932"/>
      <c r="E823" s="942" t="s">
        <v>2580</v>
      </c>
      <c r="F823" s="943">
        <f ca="1">ROUND(F821-F822,2)</f>
        <v>0</v>
      </c>
      <c r="G823" s="737"/>
      <c r="H823" s="737"/>
      <c r="I823" s="952">
        <f ca="1">ROUND(I821-I822,2)</f>
        <v>180500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-87391640.469999999</v>
      </c>
      <c r="G825" s="737"/>
      <c r="H825" s="737"/>
      <c r="I825" s="2199">
        <f ca="1">HYPERLINK("#'"&amp;$G$1&amp;"'!"&amp;ADDRESS(ROW(TB!I683),COLUMN(TB!I683),4),I683)</f>
        <v>-87391640.469999999</v>
      </c>
      <c r="J825" s="2204">
        <f ca="1">HYPERLINK("#'"&amp;$G$1&amp;"'!"&amp;ADDRESS(ROW(TB!J683),COLUMN(TB!J683),4),J683)</f>
        <v>77786868.519999996</v>
      </c>
      <c r="K825" s="737"/>
      <c r="L825" s="737"/>
      <c r="M825" s="2200">
        <f ca="1">HYPERLINK("#'"&amp;$G$1&amp;"'!"&amp;ADDRESS(ROW(TB!M683),COLUMN(TB!M683),4),M683)</f>
        <v>77786868.519999996</v>
      </c>
    </row>
    <row r="826" spans="1:13" ht="18">
      <c r="A826" s="1650" t="s">
        <v>2565</v>
      </c>
      <c r="D826" s="932" t="s">
        <v>578</v>
      </c>
      <c r="E826" s="941" t="str">
        <f>E754</f>
        <v>经营活动产生的现金流量净额</v>
      </c>
      <c r="F826" s="2204">
        <f ca="1">HYPERLINK("#'"&amp;$G$1&amp;"'!"&amp;ADDRESS(ROW(TB!F754),COLUMN(TB!F754),4),F754)</f>
        <v>-87572140.469999999</v>
      </c>
      <c r="G826" s="737"/>
      <c r="H826" s="737"/>
      <c r="I826" s="2202">
        <f ca="1">HYPERLINK("#'"&amp;$G$1&amp;"'!"&amp;ADDRESS(ROW(TB!I754),COLUMN(TB!I754),4),I754)</f>
        <v>-87572140.469999999</v>
      </c>
      <c r="J826" s="2204">
        <f ca="1">HYPERLINK("#'"&amp;$G$1&amp;"'!"&amp;ADDRESS(ROW(TB!J754),COLUMN(TB!J754),4),J754)</f>
        <v>77786868.519999996</v>
      </c>
      <c r="K826" s="737"/>
      <c r="L826" s="737"/>
      <c r="M826" s="2200">
        <f ca="1">HYPERLINK("#'"&amp;$G$1&amp;"'!"&amp;ADDRESS(ROW(TB!M754),COLUMN(TB!M754),4),M754)</f>
        <v>77786868.519999996</v>
      </c>
    </row>
    <row r="827" spans="1:13" ht="18">
      <c r="A827" s="1650" t="s">
        <v>2565</v>
      </c>
      <c r="D827" s="932"/>
      <c r="E827" s="942" t="s">
        <v>2580</v>
      </c>
      <c r="F827" s="943">
        <f ca="1">ROUND(F825-F826,2)</f>
        <v>180500</v>
      </c>
      <c r="G827" s="737"/>
      <c r="H827" s="737"/>
      <c r="I827" s="952">
        <f ca="1">ROUND(I825-I826,2)</f>
        <v>180500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4208359.53</v>
      </c>
      <c r="G829" s="737"/>
      <c r="H829" s="737"/>
      <c r="I829" s="2199">
        <f ca="1">HYPERLINK("#'"&amp;$G$1&amp;"'!"&amp;ADDRESS(ROW(TB!I711),COLUMN(TB!I711),4),I711)</f>
        <v>4208359.53</v>
      </c>
      <c r="J829" s="2204">
        <f ca="1">HYPERLINK("#'"&amp;$G$1&amp;"'!"&amp;ADDRESS(ROW(TB!J711),COLUMN(TB!J711),4),J711)</f>
        <v>-2292045.13</v>
      </c>
      <c r="K829" s="737"/>
      <c r="L829" s="737"/>
      <c r="M829" s="2200">
        <f ca="1">HYPERLINK("#'"&amp;$G$1&amp;"'!"&amp;ADDRESS(ROW(TB!M711),COLUMN(TB!M711),4),M711)</f>
        <v>-2292045.13</v>
      </c>
    </row>
    <row r="830" spans="1:13" ht="18">
      <c r="A830" s="1650" t="s">
        <v>2565</v>
      </c>
      <c r="D830" s="932" t="s">
        <v>578</v>
      </c>
      <c r="E830" s="941" t="str">
        <f>E764</f>
        <v>现金及现金等价物净增加额</v>
      </c>
      <c r="F830" s="2204">
        <f ca="1">HYPERLINK("#'"&amp;$G$1&amp;"'!"&amp;ADDRESS(ROW(TB!F764),COLUMN(TB!F764),4),F764)</f>
        <v>4208359.53</v>
      </c>
      <c r="G830" s="737"/>
      <c r="H830" s="737"/>
      <c r="I830" s="2202">
        <f ca="1">HYPERLINK("#'"&amp;$G$1&amp;"'!"&amp;ADDRESS(ROW(TB!I764),COLUMN(TB!I764),4),I764)</f>
        <v>4208359.53</v>
      </c>
      <c r="J830" s="2204">
        <f ca="1">HYPERLINK("#'"&amp;$G$1&amp;"'!"&amp;ADDRESS(ROW(TB!J764),COLUMN(TB!J764),4),J764)</f>
        <v>-2292045.13</v>
      </c>
      <c r="K830" s="737"/>
      <c r="L830" s="737"/>
      <c r="M830" s="2200">
        <f ca="1">HYPERLINK("#'"&amp;$G$1&amp;"'!"&amp;ADDRESS(ROW(TB!M764),COLUMN(TB!M764),4),M764)</f>
        <v>-2292045.13</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100000000</v>
      </c>
      <c r="G833" s="737"/>
      <c r="H833" s="737"/>
      <c r="I833" s="2199">
        <f ca="1">HYPERLINK("#'"&amp;$G$1&amp;"'!"&amp;ADDRESS(ROW(TB!I111),COLUMN(TB!I111),4),I111)</f>
        <v>100000000</v>
      </c>
      <c r="J833" s="2204">
        <f ca="1">HYPERLINK("#'"&amp;$G$1&amp;"'!"&amp;ADDRESS(ROW(TB!J111),COLUMN(TB!J111),4),J111)</f>
        <v>100000000</v>
      </c>
      <c r="K833" s="737"/>
      <c r="L833" s="737"/>
      <c r="M833" s="2200">
        <f ca="1">HYPERLINK("#'"&amp;$G$1&amp;"'!"&amp;ADDRESS(ROW(TB!M111),COLUMN(TB!M111),4),M111)</f>
        <v>100000000</v>
      </c>
    </row>
    <row r="834" spans="1:13" ht="18">
      <c r="A834" s="1650" t="s">
        <v>2565</v>
      </c>
      <c r="D834" s="932" t="s">
        <v>442</v>
      </c>
      <c r="E834" s="941" t="str">
        <f>E267</f>
        <v>实收资本_本期期末余额</v>
      </c>
      <c r="F834" s="2204">
        <f ca="1">HYPERLINK("#'"&amp;$G$1&amp;"'!"&amp;ADDRESS(ROW(TB!F267),COLUMN(TB!F267),4),F267)</f>
        <v>100000000</v>
      </c>
      <c r="G834" s="737"/>
      <c r="H834" s="737"/>
      <c r="I834" s="2202">
        <f ca="1">HYPERLINK("#'"&amp;$G$1&amp;"'!"&amp;ADDRESS(ROW(TB!I267),COLUMN(TB!I267),4),I267)</f>
        <v>100000000</v>
      </c>
      <c r="J834" s="2204">
        <f ca="1">HYPERLINK("#'"&amp;$G$1&amp;"'!"&amp;ADDRESS(ROW(TB!J267),COLUMN(TB!J267),4),J267)</f>
        <v>100000000</v>
      </c>
      <c r="K834" s="737"/>
      <c r="L834" s="737"/>
      <c r="M834" s="2200">
        <f ca="1">HYPERLINK("#'"&amp;$G$1&amp;"'!"&amp;ADDRESS(ROW(TB!M267),COLUMN(TB!M267),4),M267)</f>
        <v>100000000</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418369.59</v>
      </c>
      <c r="G861" s="737"/>
      <c r="H861" s="737"/>
      <c r="I861" s="2199">
        <f ca="1">HYPERLINK("#'"&amp;$G$1&amp;"'!"&amp;ADDRESS(ROW(TB!I119),COLUMN(TB!I119),4),I119)</f>
        <v>418369.59</v>
      </c>
      <c r="J861" s="2204">
        <f ca="1">HYPERLINK("#'"&amp;$G$1&amp;"'!"&amp;ADDRESS(ROW(TB!J119),COLUMN(TB!J119),4),J119)</f>
        <v>418369.59</v>
      </c>
      <c r="K861" s="737"/>
      <c r="L861" s="737"/>
      <c r="M861" s="2200">
        <f ca="1">HYPERLINK("#'"&amp;$G$1&amp;"'!"&amp;ADDRESS(ROW(TB!M119),COLUMN(TB!M119),4),M119)</f>
        <v>418369.59</v>
      </c>
    </row>
    <row r="862" spans="1:13" ht="18">
      <c r="A862" s="1650" t="s">
        <v>2565</v>
      </c>
      <c r="D862" s="932" t="s">
        <v>442</v>
      </c>
      <c r="E862" s="941" t="str">
        <f>E523</f>
        <v>盈余公积_本期期末余额</v>
      </c>
      <c r="F862" s="2204">
        <f ca="1">HYPERLINK("#'"&amp;$G$1&amp;"'!"&amp;ADDRESS(ROW(TB!F523),COLUMN(TB!F523),4),F523)</f>
        <v>418369.59</v>
      </c>
      <c r="G862" s="737"/>
      <c r="H862" s="737"/>
      <c r="I862" s="2202">
        <f ca="1">HYPERLINK("#'"&amp;$G$1&amp;"'!"&amp;ADDRESS(ROW(TB!I523),COLUMN(TB!I523),4),I523)</f>
        <v>418369.59</v>
      </c>
      <c r="J862" s="2204">
        <f ca="1">HYPERLINK("#'"&amp;$G$1&amp;"'!"&amp;ADDRESS(ROW(TB!J523),COLUMN(TB!J523),4),J523)</f>
        <v>418369.59</v>
      </c>
      <c r="K862" s="737"/>
      <c r="L862" s="737"/>
      <c r="M862" s="2200">
        <f ca="1">HYPERLINK("#'"&amp;$G$1&amp;"'!"&amp;ADDRESS(ROW(TB!M523),COLUMN(TB!M523),4),M523)</f>
        <v>418369.59</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1202085.97</v>
      </c>
      <c r="G869" s="737"/>
      <c r="H869" s="737"/>
      <c r="I869" s="2199">
        <f ca="1">HYPERLINK("#'"&amp;$G$1&amp;"'!"&amp;ADDRESS(ROW(TB!I121),COLUMN(TB!I121),4),I121)</f>
        <v>1382585.97</v>
      </c>
      <c r="J869" s="2204">
        <f ca="1">HYPERLINK("#'"&amp;$G$1&amp;"'!"&amp;ADDRESS(ROW(TB!J121),COLUMN(TB!J121),4),J121)</f>
        <v>3765326.31</v>
      </c>
      <c r="K869" s="737"/>
      <c r="L869" s="737"/>
      <c r="M869" s="2200">
        <f ca="1">HYPERLINK("#'"&amp;$G$1&amp;"'!"&amp;ADDRESS(ROW(TB!M121),COLUMN(TB!M121),4),M121)</f>
        <v>3765326.31</v>
      </c>
    </row>
    <row r="870" spans="1:13" ht="18">
      <c r="A870" s="1650" t="s">
        <v>2565</v>
      </c>
      <c r="D870" s="932" t="s">
        <v>442</v>
      </c>
      <c r="E870" s="941" t="str">
        <f>E589</f>
        <v>未分配利润_本期期末余额</v>
      </c>
      <c r="F870" s="2204">
        <f ca="1">HYPERLINK("#'"&amp;$G$1&amp;"'!"&amp;ADDRESS(ROW(TB!F589),COLUMN(TB!F589),4),F589)</f>
        <v>1202085.97</v>
      </c>
      <c r="G870" s="737"/>
      <c r="H870" s="737"/>
      <c r="I870" s="2202">
        <f ca="1">HYPERLINK("#'"&amp;$G$1&amp;"'!"&amp;ADDRESS(ROW(TB!I589),COLUMN(TB!I589),4),I589)</f>
        <v>1382585.97</v>
      </c>
      <c r="J870" s="2204">
        <f ca="1">HYPERLINK("#'"&amp;$G$1&amp;"'!"&amp;ADDRESS(ROW(TB!J589),COLUMN(TB!J589),4),J589)</f>
        <v>3765326.31</v>
      </c>
      <c r="K870" s="737"/>
      <c r="L870" s="737"/>
      <c r="M870" s="2200">
        <f ca="1">HYPERLINK("#'"&amp;$G$1&amp;"'!"&amp;ADDRESS(ROW(TB!M589),COLUMN(TB!M589),4),M589)</f>
        <v>3765326.31</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180500</v>
      </c>
      <c r="G877" s="960"/>
      <c r="H877" s="960"/>
      <c r="I877" s="961">
        <f ca="1">SUMIF($E$786:$E$876,"差       异",I786:I876)</f>
        <v>361000</v>
      </c>
      <c r="J877" s="959">
        <f ca="1">SUMIF($E$786:$E$876,"差       异",J786:J876)</f>
        <v>0</v>
      </c>
      <c r="K877" s="960"/>
      <c r="L877" s="960"/>
      <c r="M877" s="962">
        <f ca="1">SUMIF($E$786:$E$876,"差       异",M786:M876)</f>
        <v>0</v>
      </c>
    </row>
  </sheetData>
  <sheetProtection algorithmName="SHA-512" hashValue="J0l0mxkfzWEjOjP3wPyIGwCgRwtd8NjnBd0y44K/nPzkyMC3mczV8I/wlFyu0YpNI/QgaEuHeFfAPv7kwJnUEA==" saltValue="OW7QgPLaz9zypDddO28cQg==" spinCount="100000" sheet="1" scenarios="1" formatCells="0" autoFilter="0"/>
  <phoneticPr fontId="163" type="noConversion"/>
  <conditionalFormatting sqref="E9:E10">
    <cfRule type="expression" dxfId="70" priority="93" stopIfTrue="1">
      <formula>$A9="："</formula>
    </cfRule>
    <cfRule type="expression" dxfId="69"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68"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67" priority="3" stopIfTrue="1" operator="notEqual">
      <formula>0</formula>
    </cfRule>
  </conditionalFormatting>
  <conditionalFormatting sqref="F798 M798 I798:J798">
    <cfRule type="cellIs" dxfId="66" priority="2" stopIfTrue="1" operator="notEqual">
      <formula>0</formula>
    </cfRule>
  </conditionalFormatting>
  <conditionalFormatting sqref="F798 M798 I798:J798">
    <cfRule type="cellIs" dxfId="65"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workbookViewId="0">
      <selection activeCell="O13" sqref="O13:P14"/>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1</v>
      </c>
      <c r="G4" s="2750"/>
      <c r="H4" s="645"/>
      <c r="I4" s="661" t="s">
        <v>2520</v>
      </c>
      <c r="J4" s="662" t="str">
        <f>Lead!$C$5</f>
        <v>北京天马金信供应链管理有限公司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43864</v>
      </c>
      <c r="P5" s="675" t="s">
        <v>6589</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6599</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38" si="0">IF($K9="","","J"&amp;$C9)</f>
        <v/>
      </c>
      <c r="C9" s="2749" t="str">
        <f t="shared" ref="C9:C38" si="1">IF($K9="","",VLOOKUP($K9,Sheet_Items2,7,0))</f>
        <v/>
      </c>
      <c r="D9" s="2749" t="str">
        <f t="shared" ref="D9:D38" si="2">IF($O9&amp;$P9&lt;&gt;"",cellAbove,INDEX($J:$J,ROW()))&amp;""</f>
        <v>根据实际发放金额调整年终奖金额</v>
      </c>
      <c r="E9" s="2749" t="str">
        <f t="shared" ref="E9:E38" si="3">IF($O9&amp;$P9&lt;&gt;"",cellAbove,INDEX($I:$I,ROW()))&amp;""</f>
        <v>1</v>
      </c>
      <c r="F9" s="2749">
        <f t="shared" ref="F9:F38" si="4">VALUE(IF(E9="",E8&amp;"."&amp;TEXT((ROW()-8),"000"),E9&amp;"."&amp;TEXT((ROW()-8),"000")))</f>
        <v>1.0009999999999999</v>
      </c>
      <c r="G9" s="2759" t="str">
        <f t="shared" ref="G9:G38" si="5">IF(TRIM($J9&amp;$K9&amp;$O9&amp;$P9)="","","本期")</f>
        <v>本期</v>
      </c>
      <c r="H9" s="649"/>
      <c r="I9" s="687">
        <v>1</v>
      </c>
      <c r="J9" s="3109" t="s">
        <v>6822</v>
      </c>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2"/>
      <c r="AB9" s="2772"/>
      <c r="AC9" s="2773">
        <f t="shared" ref="AC9:AC38" si="8">IF(O9&gt;0,O9,IF(P9&lt;0,-P9,0))</f>
        <v>0</v>
      </c>
      <c r="AD9" s="2773">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2"/>
      <c r="B10" s="2779" t="str">
        <f t="shared" si="0"/>
        <v>J6602</v>
      </c>
      <c r="C10" s="2749">
        <f t="shared" si="1"/>
        <v>6602</v>
      </c>
      <c r="D10" s="2749" t="str">
        <f t="shared" si="2"/>
        <v>根据实际发放金额调整年终奖金额</v>
      </c>
      <c r="E10" s="2749" t="str">
        <f t="shared" si="3"/>
        <v>1</v>
      </c>
      <c r="F10" s="2749">
        <f t="shared" si="4"/>
        <v>1.002</v>
      </c>
      <c r="G10" s="2759" t="str">
        <f t="shared" si="5"/>
        <v>本期</v>
      </c>
      <c r="H10" s="650"/>
      <c r="I10" s="691"/>
      <c r="J10" s="692" t="str">
        <f t="shared" ref="J10:J38" si="11">IF($O10&lt;&gt;"","借",IF($P10&lt;&gt;"","贷",""))</f>
        <v>借</v>
      </c>
      <c r="K10" s="3107" t="s">
        <v>6819</v>
      </c>
      <c r="L10" s="3108" t="s">
        <v>6820</v>
      </c>
      <c r="M10" s="693"/>
      <c r="N10" s="693"/>
      <c r="O10" s="193">
        <v>-180500</v>
      </c>
      <c r="P10" s="215"/>
      <c r="Q10" s="735" t="str">
        <f t="shared" si="6"/>
        <v>7200D</v>
      </c>
      <c r="R10" s="732" t="str">
        <f t="shared" si="7"/>
        <v>6</v>
      </c>
      <c r="S10" s="732"/>
      <c r="T10" s="732"/>
      <c r="U10" s="732"/>
      <c r="V10" s="732"/>
      <c r="W10" s="734"/>
      <c r="X10" s="732"/>
      <c r="Y10" s="732"/>
      <c r="Z10" s="732"/>
      <c r="AA10" s="2772"/>
      <c r="AB10" s="2772"/>
      <c r="AC10" s="2773">
        <f t="shared" si="8"/>
        <v>0</v>
      </c>
      <c r="AD10" s="2773">
        <f t="shared" si="9"/>
        <v>180500</v>
      </c>
      <c r="AE10" s="847" t="str">
        <f t="shared" si="10"/>
        <v>请选择分录类型！</v>
      </c>
      <c r="AF10" s="641"/>
    </row>
    <row r="11" spans="1:32" ht="18">
      <c r="A11" s="2752"/>
      <c r="B11" s="2779" t="str">
        <f t="shared" si="0"/>
        <v>J2211</v>
      </c>
      <c r="C11" s="2749">
        <f t="shared" si="1"/>
        <v>2211</v>
      </c>
      <c r="D11" s="2749" t="str">
        <f t="shared" si="2"/>
        <v>根据实际发放金额调整年终奖金额</v>
      </c>
      <c r="E11" s="2749" t="str">
        <f t="shared" si="3"/>
        <v>1</v>
      </c>
      <c r="F11" s="2749">
        <f t="shared" si="4"/>
        <v>1.0029999999999999</v>
      </c>
      <c r="G11" s="2759" t="str">
        <f t="shared" si="5"/>
        <v>本期</v>
      </c>
      <c r="H11" s="650"/>
      <c r="I11" s="691"/>
      <c r="J11" s="692" t="str">
        <f t="shared" si="11"/>
        <v>贷</v>
      </c>
      <c r="K11" s="3107" t="s">
        <v>6821</v>
      </c>
      <c r="L11" s="693"/>
      <c r="M11" s="693"/>
      <c r="N11" s="693"/>
      <c r="O11" s="193"/>
      <c r="P11" s="215">
        <f>O10</f>
        <v>-180500</v>
      </c>
      <c r="Q11" s="735" t="str">
        <f t="shared" si="6"/>
        <v>6200B</v>
      </c>
      <c r="R11" s="732" t="str">
        <f t="shared" si="7"/>
        <v>2</v>
      </c>
      <c r="S11" s="732"/>
      <c r="T11" s="732"/>
      <c r="U11" s="732"/>
      <c r="V11" s="732"/>
      <c r="W11" s="734"/>
      <c r="X11" s="732"/>
      <c r="Y11" s="732"/>
      <c r="Z11" s="732"/>
      <c r="AA11" s="2772"/>
      <c r="AB11" s="2772"/>
      <c r="AC11" s="2773">
        <f t="shared" si="8"/>
        <v>180500</v>
      </c>
      <c r="AD11" s="2773">
        <f t="shared" si="9"/>
        <v>0</v>
      </c>
      <c r="AE11" s="847" t="str">
        <f t="shared" si="10"/>
        <v>请选择分录类型！</v>
      </c>
      <c r="AF11" s="641"/>
    </row>
    <row r="12" spans="1:32" ht="18">
      <c r="A12" s="2752"/>
      <c r="B12" s="2779" t="str">
        <f t="shared" si="0"/>
        <v/>
      </c>
      <c r="C12" s="2749" t="str">
        <f t="shared" si="1"/>
        <v/>
      </c>
      <c r="D12" s="2749" t="str">
        <f t="shared" si="2"/>
        <v/>
      </c>
      <c r="E12" s="2749" t="str">
        <f t="shared" si="3"/>
        <v/>
      </c>
      <c r="F12" s="2749">
        <f t="shared" si="4"/>
        <v>1.004</v>
      </c>
      <c r="G12" s="2759" t="str">
        <f t="shared" si="5"/>
        <v/>
      </c>
      <c r="H12" s="650"/>
      <c r="I12" s="691"/>
      <c r="J12" s="692" t="str">
        <f t="shared" si="11"/>
        <v/>
      </c>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8">
      <c r="A13" s="2752"/>
      <c r="B13" s="2779" t="str">
        <f t="shared" si="0"/>
        <v>J2211</v>
      </c>
      <c r="C13" s="2749">
        <f t="shared" si="1"/>
        <v>2211</v>
      </c>
      <c r="D13" s="2749" t="str">
        <f t="shared" si="2"/>
        <v/>
      </c>
      <c r="E13" s="2749" t="str">
        <f t="shared" si="3"/>
        <v/>
      </c>
      <c r="F13" s="2749">
        <f t="shared" si="4"/>
        <v>5.0000000000000001E-3</v>
      </c>
      <c r="G13" s="2759" t="str">
        <f t="shared" si="5"/>
        <v>本期</v>
      </c>
      <c r="H13" s="650"/>
      <c r="I13" s="691"/>
      <c r="J13" s="692" t="str">
        <f t="shared" si="11"/>
        <v>借</v>
      </c>
      <c r="K13" s="689" t="s">
        <v>489</v>
      </c>
      <c r="L13" s="693" t="s">
        <v>6905</v>
      </c>
      <c r="M13" s="693"/>
      <c r="N13" s="693"/>
      <c r="O13" s="193">
        <v>5265</v>
      </c>
      <c r="P13" s="215"/>
      <c r="Q13" s="735" t="str">
        <f t="shared" si="6"/>
        <v>6200B</v>
      </c>
      <c r="R13" s="732" t="str">
        <f t="shared" si="7"/>
        <v>2</v>
      </c>
      <c r="S13" s="732"/>
      <c r="T13" s="732"/>
      <c r="U13" s="732"/>
      <c r="V13" s="732"/>
      <c r="W13" s="734"/>
      <c r="X13" s="732"/>
      <c r="Y13" s="732"/>
      <c r="Z13" s="732"/>
      <c r="AA13" s="2772"/>
      <c r="AB13" s="2772"/>
      <c r="AC13" s="2773">
        <f t="shared" si="8"/>
        <v>5265</v>
      </c>
      <c r="AD13" s="2773">
        <f t="shared" si="9"/>
        <v>0</v>
      </c>
      <c r="AE13" s="847" t="str">
        <f t="shared" si="10"/>
        <v>请选择分录类型！</v>
      </c>
      <c r="AF13" s="641"/>
    </row>
    <row r="14" spans="1:32" ht="18">
      <c r="A14" s="2752"/>
      <c r="B14" s="2779" t="str">
        <f t="shared" si="0"/>
        <v>J2221</v>
      </c>
      <c r="C14" s="2749">
        <f t="shared" si="1"/>
        <v>2221</v>
      </c>
      <c r="D14" s="2749" t="str">
        <f t="shared" si="2"/>
        <v/>
      </c>
      <c r="E14" s="2749" t="str">
        <f t="shared" si="3"/>
        <v/>
      </c>
      <c r="F14" s="2749">
        <f t="shared" si="4"/>
        <v>6.0000000000000001E-3</v>
      </c>
      <c r="G14" s="2759" t="str">
        <f t="shared" si="5"/>
        <v>本期</v>
      </c>
      <c r="H14" s="650"/>
      <c r="I14" s="691"/>
      <c r="J14" s="692" t="str">
        <f t="shared" si="11"/>
        <v>贷</v>
      </c>
      <c r="K14" s="689" t="s">
        <v>494</v>
      </c>
      <c r="L14" s="693" t="s">
        <v>6939</v>
      </c>
      <c r="M14" s="693"/>
      <c r="N14" s="693"/>
      <c r="O14" s="193"/>
      <c r="P14" s="215">
        <v>5265</v>
      </c>
      <c r="Q14" s="735" t="str">
        <f t="shared" si="6"/>
        <v>6150B</v>
      </c>
      <c r="R14" s="732" t="str">
        <f t="shared" si="7"/>
        <v>2</v>
      </c>
      <c r="S14" s="732"/>
      <c r="T14" s="732"/>
      <c r="U14" s="732"/>
      <c r="V14" s="732"/>
      <c r="W14" s="734"/>
      <c r="X14" s="732"/>
      <c r="Y14" s="732"/>
      <c r="Z14" s="732"/>
      <c r="AA14" s="2772"/>
      <c r="AB14" s="2772"/>
      <c r="AC14" s="2773">
        <f t="shared" si="8"/>
        <v>0</v>
      </c>
      <c r="AD14" s="2773">
        <f t="shared" si="9"/>
        <v>5265</v>
      </c>
      <c r="AE14" s="847" t="str">
        <f t="shared" si="10"/>
        <v>请选择分录类型！</v>
      </c>
      <c r="AF14" s="641"/>
    </row>
    <row r="15" spans="1:32" ht="18">
      <c r="A15" s="2752"/>
      <c r="B15" s="2779" t="str">
        <f t="shared" si="0"/>
        <v/>
      </c>
      <c r="C15" s="2749" t="str">
        <f t="shared" si="1"/>
        <v/>
      </c>
      <c r="D15" s="2749" t="str">
        <f t="shared" si="2"/>
        <v/>
      </c>
      <c r="E15" s="2749" t="str">
        <f t="shared" si="3"/>
        <v/>
      </c>
      <c r="F15" s="2749">
        <f t="shared" si="4"/>
        <v>7.0000000000000001E-3</v>
      </c>
      <c r="G15" s="2759" t="str">
        <f t="shared" si="5"/>
        <v/>
      </c>
      <c r="H15" s="650"/>
      <c r="I15" s="691"/>
      <c r="J15" s="692" t="str">
        <f t="shared" si="11"/>
        <v/>
      </c>
      <c r="K15" s="689"/>
      <c r="L15" s="693"/>
      <c r="M15" s="693"/>
      <c r="N15" s="693"/>
      <c r="O15" s="193"/>
      <c r="P15" s="215"/>
      <c r="Q15" s="735" t="str">
        <f t="shared" si="6"/>
        <v/>
      </c>
      <c r="R15" s="732" t="str">
        <f t="shared" si="7"/>
        <v/>
      </c>
      <c r="S15" s="732"/>
      <c r="T15" s="732"/>
      <c r="U15" s="732"/>
      <c r="V15" s="732"/>
      <c r="W15" s="734"/>
      <c r="X15" s="732"/>
      <c r="Y15" s="732"/>
      <c r="Z15" s="732"/>
      <c r="AA15" s="2772"/>
      <c r="AB15" s="2772"/>
      <c r="AC15" s="2773">
        <f t="shared" si="8"/>
        <v>0</v>
      </c>
      <c r="AD15" s="2773">
        <f t="shared" si="9"/>
        <v>0</v>
      </c>
      <c r="AE15" s="847" t="str">
        <f t="shared" si="10"/>
        <v/>
      </c>
      <c r="AF15" s="641"/>
    </row>
    <row r="16" spans="1:32" ht="18">
      <c r="A16" s="2752"/>
      <c r="B16" s="2779" t="str">
        <f t="shared" si="0"/>
        <v/>
      </c>
      <c r="C16" s="2749" t="str">
        <f t="shared" si="1"/>
        <v/>
      </c>
      <c r="D16" s="2749" t="str">
        <f t="shared" si="2"/>
        <v/>
      </c>
      <c r="E16" s="2749" t="str">
        <f t="shared" si="3"/>
        <v/>
      </c>
      <c r="F16" s="2749">
        <f t="shared" si="4"/>
        <v>8.0000000000000002E-3</v>
      </c>
      <c r="G16" s="2759"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
      </c>
      <c r="E17" s="2749" t="str">
        <f t="shared" si="3"/>
        <v/>
      </c>
      <c r="F17" s="2749">
        <f t="shared" si="4"/>
        <v>8.9999999999999993E-3</v>
      </c>
      <c r="G17" s="2759"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8">
      <c r="A18" s="2752"/>
      <c r="B18" s="2779" t="str">
        <f t="shared" si="0"/>
        <v/>
      </c>
      <c r="C18" s="2749" t="str">
        <f t="shared" si="1"/>
        <v/>
      </c>
      <c r="D18" s="2749" t="str">
        <f t="shared" si="2"/>
        <v/>
      </c>
      <c r="E18" s="2749" t="str">
        <f t="shared" si="3"/>
        <v/>
      </c>
      <c r="F18" s="2749">
        <f t="shared" si="4"/>
        <v>0.01</v>
      </c>
      <c r="G18" s="2759" t="str">
        <f t="shared" si="5"/>
        <v/>
      </c>
      <c r="H18" s="650"/>
      <c r="I18" s="691"/>
      <c r="J18" s="692" t="str">
        <f t="shared" si="11"/>
        <v/>
      </c>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
      </c>
      <c r="AF18" s="641"/>
    </row>
    <row r="19" spans="1:32" ht="18">
      <c r="A19" s="2752"/>
      <c r="B19" s="2779" t="str">
        <f t="shared" si="0"/>
        <v/>
      </c>
      <c r="C19" s="2749" t="str">
        <f t="shared" si="1"/>
        <v/>
      </c>
      <c r="D19" s="2749" t="str">
        <f t="shared" si="2"/>
        <v/>
      </c>
      <c r="E19" s="2749" t="str">
        <f t="shared" si="3"/>
        <v/>
      </c>
      <c r="F19" s="2749">
        <f t="shared" si="4"/>
        <v>1.0999999999999999E-2</v>
      </c>
      <c r="G19" s="2759" t="str">
        <f t="shared" si="5"/>
        <v/>
      </c>
      <c r="H19" s="650"/>
      <c r="I19" s="691"/>
      <c r="J19" s="692" t="str">
        <f t="shared" si="11"/>
        <v/>
      </c>
      <c r="K19" s="689"/>
      <c r="L19" s="693"/>
      <c r="M19" s="693"/>
      <c r="N19" s="693"/>
      <c r="O19" s="193"/>
      <c r="P19" s="215"/>
      <c r="Q19" s="735" t="str">
        <f t="shared" si="6"/>
        <v/>
      </c>
      <c r="R19" s="732" t="str">
        <f t="shared" si="7"/>
        <v/>
      </c>
      <c r="S19" s="732"/>
      <c r="T19" s="732"/>
      <c r="U19" s="732"/>
      <c r="V19" s="732"/>
      <c r="W19" s="734"/>
      <c r="X19" s="732"/>
      <c r="Y19" s="732"/>
      <c r="Z19" s="732"/>
      <c r="AA19" s="2772"/>
      <c r="AB19" s="2772"/>
      <c r="AC19" s="2773">
        <f t="shared" si="8"/>
        <v>0</v>
      </c>
      <c r="AD19" s="2773">
        <f t="shared" si="9"/>
        <v>0</v>
      </c>
      <c r="AE19" s="847" t="str">
        <f t="shared" si="10"/>
        <v/>
      </c>
      <c r="AF19" s="641"/>
    </row>
    <row r="20" spans="1:32" ht="18">
      <c r="A20" s="2752"/>
      <c r="B20" s="2779" t="str">
        <f t="shared" si="0"/>
        <v/>
      </c>
      <c r="C20" s="2749" t="str">
        <f t="shared" si="1"/>
        <v/>
      </c>
      <c r="D20" s="2749" t="str">
        <f t="shared" si="2"/>
        <v/>
      </c>
      <c r="E20" s="2749" t="str">
        <f t="shared" si="3"/>
        <v/>
      </c>
      <c r="F20" s="2749">
        <f t="shared" si="4"/>
        <v>1.2E-2</v>
      </c>
      <c r="G20" s="2759" t="str">
        <f t="shared" si="5"/>
        <v/>
      </c>
      <c r="H20" s="650"/>
      <c r="I20" s="691"/>
      <c r="J20" s="692" t="str">
        <f t="shared" si="11"/>
        <v/>
      </c>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
      </c>
      <c r="E21" s="2749" t="str">
        <f t="shared" si="3"/>
        <v/>
      </c>
      <c r="F21" s="2749">
        <f t="shared" si="4"/>
        <v>1.2999999999999999E-2</v>
      </c>
      <c r="G21" s="2759" t="str">
        <f t="shared" si="5"/>
        <v/>
      </c>
      <c r="H21" s="650"/>
      <c r="I21" s="691"/>
      <c r="J21" s="692" t="str">
        <f t="shared" si="11"/>
        <v/>
      </c>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
      </c>
      <c r="AF21" s="641"/>
    </row>
    <row r="22" spans="1:32" ht="18">
      <c r="A22" s="2752"/>
      <c r="B22" s="2779" t="str">
        <f t="shared" si="0"/>
        <v/>
      </c>
      <c r="C22" s="2749" t="str">
        <f t="shared" si="1"/>
        <v/>
      </c>
      <c r="D22" s="2749" t="str">
        <f t="shared" si="2"/>
        <v/>
      </c>
      <c r="E22" s="2749" t="str">
        <f t="shared" si="3"/>
        <v/>
      </c>
      <c r="F22" s="2749">
        <f t="shared" si="4"/>
        <v>1.4E-2</v>
      </c>
      <c r="G22" s="2759" t="str">
        <f t="shared" si="5"/>
        <v/>
      </c>
      <c r="H22" s="650"/>
      <c r="I22" s="691"/>
      <c r="J22" s="692" t="str">
        <f t="shared" si="11"/>
        <v/>
      </c>
      <c r="K22" s="689"/>
      <c r="L22" s="693"/>
      <c r="M22" s="693"/>
      <c r="N22" s="693"/>
      <c r="O22" s="193"/>
      <c r="P22" s="215"/>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8">
      <c r="A23" s="2752"/>
      <c r="B23" s="2779" t="str">
        <f t="shared" si="0"/>
        <v/>
      </c>
      <c r="C23" s="2749" t="str">
        <f t="shared" si="1"/>
        <v/>
      </c>
      <c r="D23" s="2749" t="str">
        <f t="shared" si="2"/>
        <v/>
      </c>
      <c r="E23" s="2749" t="str">
        <f t="shared" si="3"/>
        <v/>
      </c>
      <c r="F23" s="2749">
        <f t="shared" si="4"/>
        <v>1.4999999999999999E-2</v>
      </c>
      <c r="G23" s="2759" t="str">
        <f t="shared" si="5"/>
        <v/>
      </c>
      <c r="H23" s="650"/>
      <c r="I23" s="691"/>
      <c r="J23" s="692" t="str">
        <f t="shared" si="11"/>
        <v/>
      </c>
      <c r="K23" s="689"/>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
      </c>
      <c r="AF23" s="641"/>
    </row>
    <row r="24" spans="1:32" ht="18">
      <c r="A24" s="2752"/>
      <c r="B24" s="2779" t="str">
        <f t="shared" si="0"/>
        <v/>
      </c>
      <c r="C24" s="2749" t="str">
        <f t="shared" si="1"/>
        <v/>
      </c>
      <c r="D24" s="2749" t="str">
        <f t="shared" si="2"/>
        <v/>
      </c>
      <c r="E24" s="2749" t="str">
        <f t="shared" si="3"/>
        <v/>
      </c>
      <c r="F24" s="2749">
        <f t="shared" si="4"/>
        <v>1.6E-2</v>
      </c>
      <c r="G24" s="2759" t="str">
        <f t="shared" si="5"/>
        <v/>
      </c>
      <c r="H24" s="650"/>
      <c r="I24" s="691"/>
      <c r="J24" s="692" t="str">
        <f t="shared" si="11"/>
        <v/>
      </c>
      <c r="K24" s="689"/>
      <c r="L24" s="693"/>
      <c r="M24" s="693"/>
      <c r="N24" s="693"/>
      <c r="O24" s="193"/>
      <c r="P24" s="215"/>
      <c r="Q24" s="735" t="str">
        <f t="shared" si="6"/>
        <v/>
      </c>
      <c r="R24" s="732" t="str">
        <f t="shared" si="7"/>
        <v/>
      </c>
      <c r="S24" s="732"/>
      <c r="T24" s="732"/>
      <c r="U24" s="732"/>
      <c r="V24" s="732"/>
      <c r="W24" s="734"/>
      <c r="X24" s="732"/>
      <c r="Y24" s="732"/>
      <c r="Z24" s="732"/>
      <c r="AA24" s="2772"/>
      <c r="AB24" s="2772"/>
      <c r="AC24" s="2773">
        <f t="shared" si="8"/>
        <v>0</v>
      </c>
      <c r="AD24" s="2773">
        <f t="shared" si="9"/>
        <v>0</v>
      </c>
      <c r="AE24" s="847" t="str">
        <f t="shared" si="10"/>
        <v/>
      </c>
      <c r="AF24" s="641"/>
    </row>
    <row r="25" spans="1:32" ht="18">
      <c r="A25" s="2752"/>
      <c r="B25" s="2779" t="str">
        <f t="shared" si="0"/>
        <v/>
      </c>
      <c r="C25" s="2749" t="str">
        <f t="shared" si="1"/>
        <v/>
      </c>
      <c r="D25" s="2749" t="str">
        <f t="shared" si="2"/>
        <v/>
      </c>
      <c r="E25" s="2749" t="str">
        <f t="shared" si="3"/>
        <v/>
      </c>
      <c r="F25" s="2749">
        <f t="shared" si="4"/>
        <v>1.7000000000000001E-2</v>
      </c>
      <c r="G25" s="2759"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
      </c>
      <c r="E26" s="2749" t="str">
        <f t="shared" si="3"/>
        <v/>
      </c>
      <c r="F26" s="2749">
        <f t="shared" si="4"/>
        <v>1.7999999999999999E-2</v>
      </c>
      <c r="G26" s="2759" t="str">
        <f t="shared" si="5"/>
        <v/>
      </c>
      <c r="H26" s="650"/>
      <c r="I26" s="691"/>
      <c r="J26" s="692" t="str">
        <f t="shared" si="11"/>
        <v/>
      </c>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
      </c>
      <c r="AF26" s="641"/>
    </row>
    <row r="27" spans="1:32" ht="18">
      <c r="A27" s="2752"/>
      <c r="B27" s="2779" t="str">
        <f t="shared" si="0"/>
        <v/>
      </c>
      <c r="C27" s="2749" t="str">
        <f t="shared" si="1"/>
        <v/>
      </c>
      <c r="D27" s="2749" t="str">
        <f t="shared" si="2"/>
        <v/>
      </c>
      <c r="E27" s="2749" t="str">
        <f t="shared" si="3"/>
        <v/>
      </c>
      <c r="F27" s="2749">
        <f t="shared" si="4"/>
        <v>1.9E-2</v>
      </c>
      <c r="G27" s="2759" t="str">
        <f t="shared" si="5"/>
        <v/>
      </c>
      <c r="H27" s="650"/>
      <c r="I27" s="691"/>
      <c r="J27" s="692" t="str">
        <f t="shared" si="11"/>
        <v/>
      </c>
      <c r="K27" s="689"/>
      <c r="L27" s="693"/>
      <c r="M27" s="693"/>
      <c r="N27" s="693"/>
      <c r="O27" s="193"/>
      <c r="P27" s="215"/>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8">
      <c r="A28" s="2752"/>
      <c r="B28" s="2779" t="str">
        <f t="shared" si="0"/>
        <v/>
      </c>
      <c r="C28" s="2749" t="str">
        <f t="shared" si="1"/>
        <v/>
      </c>
      <c r="D28" s="2749" t="str">
        <f t="shared" si="2"/>
        <v/>
      </c>
      <c r="E28" s="2749" t="str">
        <f t="shared" si="3"/>
        <v/>
      </c>
      <c r="F28" s="2749">
        <f t="shared" si="4"/>
        <v>0.02</v>
      </c>
      <c r="G28" s="2759" t="str">
        <f t="shared" si="5"/>
        <v/>
      </c>
      <c r="H28" s="650"/>
      <c r="I28" s="691"/>
      <c r="J28" s="692" t="str">
        <f t="shared" si="11"/>
        <v/>
      </c>
      <c r="K28" s="689"/>
      <c r="L28" s="693"/>
      <c r="M28" s="693"/>
      <c r="N28" s="693"/>
      <c r="O28" s="193"/>
      <c r="P28" s="215"/>
      <c r="Q28" s="735" t="str">
        <f t="shared" si="6"/>
        <v/>
      </c>
      <c r="R28" s="732" t="str">
        <f t="shared" si="7"/>
        <v/>
      </c>
      <c r="S28" s="732"/>
      <c r="T28" s="732"/>
      <c r="U28" s="732"/>
      <c r="V28" s="732"/>
      <c r="W28" s="734"/>
      <c r="X28" s="732"/>
      <c r="Y28" s="732"/>
      <c r="Z28" s="732"/>
      <c r="AA28" s="2772"/>
      <c r="AB28" s="2772"/>
      <c r="AC28" s="2773">
        <f t="shared" si="8"/>
        <v>0</v>
      </c>
      <c r="AD28" s="2773">
        <f t="shared" si="9"/>
        <v>0</v>
      </c>
      <c r="AE28" s="847" t="str">
        <f t="shared" si="10"/>
        <v/>
      </c>
      <c r="AF28" s="641"/>
    </row>
    <row r="29" spans="1:32" ht="18">
      <c r="A29" s="2752"/>
      <c r="B29" s="2779" t="str">
        <f t="shared" si="0"/>
        <v/>
      </c>
      <c r="C29" s="2749" t="str">
        <f t="shared" si="1"/>
        <v/>
      </c>
      <c r="D29" s="2749" t="str">
        <f t="shared" si="2"/>
        <v/>
      </c>
      <c r="E29" s="2749" t="str">
        <f t="shared" si="3"/>
        <v/>
      </c>
      <c r="F29" s="2749">
        <f t="shared" si="4"/>
        <v>2.1000000000000001E-2</v>
      </c>
      <c r="G29" s="2759"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2"/>
      <c r="AB29" s="2772"/>
      <c r="AC29" s="2773">
        <f t="shared" si="8"/>
        <v>0</v>
      </c>
      <c r="AD29" s="2773">
        <f t="shared" si="9"/>
        <v>0</v>
      </c>
      <c r="AE29" s="847" t="str">
        <f t="shared" si="10"/>
        <v/>
      </c>
      <c r="AF29" s="641"/>
    </row>
    <row r="30" spans="1:32" ht="18">
      <c r="A30" s="2752"/>
      <c r="B30" s="2779" t="str">
        <f t="shared" si="0"/>
        <v/>
      </c>
      <c r="C30" s="2749" t="str">
        <f t="shared" si="1"/>
        <v/>
      </c>
      <c r="D30" s="2749" t="str">
        <f t="shared" si="2"/>
        <v/>
      </c>
      <c r="E30" s="2749" t="str">
        <f t="shared" si="3"/>
        <v/>
      </c>
      <c r="F30" s="2749">
        <f t="shared" si="4"/>
        <v>2.1999999999999999E-2</v>
      </c>
      <c r="G30" s="2759"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2"/>
      <c r="AB30" s="2772"/>
      <c r="AC30" s="2773">
        <f t="shared" si="8"/>
        <v>0</v>
      </c>
      <c r="AD30" s="2773">
        <f t="shared" si="9"/>
        <v>0</v>
      </c>
      <c r="AE30" s="847" t="str">
        <f t="shared" si="10"/>
        <v/>
      </c>
      <c r="AF30" s="641"/>
    </row>
    <row r="31" spans="1:32" ht="18">
      <c r="A31" s="2752"/>
      <c r="B31" s="2779" t="str">
        <f t="shared" si="0"/>
        <v/>
      </c>
      <c r="C31" s="2749" t="str">
        <f t="shared" si="1"/>
        <v/>
      </c>
      <c r="D31" s="2749" t="str">
        <f t="shared" si="2"/>
        <v/>
      </c>
      <c r="E31" s="2749" t="str">
        <f t="shared" si="3"/>
        <v/>
      </c>
      <c r="F31" s="2749">
        <f t="shared" si="4"/>
        <v>2.3E-2</v>
      </c>
      <c r="G31" s="2759"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2"/>
      <c r="AB31" s="2772"/>
      <c r="AC31" s="2773">
        <f t="shared" si="8"/>
        <v>0</v>
      </c>
      <c r="AD31" s="2773">
        <f t="shared" si="9"/>
        <v>0</v>
      </c>
      <c r="AE31" s="847" t="str">
        <f t="shared" si="10"/>
        <v/>
      </c>
      <c r="AF31" s="641"/>
    </row>
    <row r="32" spans="1:32" ht="18">
      <c r="A32" s="2752"/>
      <c r="B32" s="2779" t="str">
        <f t="shared" si="0"/>
        <v/>
      </c>
      <c r="C32" s="2749" t="str">
        <f t="shared" si="1"/>
        <v/>
      </c>
      <c r="D32" s="2749" t="str">
        <f t="shared" si="2"/>
        <v/>
      </c>
      <c r="E32" s="2749" t="str">
        <f t="shared" si="3"/>
        <v/>
      </c>
      <c r="F32" s="2749">
        <f t="shared" si="4"/>
        <v>2.4E-2</v>
      </c>
      <c r="G32" s="2759"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2"/>
      <c r="AB32" s="2772"/>
      <c r="AC32" s="2773">
        <f t="shared" si="8"/>
        <v>0</v>
      </c>
      <c r="AD32" s="2773">
        <f t="shared" si="9"/>
        <v>0</v>
      </c>
      <c r="AE32" s="847" t="str">
        <f t="shared" si="10"/>
        <v/>
      </c>
      <c r="AF32" s="641"/>
    </row>
    <row r="33" spans="1:34" ht="18">
      <c r="A33" s="2752"/>
      <c r="B33" s="2779" t="str">
        <f t="shared" si="0"/>
        <v/>
      </c>
      <c r="C33" s="2749" t="str">
        <f t="shared" si="1"/>
        <v/>
      </c>
      <c r="D33" s="2749" t="str">
        <f t="shared" si="2"/>
        <v/>
      </c>
      <c r="E33" s="2749" t="str">
        <f t="shared" si="3"/>
        <v/>
      </c>
      <c r="F33" s="2749">
        <f t="shared" si="4"/>
        <v>2.5000000000000001E-2</v>
      </c>
      <c r="G33" s="2759"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4" ht="18">
      <c r="A34" s="2752"/>
      <c r="B34" s="2779" t="str">
        <f t="shared" si="0"/>
        <v/>
      </c>
      <c r="C34" s="2749" t="str">
        <f t="shared" si="1"/>
        <v/>
      </c>
      <c r="D34" s="2749" t="str">
        <f t="shared" si="2"/>
        <v/>
      </c>
      <c r="E34" s="2749" t="str">
        <f t="shared" si="3"/>
        <v/>
      </c>
      <c r="F34" s="2749">
        <f t="shared" si="4"/>
        <v>2.5999999999999999E-2</v>
      </c>
      <c r="G34" s="2759"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
      </c>
      <c r="AF34" s="641"/>
    </row>
    <row r="35" spans="1:34" ht="18">
      <c r="A35" s="2752"/>
      <c r="B35" s="2779" t="str">
        <f t="shared" si="0"/>
        <v/>
      </c>
      <c r="C35" s="2749" t="str">
        <f t="shared" si="1"/>
        <v/>
      </c>
      <c r="D35" s="2749" t="str">
        <f t="shared" si="2"/>
        <v/>
      </c>
      <c r="E35" s="2749" t="str">
        <f t="shared" si="3"/>
        <v/>
      </c>
      <c r="F35" s="2749">
        <f t="shared" si="4"/>
        <v>2.7E-2</v>
      </c>
      <c r="G35" s="2759"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4" ht="18">
      <c r="A36" s="2752"/>
      <c r="B36" s="2779" t="str">
        <f t="shared" si="0"/>
        <v/>
      </c>
      <c r="C36" s="2749" t="str">
        <f t="shared" si="1"/>
        <v/>
      </c>
      <c r="D36" s="2749" t="str">
        <f t="shared" si="2"/>
        <v/>
      </c>
      <c r="E36" s="2749" t="str">
        <f t="shared" si="3"/>
        <v/>
      </c>
      <c r="F36" s="2749">
        <f t="shared" si="4"/>
        <v>2.8000000000000001E-2</v>
      </c>
      <c r="G36" s="2759"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
      </c>
      <c r="AF36" s="641"/>
    </row>
    <row r="37" spans="1:34" ht="18">
      <c r="A37" s="2752"/>
      <c r="B37" s="2779" t="str">
        <f t="shared" si="0"/>
        <v/>
      </c>
      <c r="C37" s="2749" t="str">
        <f t="shared" si="1"/>
        <v/>
      </c>
      <c r="D37" s="2749" t="str">
        <f t="shared" si="2"/>
        <v/>
      </c>
      <c r="E37" s="2749" t="str">
        <f t="shared" si="3"/>
        <v/>
      </c>
      <c r="F37" s="2749">
        <f t="shared" si="4"/>
        <v>2.9000000000000001E-2</v>
      </c>
      <c r="G37" s="2759"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4" ht="18">
      <c r="A38" s="2752"/>
      <c r="B38" s="2779" t="str">
        <f t="shared" si="0"/>
        <v/>
      </c>
      <c r="C38" s="2749" t="str">
        <f t="shared" si="1"/>
        <v/>
      </c>
      <c r="D38" s="2749" t="str">
        <f t="shared" si="2"/>
        <v/>
      </c>
      <c r="E38" s="2749" t="str">
        <f t="shared" si="3"/>
        <v/>
      </c>
      <c r="F38" s="2749">
        <f t="shared" si="4"/>
        <v>0.03</v>
      </c>
      <c r="G38" s="2759"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2"/>
      <c r="AB38" s="2772"/>
      <c r="AC38" s="2773">
        <f t="shared" si="8"/>
        <v>0</v>
      </c>
      <c r="AD38" s="2773">
        <f t="shared" si="9"/>
        <v>0</v>
      </c>
      <c r="AE38" s="847" t="str">
        <f t="shared" si="10"/>
        <v/>
      </c>
      <c r="AF38" s="641"/>
    </row>
    <row r="39" spans="1:34" ht="18" hidden="1">
      <c r="A39" s="2752"/>
      <c r="B39" s="2780"/>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847"/>
      <c r="AF39" s="641"/>
    </row>
    <row r="40" spans="1:34" s="640" customFormat="1" ht="18" customHeight="1">
      <c r="A40" s="2753" t="s">
        <v>2688</v>
      </c>
      <c r="B40" s="2781"/>
      <c r="C40" s="2760"/>
      <c r="D40" s="2761"/>
      <c r="E40" s="2761"/>
      <c r="F40" s="2761"/>
      <c r="G40" s="2762"/>
      <c r="H40" s="842"/>
      <c r="I40" s="843"/>
      <c r="J40" s="844" t="s">
        <v>2689</v>
      </c>
      <c r="K40" s="842"/>
      <c r="L40" s="842"/>
      <c r="M40" s="845"/>
      <c r="N40" s="845"/>
      <c r="O40" s="830">
        <f>SUBTOTAL(109,(INDEX(O:O,ROW(O$8)+1):cellAbove))</f>
        <v>-175235</v>
      </c>
      <c r="P40" s="846">
        <f>SUBTOTAL(109,(INDEX(P:P,ROW(P$8)+1):cellAbove))</f>
        <v>-175235</v>
      </c>
      <c r="Q40" s="842"/>
      <c r="R40" s="740"/>
      <c r="S40" s="732"/>
      <c r="T40" s="740"/>
      <c r="U40" s="740"/>
      <c r="V40" s="740"/>
      <c r="W40" s="741"/>
      <c r="X40" s="740"/>
      <c r="Y40" s="742"/>
      <c r="Z40" s="742"/>
      <c r="AA40" s="2775"/>
      <c r="AB40" s="2775"/>
      <c r="AC40" s="2776"/>
      <c r="AD40" s="2776"/>
      <c r="AE40" s="840" t="str">
        <f>IF(AND(O40=0,P40=0),"",IF(ROUND(O40-P40,2)=0,"借贷平衡!","借贷相差："&amp;(TEXT(O40-P40,"#,0.00"))))</f>
        <v>借贷平衡!</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641"/>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1:24" ht="12.75">
      <c r="A49" s="2749"/>
      <c r="B49" s="642"/>
      <c r="C49" s="2749"/>
      <c r="D49" s="2749"/>
      <c r="E49" s="2749"/>
      <c r="F49" s="2749"/>
      <c r="G49" s="2763"/>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vTxh6LZHCZPFXCjNbkxD45c10cvVEwV0dWymzeCpQ6UuaOHtu16wkdEtC/aSFPQxywfJQjrdTabtX98nxuFp+w==" saltValue="FDTeAA3clsZWrF4bqbcwFQ==" spinCount="100000" sheet="1" scenarios="1" formatCells="0" autoFilter="0"/>
  <autoFilter ref="A8:AE38"/>
  <phoneticPr fontId="163" type="noConversion"/>
  <conditionalFormatting sqref="P4:Q4">
    <cfRule type="expression" dxfId="64" priority="2" stopIfTrue="1">
      <formula>$P4&lt;&gt;""</formula>
    </cfRule>
  </conditionalFormatting>
  <conditionalFormatting sqref="AE9:AE39">
    <cfRule type="expression" dxfId="63" priority="11" stopIfTrue="1">
      <formula>AE9&lt;&gt;""</formula>
    </cfRule>
  </conditionalFormatting>
  <conditionalFormatting sqref="B9:B38">
    <cfRule type="expression" dxfId="62"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北京天马金信供应链管理有限公司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43864</v>
      </c>
      <c r="P5" s="675" t="s">
        <v>6591</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6599</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61" priority="2" stopIfTrue="1">
      <formula>$P4&lt;&gt;""</formula>
    </cfRule>
  </conditionalFormatting>
  <conditionalFormatting sqref="R9:R38">
    <cfRule type="expression" dxfId="60" priority="9" stopIfTrue="1">
      <formula>R9&lt;&gt;""</formula>
    </cfRule>
  </conditionalFormatting>
  <conditionalFormatting sqref="B9:B38">
    <cfRule type="expression" dxfId="59"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北京天马金信供应链管理有限公司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43864</v>
      </c>
      <c r="P5" s="767" t="s">
        <v>2708</v>
      </c>
      <c r="Q5" s="1453" t="s">
        <v>6592</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6599</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6789</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398"/>
      <c r="N44" s="3399"/>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400"/>
      <c r="N45" s="3401"/>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400"/>
      <c r="N46" s="3401"/>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400"/>
      <c r="N47" s="3401"/>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400"/>
      <c r="N48" s="3401"/>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396"/>
      <c r="N49" s="3397"/>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Sc1b08l9kmGykBj1Cb94+Id8zv8EIIIYfojohvrnuMVpPCImgj0yVrGVCJEbF9+9L7h6Yr7n26ZARn9oHz/mw==" saltValue="M5yqsm7zAfbRjB90pLGtIw=="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58" priority="2" stopIfTrue="1">
      <formula>$P4&lt;&gt;""</formula>
    </cfRule>
  </conditionalFormatting>
  <conditionalFormatting sqref="AE9:AE39">
    <cfRule type="expression" dxfId="57" priority="5" stopIfTrue="1">
      <formula>AE9&lt;&gt;""</formula>
    </cfRule>
  </conditionalFormatting>
  <conditionalFormatting sqref="B9:B38">
    <cfRule type="expression" dxfId="56"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北京天马金信供应链管理有限公司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43864</v>
      </c>
      <c r="P5" s="675" t="s">
        <v>6591</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6599</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55" priority="2" stopIfTrue="1">
      <formula>$P4&lt;&gt;""</formula>
    </cfRule>
  </conditionalFormatting>
  <conditionalFormatting sqref="AE9:AE39">
    <cfRule type="expression" dxfId="54" priority="11" stopIfTrue="1">
      <formula>AE9&lt;&gt;""</formula>
    </cfRule>
  </conditionalFormatting>
  <conditionalFormatting sqref="B9:B38">
    <cfRule type="expression" dxfId="53"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384" t="s">
        <v>5807</v>
      </c>
      <c r="F2" s="3384"/>
      <c r="G2" s="3384"/>
      <c r="H2" s="3384"/>
      <c r="I2" s="3384"/>
      <c r="J2" s="3384"/>
      <c r="K2" s="3384"/>
      <c r="L2" s="3384"/>
      <c r="M2" s="1664"/>
      <c r="N2" s="1664"/>
      <c r="O2" s="1664"/>
      <c r="P2" s="1664"/>
    </row>
    <row r="3" spans="1:16" ht="27" customHeight="1">
      <c r="A3" s="2840"/>
      <c r="B3" s="2840"/>
      <c r="C3" s="2840"/>
      <c r="D3" s="2840"/>
      <c r="E3" s="3383" t="str">
        <f>TEXT(Lead!$F$5,"yyyy 年 mm 月 dd 日")</f>
        <v>2019 年 12 月 31 日</v>
      </c>
      <c r="F3" s="3383"/>
      <c r="G3" s="3383"/>
      <c r="H3" s="3383"/>
      <c r="I3" s="3383"/>
      <c r="J3" s="3383"/>
      <c r="K3" s="3383"/>
      <c r="L3" s="3383"/>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编制单位：北京天马金信供应链管理有限公司</v>
      </c>
      <c r="F5" s="2039"/>
      <c r="G5" s="2039"/>
      <c r="H5" s="2039"/>
      <c r="I5" s="2039"/>
      <c r="J5" s="2039"/>
      <c r="K5" s="2039" t="s">
        <v>5750</v>
      </c>
      <c r="L5" s="2039" t="s">
        <v>5751</v>
      </c>
      <c r="M5" s="1664"/>
      <c r="N5" s="1664"/>
      <c r="O5" s="1664"/>
      <c r="P5" s="1664"/>
    </row>
    <row r="6" spans="1:16" ht="21" customHeight="1">
      <c r="A6" s="2870" t="s">
        <v>6635</v>
      </c>
      <c r="B6" s="2870" t="s">
        <v>2557</v>
      </c>
      <c r="C6" s="2870" t="s">
        <v>6636</v>
      </c>
      <c r="D6" s="2870" t="s">
        <v>2562</v>
      </c>
      <c r="E6" s="2120" t="s">
        <v>5134</v>
      </c>
      <c r="F6" s="2121" t="s">
        <v>5847</v>
      </c>
      <c r="G6" s="2121" t="str">
        <f>TEXT(Lead!$F$5,"yyyy年m月d日")</f>
        <v>2019年12月31日</v>
      </c>
      <c r="H6" s="2121" t="str">
        <f>TEXT(Lead!$F$6,"yyyy年m月d日")</f>
        <v>2018年12月31日</v>
      </c>
      <c r="I6" s="2122" t="s">
        <v>5134</v>
      </c>
      <c r="J6" s="2121" t="s">
        <v>5847</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4299668.37</v>
      </c>
      <c r="H8" s="2126">
        <f t="shared" ref="H8:H30" si="5">IF($C8="","",VLOOKUP($C8,Sheet_Trialbal,10,0))</f>
        <v>91308.84</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1200000</v>
      </c>
      <c r="H15" s="2126">
        <f t="shared" si="5"/>
        <v>0</v>
      </c>
      <c r="I15" s="2130" t="str">
        <f t="shared" si="3"/>
        <v>应付账款</v>
      </c>
      <c r="J15" s="2124"/>
      <c r="K15" s="2125">
        <f t="shared" si="6"/>
        <v>0</v>
      </c>
      <c r="L15" s="2128">
        <f t="shared" si="7"/>
        <v>182031</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0</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0</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50300000</v>
      </c>
      <c r="H21" s="2126">
        <f t="shared" si="5"/>
        <v>35000000</v>
      </c>
      <c r="I21" s="2130" t="str">
        <f t="shared" si="3"/>
        <v>应付职工薪酬</v>
      </c>
      <c r="J21" s="2124"/>
      <c r="K21" s="2125">
        <f t="shared" si="6"/>
        <v>621334.09</v>
      </c>
      <c r="L21" s="2128">
        <f t="shared" si="7"/>
        <v>306477.86</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101055.66</v>
      </c>
      <c r="L22" s="2128">
        <f t="shared" si="7"/>
        <v>27898.14</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4224459.3600000003</v>
      </c>
      <c r="L23" s="2128">
        <f t="shared" si="7"/>
        <v>113852180.2</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17540765.449999999</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2966551.07</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55799668.369999997</v>
      </c>
      <c r="H31" s="2126">
        <f>SUM(H8:H30)-SUM(H22,H23)</f>
        <v>55598625.359999999</v>
      </c>
      <c r="I31" s="2134" t="str">
        <f t="shared" si="3"/>
        <v>流动负债合计</v>
      </c>
      <c r="J31" s="2124"/>
      <c r="K31" s="2125">
        <f>SUM(K8:K30)-SUM(K24,K25)</f>
        <v>4946849.1100000003</v>
      </c>
      <c r="L31" s="2128">
        <f>SUM(L8:L30)-SUM(L24,L25)</f>
        <v>114368587.2</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50000000</v>
      </c>
      <c r="H39" s="2126">
        <f t="shared" si="10"/>
        <v>162000000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11018.74</v>
      </c>
      <c r="H43" s="2126">
        <f t="shared" si="10"/>
        <v>16540.18</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4946849.1100000003</v>
      </c>
      <c r="L45" s="2128">
        <f>SUM(L31,L44)</f>
        <v>114368587.2</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0</v>
      </c>
      <c r="I47" s="2136" t="str">
        <f>IF($D47="","",VLOOKUP($D47,Sheet_Items,6,0))</f>
        <v>股本</v>
      </c>
      <c r="J47" s="2124"/>
      <c r="K47" s="2125">
        <f t="shared" si="13"/>
        <v>100000000</v>
      </c>
      <c r="L47" s="2128">
        <f t="shared" si="14"/>
        <v>100000000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0</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0</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937117.56</v>
      </c>
      <c r="H51" s="2126">
        <f t="shared" si="10"/>
        <v>937117.56</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418369.59</v>
      </c>
      <c r="L55" s="2128">
        <f t="shared" si="14"/>
        <v>418369.59</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1382585.97</v>
      </c>
      <c r="L57" s="2128">
        <f t="shared" si="14"/>
        <v>3765326.31</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50948136.299999997</v>
      </c>
      <c r="H58" s="2126">
        <f>SUM(H33:H57)</f>
        <v>162953657.74000001</v>
      </c>
      <c r="I58" s="2138" t="str">
        <f>IF($D58="","",VLOOKUP($D58,Sheet_Items,6,0))</f>
        <v>所有者权益合计</v>
      </c>
      <c r="J58" s="2124"/>
      <c r="K58" s="2125">
        <f>SUM(K47:K48,K51,-K52,K53:K57)</f>
        <v>101800955.56</v>
      </c>
      <c r="L58" s="2128">
        <f>SUM(L47:L48,L51,-L52,L53:L57)</f>
        <v>104183695.90000001</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106747804.67</v>
      </c>
      <c r="H59" s="2141">
        <f>SUM(H31,H58)</f>
        <v>218552283.09999999</v>
      </c>
      <c r="I59" s="2142" t="str">
        <f>IF($D59="","",VLOOKUP($D59,Sheet_Items,6,0))</f>
        <v>负债和所有者权益总计</v>
      </c>
      <c r="J59" s="2139"/>
      <c r="K59" s="2140">
        <f>SUM(K45,K58)</f>
        <v>106747804.67</v>
      </c>
      <c r="L59" s="2143">
        <f>SUM(L45,L58)</f>
        <v>218552283.09999999</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5752</v>
      </c>
      <c r="F64" s="1671"/>
      <c r="G64" s="1672"/>
      <c r="H64" s="1672"/>
      <c r="I64" s="1672"/>
      <c r="J64" s="1672"/>
      <c r="K64" s="1672"/>
      <c r="L64" s="1673"/>
      <c r="M64" s="1674"/>
      <c r="N64" s="1664"/>
      <c r="O64" s="1664"/>
      <c r="P64" s="1664"/>
    </row>
    <row r="65" spans="1:16" ht="17.25">
      <c r="A65" s="2870" t="s">
        <v>2565</v>
      </c>
      <c r="B65" s="2870"/>
      <c r="C65" s="2870"/>
      <c r="D65" s="2870"/>
      <c r="E65" s="1675" t="s">
        <v>5753</v>
      </c>
      <c r="F65" s="1672"/>
      <c r="G65" s="1672"/>
      <c r="H65" s="1672" t="s">
        <v>5754</v>
      </c>
      <c r="I65" s="1672" t="s">
        <v>5755</v>
      </c>
      <c r="J65" s="1676"/>
      <c r="K65" s="1672" t="s">
        <v>5756</v>
      </c>
      <c r="L65" s="1677" t="s">
        <v>2550</v>
      </c>
      <c r="M65" s="1674"/>
      <c r="N65" s="1664"/>
      <c r="O65" s="1664"/>
      <c r="P65" s="1664"/>
    </row>
    <row r="66" spans="1:16" ht="18">
      <c r="A66" s="2877" t="s">
        <v>2565</v>
      </c>
      <c r="B66" s="2870"/>
      <c r="C66" s="2870"/>
      <c r="D66" s="2870"/>
      <c r="E66" s="1678" t="s">
        <v>5757</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106747804.67</v>
      </c>
      <c r="I68" s="1688" t="str">
        <f>I59</f>
        <v>负债和所有者权益总计</v>
      </c>
      <c r="J68" s="1687"/>
      <c r="K68" s="1694">
        <f>K59</f>
        <v>106747804.67</v>
      </c>
      <c r="L68" s="1695">
        <f>ROUND(H68-K68,2)</f>
        <v>0</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218552283.09999999</v>
      </c>
      <c r="I70" s="1704" t="str">
        <f>I59</f>
        <v>负债和所有者权益总计</v>
      </c>
      <c r="J70" s="1702"/>
      <c r="K70" s="1705">
        <f>L59</f>
        <v>218552283.09999999</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52" priority="18" stopIfTrue="1">
      <formula>#REF!=TRUE</formula>
    </cfRule>
  </conditionalFormatting>
  <conditionalFormatting sqref="L69 L67 L71">
    <cfRule type="cellIs" dxfId="51" priority="17" stopIfTrue="1" operator="notEqual">
      <formula>0</formula>
    </cfRule>
  </conditionalFormatting>
  <conditionalFormatting sqref="E64:F64">
    <cfRule type="expression" dxfId="50" priority="16" stopIfTrue="1">
      <formula>#REF!=TRUE</formula>
    </cfRule>
  </conditionalFormatting>
  <conditionalFormatting sqref="L68 L66 L70">
    <cfRule type="cellIs" dxfId="49" priority="15" stopIfTrue="1" operator="notEqual">
      <formula>0</formula>
    </cfRule>
  </conditionalFormatting>
  <conditionalFormatting sqref="E64:F64">
    <cfRule type="expression" dxfId="48" priority="14" stopIfTrue="1">
      <formula>#REF!=TRUE</formula>
    </cfRule>
  </conditionalFormatting>
  <conditionalFormatting sqref="L68 L66 L70">
    <cfRule type="cellIs" dxfId="47" priority="13" stopIfTrue="1" operator="notEqual">
      <formula>0</formula>
    </cfRule>
  </conditionalFormatting>
  <conditionalFormatting sqref="L69 L67">
    <cfRule type="cellIs" dxfId="46" priority="12" stopIfTrue="1" operator="notEqual">
      <formula>0</formula>
    </cfRule>
  </conditionalFormatting>
  <conditionalFormatting sqref="L68 L70">
    <cfRule type="cellIs" dxfId="45" priority="11" stopIfTrue="1" operator="notEqual">
      <formula>0</formula>
    </cfRule>
  </conditionalFormatting>
  <conditionalFormatting sqref="L68 L70">
    <cfRule type="cellIs" dxfId="44" priority="10" stopIfTrue="1" operator="notEqual">
      <formula>0</formula>
    </cfRule>
  </conditionalFormatting>
  <conditionalFormatting sqref="E65:F65">
    <cfRule type="expression" dxfId="43" priority="9" stopIfTrue="1">
      <formula>#REF!=TRUE</formula>
    </cfRule>
  </conditionalFormatting>
  <conditionalFormatting sqref="L69 L67">
    <cfRule type="cellIs" dxfId="42" priority="8" stopIfTrue="1" operator="notEqual">
      <formula>0</formula>
    </cfRule>
  </conditionalFormatting>
  <conditionalFormatting sqref="E64:F64">
    <cfRule type="expression" dxfId="41" priority="7" stopIfTrue="1">
      <formula>#REF!=TRUE</formula>
    </cfRule>
  </conditionalFormatting>
  <conditionalFormatting sqref="L68 L66 L70">
    <cfRule type="cellIs" dxfId="40" priority="6" stopIfTrue="1" operator="notEqual">
      <formula>0</formula>
    </cfRule>
  </conditionalFormatting>
  <conditionalFormatting sqref="E64:F64">
    <cfRule type="expression" dxfId="39" priority="5" stopIfTrue="1">
      <formula>#REF!=TRUE</formula>
    </cfRule>
  </conditionalFormatting>
  <conditionalFormatting sqref="L68 L66 L70">
    <cfRule type="cellIs" dxfId="38" priority="4" stopIfTrue="1" operator="notEqual">
      <formula>0</formula>
    </cfRule>
  </conditionalFormatting>
  <conditionalFormatting sqref="L69 L67">
    <cfRule type="cellIs" dxfId="37" priority="3" stopIfTrue="1" operator="notEqual">
      <formula>0</formula>
    </cfRule>
  </conditionalFormatting>
  <conditionalFormatting sqref="L68 L70">
    <cfRule type="cellIs" dxfId="36" priority="2" stopIfTrue="1" operator="notEqual">
      <formula>0</formula>
    </cfRule>
  </conditionalFormatting>
  <conditionalFormatting sqref="L68 L70">
    <cfRule type="cellIs" dxfId="3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384" t="s">
        <v>5808</v>
      </c>
      <c r="D2" s="3384"/>
      <c r="E2" s="3384"/>
      <c r="F2" s="3384"/>
      <c r="G2" s="1664"/>
      <c r="H2" s="1664"/>
      <c r="I2" s="1664"/>
      <c r="J2" s="1664"/>
    </row>
    <row r="3" spans="1:10" ht="27" customHeight="1">
      <c r="A3" s="2840"/>
      <c r="B3" s="2841"/>
      <c r="C3" s="3383" t="str">
        <f>Lead!$F$7</f>
        <v>2019年度</v>
      </c>
      <c r="D3" s="3383"/>
      <c r="E3" s="3383"/>
      <c r="F3" s="3383"/>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编制单位：北京天马金信供应链管理有限公司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20266366.969999999</v>
      </c>
      <c r="F7" s="2149">
        <f>SUM(F8:F11)</f>
        <v>9961204.6999999993</v>
      </c>
      <c r="G7" s="1710"/>
      <c r="H7" s="1710"/>
      <c r="I7" s="852"/>
      <c r="J7" s="1664"/>
    </row>
    <row r="8" spans="1:10" ht="18" customHeight="1">
      <c r="A8" s="2853">
        <f t="shared" si="0"/>
        <v>0</v>
      </c>
      <c r="B8" s="2854">
        <v>6001</v>
      </c>
      <c r="C8" s="2150" t="str">
        <f t="shared" si="1"/>
        <v>其中：营业收入</v>
      </c>
      <c r="D8" s="2151"/>
      <c r="E8" s="2125">
        <f>IF($B8="","",VLOOKUP($B8,Sheet_Trialbal,6,0))</f>
        <v>20266366.969999999</v>
      </c>
      <c r="F8" s="2128">
        <f>IF($B8="","",VLOOKUP($B8,Sheet_Trialbal,10,0))</f>
        <v>9961204.6999999993</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22659597.489999998</v>
      </c>
      <c r="F12" s="2149">
        <f>SUM(F13:F25)</f>
        <v>13845297.869999999</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17540765.449999999</v>
      </c>
      <c r="F13" s="2128">
        <f t="shared" ref="F13:F37" si="3">IF($B13="","",VLOOKUP($B13,Sheet_Trialbal,10,0))</f>
        <v>8620689.6300000008</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78151.759999999995</v>
      </c>
      <c r="F21" s="2128">
        <f t="shared" si="3"/>
        <v>68861.460000000006</v>
      </c>
      <c r="G21" s="1710"/>
      <c r="H21" s="1710"/>
      <c r="I21" s="852"/>
      <c r="J21" s="1664"/>
    </row>
    <row r="22" spans="1:10" ht="18" customHeight="1">
      <c r="A22" s="2853">
        <f t="shared" si="0"/>
        <v>0</v>
      </c>
      <c r="B22" s="2854">
        <v>6601</v>
      </c>
      <c r="C22" s="2152" t="str">
        <f t="shared" si="1"/>
        <v>销售费用</v>
      </c>
      <c r="D22" s="2151"/>
      <c r="E22" s="2125">
        <f t="shared" si="2"/>
        <v>0</v>
      </c>
      <c r="F22" s="2128">
        <f t="shared" si="3"/>
        <v>0</v>
      </c>
      <c r="G22" s="1710"/>
      <c r="H22" s="1710"/>
      <c r="I22" s="852"/>
      <c r="J22" s="1664"/>
    </row>
    <row r="23" spans="1:10" ht="18" customHeight="1">
      <c r="A23" s="2853">
        <f t="shared" si="0"/>
        <v>0</v>
      </c>
      <c r="B23" s="2854">
        <v>6602</v>
      </c>
      <c r="C23" s="2152" t="str">
        <f t="shared" si="1"/>
        <v>管理费用</v>
      </c>
      <c r="D23" s="2151"/>
      <c r="E23" s="2125">
        <f t="shared" si="2"/>
        <v>5051217.3499999996</v>
      </c>
      <c r="F23" s="2128">
        <f t="shared" si="3"/>
        <v>5160685.92</v>
      </c>
      <c r="G23" s="1710"/>
      <c r="H23" s="1710"/>
      <c r="I23" s="852"/>
      <c r="J23" s="1664"/>
    </row>
    <row r="24" spans="1:10" ht="18" customHeight="1">
      <c r="A24" s="2853">
        <f t="shared" si="0"/>
        <v>0</v>
      </c>
      <c r="B24" s="2854">
        <v>6606</v>
      </c>
      <c r="C24" s="2152" t="str">
        <f t="shared" si="1"/>
        <v>研发费用</v>
      </c>
      <c r="D24" s="2151"/>
      <c r="E24" s="2125">
        <f t="shared" si="2"/>
        <v>0</v>
      </c>
      <c r="F24" s="2128">
        <f t="shared" si="3"/>
        <v>0</v>
      </c>
      <c r="G24" s="1710"/>
      <c r="H24" s="1710"/>
      <c r="I24" s="852"/>
      <c r="J24" s="1664"/>
    </row>
    <row r="25" spans="1:10" ht="18" customHeight="1">
      <c r="A25" s="2853">
        <f t="shared" si="0"/>
        <v>0</v>
      </c>
      <c r="B25" s="2854">
        <v>6603</v>
      </c>
      <c r="C25" s="2152" t="str">
        <f t="shared" si="1"/>
        <v>财务费用</v>
      </c>
      <c r="D25" s="2151"/>
      <c r="E25" s="2125">
        <f t="shared" si="2"/>
        <v>-10537.07</v>
      </c>
      <c r="F25" s="2128">
        <f t="shared" si="3"/>
        <v>-4939.1400000000003</v>
      </c>
      <c r="G25" s="1710"/>
      <c r="H25" s="1710"/>
      <c r="I25" s="852"/>
      <c r="J25" s="1664"/>
    </row>
    <row r="26" spans="1:10" ht="18" customHeight="1">
      <c r="A26" s="2853">
        <f t="shared" si="0"/>
        <v>0</v>
      </c>
      <c r="B26" s="2854" t="s">
        <v>803</v>
      </c>
      <c r="C26" s="2152" t="str">
        <f t="shared" si="1"/>
        <v>其中：利息费用</v>
      </c>
      <c r="D26" s="2151"/>
      <c r="E26" s="2125">
        <f t="shared" si="2"/>
        <v>0</v>
      </c>
      <c r="F26" s="2128">
        <f t="shared" si="3"/>
        <v>0</v>
      </c>
      <c r="G26" s="1710"/>
      <c r="H26" s="1710"/>
      <c r="I26" s="852"/>
      <c r="J26" s="1664"/>
    </row>
    <row r="27" spans="1:10" ht="18" customHeight="1">
      <c r="A27" s="2853">
        <f t="shared" si="0"/>
        <v>0</v>
      </c>
      <c r="B27" s="2854" t="s">
        <v>810</v>
      </c>
      <c r="C27" s="2154" t="str">
        <f t="shared" si="1"/>
        <v>利息收入</v>
      </c>
      <c r="D27" s="2151"/>
      <c r="E27" s="2125">
        <f t="shared" si="2"/>
        <v>10615</v>
      </c>
      <c r="F27" s="2128">
        <f t="shared" si="3"/>
        <v>0</v>
      </c>
      <c r="G27" s="1710"/>
      <c r="H27" s="1710"/>
      <c r="I27" s="852"/>
      <c r="J27" s="1664"/>
    </row>
    <row r="28" spans="1:10" ht="18" customHeight="1">
      <c r="A28" s="2853">
        <f t="shared" si="0"/>
        <v>0</v>
      </c>
      <c r="B28" s="2854">
        <v>6181</v>
      </c>
      <c r="C28" s="2152" t="str">
        <f t="shared" si="1"/>
        <v>加：其他收益</v>
      </c>
      <c r="D28" s="2151"/>
      <c r="E28" s="2125">
        <f t="shared" si="2"/>
        <v>10490.18</v>
      </c>
      <c r="F28" s="2128">
        <f t="shared" si="3"/>
        <v>0</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5521086.3499999996</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0</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0</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-2382740.34</v>
      </c>
      <c r="F38" s="2149">
        <f>SUM(F8:F11)-SUM(F13:F25)+SUM(F28:F37)-SUM(F30,F31)</f>
        <v>1636993.18</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0</v>
      </c>
      <c r="G39" s="1710"/>
      <c r="H39" s="1710"/>
      <c r="I39" s="852"/>
      <c r="J39" s="1664"/>
    </row>
    <row r="40" spans="1:10" ht="18" customHeight="1">
      <c r="A40" s="2853">
        <f t="shared" si="0"/>
        <v>0</v>
      </c>
      <c r="B40" s="2857">
        <v>6711</v>
      </c>
      <c r="C40" s="2150" t="str">
        <f t="shared" si="4"/>
        <v>减：营业外支出</v>
      </c>
      <c r="D40" s="2151"/>
      <c r="E40" s="2125">
        <f>IF($B40="","",VLOOKUP($B40,Sheet_Trialbal,6,0))</f>
        <v>0</v>
      </c>
      <c r="F40" s="2128">
        <f>IF($B40="","",VLOOKUP($B40,Sheet_Trialbal,10,0))</f>
        <v>0</v>
      </c>
      <c r="G40" s="1710"/>
      <c r="H40" s="1710"/>
      <c r="I40" s="852"/>
      <c r="J40" s="1664"/>
    </row>
    <row r="41" spans="1:10" ht="18" customHeight="1">
      <c r="A41" s="2853" t="str">
        <f t="shared" si="0"/>
        <v>＝</v>
      </c>
      <c r="B41" s="2857">
        <v>6788</v>
      </c>
      <c r="C41" s="2158" t="str">
        <f t="shared" si="4"/>
        <v>四、利润总额（亏损总额以“-”号填列）</v>
      </c>
      <c r="D41" s="2147"/>
      <c r="E41" s="2148">
        <f>SUM(E38,E39,-E40)</f>
        <v>-2382740.34</v>
      </c>
      <c r="F41" s="2149">
        <f>SUM(F38,F39,-F40)</f>
        <v>1636993.18</v>
      </c>
      <c r="G41" s="1711"/>
      <c r="H41" s="1711"/>
      <c r="I41" s="852"/>
      <c r="J41" s="1664"/>
    </row>
    <row r="42" spans="1:10" ht="18" customHeight="1">
      <c r="A42" s="2853">
        <f t="shared" si="0"/>
        <v>0</v>
      </c>
      <c r="B42" s="2857">
        <v>6791</v>
      </c>
      <c r="C42" s="2150" t="str">
        <f t="shared" si="4"/>
        <v>减：所得税费用</v>
      </c>
      <c r="D42" s="2151"/>
      <c r="E42" s="2125">
        <f>IF($B42="","",VLOOKUP($B42,Sheet_Trialbal,6,0))</f>
        <v>0</v>
      </c>
      <c r="F42" s="2128">
        <f>IF($B42="","",VLOOKUP($B42,Sheet_Trialbal,10,0))</f>
        <v>-926583.97</v>
      </c>
      <c r="G42" s="1710"/>
      <c r="H42" s="1710"/>
      <c r="I42" s="852"/>
      <c r="J42" s="1664"/>
    </row>
    <row r="43" spans="1:10" ht="18" customHeight="1">
      <c r="A43" s="2853" t="str">
        <f t="shared" si="0"/>
        <v>＝</v>
      </c>
      <c r="B43" s="2857">
        <v>6799</v>
      </c>
      <c r="C43" s="2158" t="str">
        <f t="shared" si="4"/>
        <v>五、净利润（净亏损以“-”号填列）</v>
      </c>
      <c r="D43" s="2147"/>
      <c r="E43" s="2148">
        <f>SUM(E41,-E42)</f>
        <v>-2382740.34</v>
      </c>
      <c r="F43" s="2149">
        <f>SUM(F41,-F42)</f>
        <v>2563577.15</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-2382740.34</v>
      </c>
      <c r="F65" s="2128">
        <f>SUM(F43,F46)</f>
        <v>2563577.15</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402"/>
      <c r="D69" s="3402"/>
      <c r="E69" s="3402"/>
      <c r="F69" s="3402"/>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385"/>
      <c r="D71" s="3385"/>
      <c r="E71" s="3385"/>
      <c r="F71" s="3385"/>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5758</v>
      </c>
      <c r="D74" s="1715"/>
      <c r="E74" s="1716"/>
      <c r="F74" s="1717"/>
      <c r="G74" s="1718"/>
      <c r="H74" s="1718"/>
      <c r="I74" s="852"/>
      <c r="J74" s="1664"/>
    </row>
    <row r="75" spans="1:10" ht="18">
      <c r="A75" s="2866" t="s">
        <v>2565</v>
      </c>
      <c r="B75" s="2867"/>
      <c r="C75" s="1719" t="s">
        <v>5759</v>
      </c>
      <c r="D75" s="1720"/>
      <c r="E75" s="1721" t="s">
        <v>2577</v>
      </c>
      <c r="F75" s="1722" t="s">
        <v>2578</v>
      </c>
      <c r="G75" s="1718"/>
      <c r="H75" s="1718"/>
      <c r="I75" s="852"/>
      <c r="J75" s="1664"/>
    </row>
    <row r="76" spans="1:10" ht="18">
      <c r="A76" s="2868" t="s">
        <v>2565</v>
      </c>
      <c r="B76" s="2869"/>
      <c r="C76" s="1723" t="s">
        <v>5760</v>
      </c>
      <c r="D76" s="1724"/>
      <c r="E76" s="1725"/>
      <c r="F76" s="1695"/>
      <c r="G76" s="853"/>
      <c r="H76" s="853"/>
      <c r="I76" s="852"/>
      <c r="J76" s="1664"/>
    </row>
    <row r="77" spans="1:10" ht="18">
      <c r="A77" s="2868" t="s">
        <v>2565</v>
      </c>
      <c r="B77" s="2869"/>
      <c r="C77" s="1726" t="str">
        <f>C43</f>
        <v>五、净利润（净亏损以“-”号填列）</v>
      </c>
      <c r="D77" s="1724" t="s">
        <v>5763</v>
      </c>
      <c r="E77" s="1727">
        <f>E43</f>
        <v>-2382740.34</v>
      </c>
      <c r="F77" s="1728">
        <f>F43</f>
        <v>2563577.15</v>
      </c>
      <c r="G77" s="853"/>
      <c r="H77" s="853"/>
      <c r="I77" s="852"/>
      <c r="J77" s="1664"/>
    </row>
    <row r="78" spans="1:10" ht="24">
      <c r="A78" s="2868" t="s">
        <v>2565</v>
      </c>
      <c r="B78" s="2869"/>
      <c r="C78" s="1896" t="str">
        <f>C44 &amp; "+" &amp;C45</f>
        <v>（一）持续经营净利润（净亏损以“-”号填列）+（二）终止经营净利润（净亏损以“-”号填列）</v>
      </c>
      <c r="D78" s="1724" t="s">
        <v>5764</v>
      </c>
      <c r="E78" s="1727">
        <f>E44+E45</f>
        <v>0</v>
      </c>
      <c r="F78" s="1728">
        <f>F44+F45</f>
        <v>0</v>
      </c>
      <c r="G78" s="853"/>
      <c r="H78" s="853"/>
      <c r="I78" s="852"/>
      <c r="J78" s="1664"/>
    </row>
    <row r="79" spans="1:10" ht="18.75" thickBot="1">
      <c r="A79" s="2868" t="s">
        <v>2565</v>
      </c>
      <c r="B79" s="2869"/>
      <c r="C79" s="1729" t="s">
        <v>5765</v>
      </c>
      <c r="D79" s="1724"/>
      <c r="E79" s="1730">
        <f>ROUND(E77-E78,2)</f>
        <v>-2382740.34</v>
      </c>
      <c r="F79" s="1731">
        <f>ROUND(F77-F78,2)</f>
        <v>2563577.15</v>
      </c>
      <c r="G79" s="853"/>
      <c r="H79" s="853"/>
      <c r="I79" s="852"/>
      <c r="J79" s="1664"/>
    </row>
    <row r="80" spans="1:10" ht="18.75" thickTop="1">
      <c r="A80" s="2868" t="s">
        <v>2565</v>
      </c>
      <c r="B80" s="2869"/>
      <c r="C80" s="1732" t="s">
        <v>5761</v>
      </c>
      <c r="D80" s="1724"/>
      <c r="E80" s="1733" t="str">
        <f>IF(E79=0,"√","×")</f>
        <v>×</v>
      </c>
      <c r="F80" s="1734" t="str">
        <f>IF(F79=0,"√","×")</f>
        <v>×</v>
      </c>
      <c r="G80" s="853"/>
      <c r="H80" s="853"/>
      <c r="I80" s="852"/>
      <c r="J80" s="1664"/>
    </row>
    <row r="81" spans="1:10" ht="18">
      <c r="A81" s="2868" t="s">
        <v>2565</v>
      </c>
      <c r="B81" s="2869"/>
      <c r="C81" s="1723" t="s">
        <v>5762</v>
      </c>
      <c r="D81" s="1724"/>
      <c r="E81" s="1725"/>
      <c r="F81" s="1695"/>
      <c r="G81" s="853"/>
      <c r="H81" s="853"/>
      <c r="I81" s="852"/>
      <c r="J81" s="1664"/>
    </row>
    <row r="82" spans="1:10" ht="18">
      <c r="A82" s="2868" t="s">
        <v>2565</v>
      </c>
      <c r="B82" s="2869"/>
      <c r="C82" s="1726" t="str">
        <f>C43</f>
        <v>五、净利润（净亏损以“-”号填列）</v>
      </c>
      <c r="D82" s="1724" t="s">
        <v>5763</v>
      </c>
      <c r="E82" s="1727">
        <f>E43</f>
        <v>-2382740.34</v>
      </c>
      <c r="F82" s="1728">
        <f>F43</f>
        <v>2563577.15</v>
      </c>
      <c r="G82" s="853"/>
      <c r="H82" s="853"/>
      <c r="I82" s="852"/>
      <c r="J82" s="1664"/>
    </row>
    <row r="83" spans="1:10" ht="18">
      <c r="A83" s="2868" t="s">
        <v>2565</v>
      </c>
      <c r="B83" s="2869"/>
      <c r="C83" s="1691" t="str">
        <f>OwnersEquity!$C$15&amp;" | "&amp;OwnersEquity!$N$7</f>
        <v>（一）综合收益总额 | 未分配利润</v>
      </c>
      <c r="D83" s="1724" t="s">
        <v>5764</v>
      </c>
      <c r="E83" s="1727">
        <f>OwnersEquity!N15</f>
        <v>-2382740.34</v>
      </c>
      <c r="F83" s="1728">
        <f>OwnersEquity!AA15</f>
        <v>2563577.15</v>
      </c>
      <c r="G83" s="853"/>
      <c r="H83" s="853"/>
      <c r="I83" s="852"/>
      <c r="J83" s="1664"/>
    </row>
    <row r="84" spans="1:10" ht="18.75" thickBot="1">
      <c r="A84" s="2868" t="s">
        <v>2565</v>
      </c>
      <c r="B84" s="2869"/>
      <c r="C84" s="1729" t="s">
        <v>5765</v>
      </c>
      <c r="D84" s="1724"/>
      <c r="E84" s="1730">
        <f>ROUND(E82-E83,2)</f>
        <v>0</v>
      </c>
      <c r="F84" s="1731">
        <f>ROUND(F82-F83,2)</f>
        <v>0</v>
      </c>
      <c r="G84" s="853"/>
      <c r="H84" s="853"/>
      <c r="I84" s="852"/>
      <c r="J84" s="1664"/>
    </row>
    <row r="85" spans="1:10" ht="18.75" thickTop="1">
      <c r="A85" s="2868" t="s">
        <v>2565</v>
      </c>
      <c r="B85" s="2869"/>
      <c r="C85" s="1732" t="s">
        <v>5766</v>
      </c>
      <c r="D85" s="1724"/>
      <c r="E85" s="1733" t="str">
        <f>IF(E84=0,"√","×")</f>
        <v>√</v>
      </c>
      <c r="F85" s="1734" t="str">
        <f>IF(F84=0,"√","×")</f>
        <v>√</v>
      </c>
      <c r="G85" s="853"/>
      <c r="H85" s="853"/>
      <c r="I85" s="852"/>
      <c r="J85" s="1664"/>
    </row>
    <row r="86" spans="1:10" ht="18">
      <c r="A86" s="2868" t="s">
        <v>2565</v>
      </c>
      <c r="B86" s="2869"/>
      <c r="C86" s="1726" t="str">
        <f>$C$46</f>
        <v>六、其他综合收益的税后净额</v>
      </c>
      <c r="D86" s="1724" t="s">
        <v>5767</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5764</v>
      </c>
      <c r="E87" s="1727">
        <f>OwnersEquity!J15</f>
        <v>0</v>
      </c>
      <c r="F87" s="1728">
        <f ca="1">OwnersEquity!W15</f>
        <v>0</v>
      </c>
      <c r="G87" s="853"/>
      <c r="H87" s="853"/>
      <c r="I87" s="852"/>
      <c r="J87" s="1664"/>
    </row>
    <row r="88" spans="1:10" ht="18.75" thickBot="1">
      <c r="A88" s="2868" t="s">
        <v>2565</v>
      </c>
      <c r="B88" s="2869"/>
      <c r="C88" s="1729" t="s">
        <v>5765</v>
      </c>
      <c r="D88" s="1724"/>
      <c r="E88" s="1730">
        <f>ROUND(E86-E87,2)</f>
        <v>0</v>
      </c>
      <c r="F88" s="1731">
        <f ca="1">ROUND(F86-F87,2)</f>
        <v>0</v>
      </c>
      <c r="G88" s="853"/>
      <c r="H88" s="853"/>
      <c r="I88" s="852"/>
      <c r="J88" s="1664"/>
    </row>
    <row r="89" spans="1:10" ht="18.75" thickTop="1">
      <c r="A89" s="2868" t="s">
        <v>2565</v>
      </c>
      <c r="B89" s="2869"/>
      <c r="C89" s="1732" t="s">
        <v>5768</v>
      </c>
      <c r="D89" s="1724"/>
      <c r="E89" s="1733" t="str">
        <f>IF(E88=0,"√","×")</f>
        <v>√</v>
      </c>
      <c r="F89" s="1734" t="str">
        <f ca="1">IF(F88=0,"√","×")</f>
        <v>√</v>
      </c>
      <c r="G89" s="853"/>
      <c r="H89" s="852"/>
      <c r="I89" s="852"/>
      <c r="J89" s="1664"/>
    </row>
    <row r="90" spans="1:10" ht="18">
      <c r="A90" s="2868" t="s">
        <v>2565</v>
      </c>
      <c r="B90" s="2869"/>
      <c r="C90" s="1726" t="str">
        <f>C65</f>
        <v>七、综合收益总额</v>
      </c>
      <c r="D90" s="1724" t="s">
        <v>5769</v>
      </c>
      <c r="E90" s="1727">
        <f>E65</f>
        <v>-2382740.34</v>
      </c>
      <c r="F90" s="1728">
        <f>F65</f>
        <v>2563577.15</v>
      </c>
      <c r="G90" s="853"/>
      <c r="H90" s="852"/>
      <c r="I90" s="852"/>
      <c r="J90" s="1664"/>
    </row>
    <row r="91" spans="1:10" ht="18">
      <c r="A91" s="2868" t="s">
        <v>2565</v>
      </c>
      <c r="B91" s="2869"/>
      <c r="C91" s="1691" t="str">
        <f>OwnersEquity!$C$15&amp;" | "&amp;OwnersEquity!$P$7</f>
        <v>（一）综合收益总额 | 所有者权益合计</v>
      </c>
      <c r="D91" s="1724" t="s">
        <v>5770</v>
      </c>
      <c r="E91" s="1727">
        <f>OwnersEquity!P15</f>
        <v>-2382740.34</v>
      </c>
      <c r="F91" s="1728">
        <f ca="1">OwnersEquity!AC15</f>
        <v>2563577.15</v>
      </c>
      <c r="G91" s="853"/>
      <c r="H91" s="852"/>
      <c r="I91" s="852"/>
      <c r="J91" s="1664"/>
    </row>
    <row r="92" spans="1:10" ht="18.75" thickBot="1">
      <c r="A92" s="2868" t="s">
        <v>2565</v>
      </c>
      <c r="B92" s="2869"/>
      <c r="C92" s="1729" t="s">
        <v>5771</v>
      </c>
      <c r="D92" s="1724"/>
      <c r="E92" s="1730">
        <f>ROUND(E90-E91,2)</f>
        <v>0</v>
      </c>
      <c r="F92" s="1731">
        <f ca="1">ROUND(F90-F91,2)</f>
        <v>0</v>
      </c>
      <c r="G92" s="853"/>
      <c r="H92" s="852"/>
      <c r="I92" s="852"/>
      <c r="J92" s="1664"/>
    </row>
    <row r="93" spans="1:10" ht="18.75" thickTop="1">
      <c r="A93" s="2868" t="s">
        <v>2565</v>
      </c>
      <c r="B93" s="2869"/>
      <c r="C93" s="1735" t="s">
        <v>5768</v>
      </c>
      <c r="D93" s="1724"/>
      <c r="E93" s="1733" t="str">
        <f>IF(E92=0,"√","×")</f>
        <v>√</v>
      </c>
      <c r="F93" s="1734" t="str">
        <f ca="1">IF(F92=0,"√","×")</f>
        <v>√</v>
      </c>
      <c r="G93" s="1736"/>
      <c r="H93" s="851"/>
      <c r="I93" s="850"/>
    </row>
    <row r="94" spans="1:10" ht="18.75" thickBot="1">
      <c r="A94" s="2868" t="s">
        <v>2565</v>
      </c>
      <c r="B94" s="2869"/>
      <c r="C94" s="1737" t="s">
        <v>2572</v>
      </c>
      <c r="D94" s="1738"/>
      <c r="E94" s="1739">
        <f>SUMIF($C$76:$C$93,"差       异",E76:E93)</f>
        <v>-2382740.34</v>
      </c>
      <c r="F94" s="1706">
        <f ca="1">SUMIF($C$76:$C$93,"差       异",F76:F93)</f>
        <v>2563577.15</v>
      </c>
      <c r="G94" s="1736"/>
      <c r="H94" s="1740" t="str">
        <f ca="1">IF(E94+F94=0,"Balanced","Diff "&amp;TEXT(ROUND(E94+F94,2),"#,###.00"))</f>
        <v>Diff 180,836.81</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4" priority="56" stopIfTrue="1" operator="notEqual">
      <formula>0</formula>
    </cfRule>
  </conditionalFormatting>
  <conditionalFormatting sqref="D74:D75 C74">
    <cfRule type="expression" dxfId="33" priority="55" stopIfTrue="1">
      <formula>#REF!=TRUE</formula>
    </cfRule>
  </conditionalFormatting>
  <conditionalFormatting sqref="E94:F94 E88:F88 E92:F92 E84:F84">
    <cfRule type="cellIs" dxfId="32" priority="54" stopIfTrue="1" operator="notEqual">
      <formula>0</formula>
    </cfRule>
  </conditionalFormatting>
  <conditionalFormatting sqref="E94:F94 E88:F88 E92:F92 E84:F84">
    <cfRule type="cellIs" dxfId="31" priority="52" stopIfTrue="1" operator="notEqual">
      <formula>0</formula>
    </cfRule>
  </conditionalFormatting>
  <conditionalFormatting sqref="E94:F94 E88:F88 E92:F92 E84:F84">
    <cfRule type="cellIs" dxfId="30" priority="51" stopIfTrue="1" operator="notEqual">
      <formula>0</formula>
    </cfRule>
  </conditionalFormatting>
  <conditionalFormatting sqref="E94:F94 E88:F88 E92:F92 E84:F84">
    <cfRule type="cellIs" dxfId="29" priority="50" stopIfTrue="1" operator="notEqual">
      <formula>0</formula>
    </cfRule>
  </conditionalFormatting>
  <conditionalFormatting sqref="E94:F94 E88:F88 E92:F92 E84:F84">
    <cfRule type="cellIs" dxfId="28" priority="48" stopIfTrue="1" operator="notEqual">
      <formula>0</formula>
    </cfRule>
  </conditionalFormatting>
  <conditionalFormatting sqref="E94:F94 E88:F88 E92:F92 E84:F84">
    <cfRule type="cellIs" dxfId="27" priority="46" stopIfTrue="1" operator="notEqual">
      <formula>0</formula>
    </cfRule>
  </conditionalFormatting>
  <conditionalFormatting sqref="E94:F94 E88:F88 E92:F92 E84:F84">
    <cfRule type="cellIs" dxfId="26" priority="45" stopIfTrue="1" operator="notEqual">
      <formula>0</formula>
    </cfRule>
  </conditionalFormatting>
  <conditionalFormatting sqref="E94:F94 E88:F88 E92:F92 E84:F84">
    <cfRule type="cellIs" dxfId="25" priority="44" stopIfTrue="1" operator="notEqual">
      <formula>0</formula>
    </cfRule>
  </conditionalFormatting>
  <conditionalFormatting sqref="E94:F94 E88:F88 E92:F92 E84:F84">
    <cfRule type="cellIs" dxfId="24" priority="43" stopIfTrue="1" operator="notEqual">
      <formula>0</formula>
    </cfRule>
  </conditionalFormatting>
  <conditionalFormatting sqref="E94:F94 E88:F88 E92:F92 E84:F84">
    <cfRule type="cellIs" dxfId="23" priority="42" stopIfTrue="1" operator="notEqual">
      <formula>0</formula>
    </cfRule>
  </conditionalFormatting>
  <conditionalFormatting sqref="E94:F94 E88:F88 E92:F92 E84:F84">
    <cfRule type="cellIs" dxfId="22" priority="41" stopIfTrue="1" operator="notEqual">
      <formula>0</formula>
    </cfRule>
  </conditionalFormatting>
  <conditionalFormatting sqref="E94:F94 E88:F88 E92:F92 E84:F84">
    <cfRule type="cellIs" dxfId="21" priority="40" stopIfTrue="1" operator="notEqual">
      <formula>0</formula>
    </cfRule>
  </conditionalFormatting>
  <conditionalFormatting sqref="E94:F94 E88:F88 E92:F92 E84:F84">
    <cfRule type="cellIs" dxfId="20" priority="38" stopIfTrue="1" operator="notEqual">
      <formula>0</formula>
    </cfRule>
  </conditionalFormatting>
  <conditionalFormatting sqref="E94:F94 E88:F88 E92:F92 E84:F84">
    <cfRule type="cellIs" dxfId="19" priority="36" stopIfTrue="1" operator="notEqual">
      <formula>0</formula>
    </cfRule>
  </conditionalFormatting>
  <conditionalFormatting sqref="E94:F94 E88:F88 E92:F92 E84:F84">
    <cfRule type="cellIs" dxfId="18" priority="35" stopIfTrue="1" operator="notEqual">
      <formula>0</formula>
    </cfRule>
  </conditionalFormatting>
  <conditionalFormatting sqref="E94:F94 E88:F88 E92:F92 E84:F84">
    <cfRule type="cellIs" dxfId="17" priority="34" stopIfTrue="1" operator="notEqual">
      <formula>0</formula>
    </cfRule>
  </conditionalFormatting>
  <conditionalFormatting sqref="E94:F94 E88:F88 E92:F92 E84:F84">
    <cfRule type="cellIs" dxfId="16" priority="32" stopIfTrue="1" operator="notEqual">
      <formula>0</formula>
    </cfRule>
  </conditionalFormatting>
  <conditionalFormatting sqref="E94:F94 E88:F88 E92:F92 E84:F84">
    <cfRule type="cellIs" dxfId="15" priority="30" stopIfTrue="1" operator="notEqual">
      <formula>0</formula>
    </cfRule>
  </conditionalFormatting>
  <conditionalFormatting sqref="E94:F94 E88:F88 E92:F92 E84:F84">
    <cfRule type="cellIs" dxfId="14" priority="29" stopIfTrue="1" operator="notEqual">
      <formula>0</formula>
    </cfRule>
  </conditionalFormatting>
  <conditionalFormatting sqref="E94:F94 E88:F88 E92:F92 E84:F84">
    <cfRule type="cellIs" dxfId="13" priority="28" stopIfTrue="1" operator="notEqual">
      <formula>0</formula>
    </cfRule>
  </conditionalFormatting>
  <conditionalFormatting sqref="E94:F94 E88:F88 E92:F92 E84:F84">
    <cfRule type="cellIs" dxfId="12" priority="27" stopIfTrue="1" operator="notEqual">
      <formula>0</formula>
    </cfRule>
  </conditionalFormatting>
  <conditionalFormatting sqref="E94:F94 E88:F88 E92:F92 E84:F84">
    <cfRule type="cellIs" dxfId="11" priority="26" stopIfTrue="1" operator="notEqual">
      <formula>0</formula>
    </cfRule>
  </conditionalFormatting>
  <conditionalFormatting sqref="E94:F94 E88:F88 E92:F92 E84:F84">
    <cfRule type="cellIs" dxfId="1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384" t="s">
        <v>5809</v>
      </c>
      <c r="D2" s="3384"/>
      <c r="E2" s="3384"/>
      <c r="F2" s="3384"/>
      <c r="G2" s="1664"/>
      <c r="H2" s="1664"/>
      <c r="I2" s="1664"/>
      <c r="J2" s="1664"/>
    </row>
    <row r="3" spans="1:10" ht="27" customHeight="1">
      <c r="A3" s="2840"/>
      <c r="B3" s="2841"/>
      <c r="C3" s="3383" t="str">
        <f>Lead!$F$7</f>
        <v>2019年度</v>
      </c>
      <c r="D3" s="3383"/>
      <c r="E3" s="3383"/>
      <c r="F3" s="3383"/>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编制单位：北京天马金信供应链管理有限公司</v>
      </c>
      <c r="D5" s="2039"/>
      <c r="E5" s="2040" t="s">
        <v>2554</v>
      </c>
      <c r="F5" s="2041" t="s">
        <v>2555</v>
      </c>
      <c r="G5" s="1664"/>
      <c r="H5" s="1664"/>
      <c r="I5" s="1664"/>
      <c r="J5" s="1664"/>
    </row>
    <row r="6" spans="1:10" ht="18" customHeight="1">
      <c r="A6" s="2840" t="s">
        <v>2556</v>
      </c>
      <c r="B6" s="2841" t="s">
        <v>2558</v>
      </c>
      <c r="C6" s="2166" t="s">
        <v>5134</v>
      </c>
      <c r="D6" s="2167" t="s">
        <v>5847</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57038231</v>
      </c>
      <c r="F8" s="2128">
        <f t="shared" ref="F8:F20" si="3">VLOOKUP($B8,Sheet_Trialbal,10,0)</f>
        <v>11427639</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0</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36993105.18</v>
      </c>
      <c r="F20" s="2128">
        <f t="shared" si="3"/>
        <v>202044775.52000001</v>
      </c>
      <c r="G20" s="1664"/>
      <c r="H20" s="1664"/>
      <c r="I20" s="1664"/>
      <c r="J20" s="1664"/>
    </row>
    <row r="21" spans="1:10" ht="18" customHeight="1">
      <c r="A21" s="2842" t="str">
        <f t="shared" si="0"/>
        <v>＝</v>
      </c>
      <c r="B21" s="2844">
        <v>7048</v>
      </c>
      <c r="C21" s="2075" t="str">
        <f t="shared" si="1"/>
        <v>经营活动现金流入小计</v>
      </c>
      <c r="D21" s="2168"/>
      <c r="E21" s="2125">
        <f>SUM(E8:E20)</f>
        <v>94031336.180000007</v>
      </c>
      <c r="F21" s="2128">
        <f>SUM(F8:F20)</f>
        <v>213472414.52000001</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0</v>
      </c>
      <c r="F22" s="2128">
        <f t="shared" ref="F22:F31" si="5">VLOOKUP($B22,Sheet_Trialbal,10,0)</f>
        <v>68088088</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4451795.68</v>
      </c>
      <c r="F29" s="2128">
        <f t="shared" si="5"/>
        <v>2346963.46</v>
      </c>
      <c r="G29" s="1664"/>
      <c r="H29" s="1664"/>
      <c r="I29" s="1664"/>
      <c r="J29" s="1664"/>
    </row>
    <row r="30" spans="1:10" ht="18" customHeight="1">
      <c r="A30" s="2842">
        <f t="shared" si="0"/>
        <v>0</v>
      </c>
      <c r="B30" s="2843">
        <v>7071</v>
      </c>
      <c r="C30" s="2079" t="str">
        <f t="shared" si="1"/>
        <v>支付的各项税费</v>
      </c>
      <c r="D30" s="2168"/>
      <c r="E30" s="2125">
        <f t="shared" si="4"/>
        <v>42795.23</v>
      </c>
      <c r="F30" s="2128">
        <f t="shared" si="5"/>
        <v>966124.53</v>
      </c>
      <c r="G30" s="1664"/>
      <c r="H30" s="1664"/>
      <c r="I30" s="1664"/>
      <c r="J30" s="1664"/>
    </row>
    <row r="31" spans="1:10" ht="18" customHeight="1">
      <c r="A31" s="2842">
        <f t="shared" si="0"/>
        <v>0</v>
      </c>
      <c r="B31" s="2843">
        <v>7096</v>
      </c>
      <c r="C31" s="2079" t="str">
        <f t="shared" si="1"/>
        <v>支付其他与经营活动有关的现金</v>
      </c>
      <c r="D31" s="2168"/>
      <c r="E31" s="2125">
        <f t="shared" si="4"/>
        <v>176928385.74000001</v>
      </c>
      <c r="F31" s="2128">
        <f t="shared" si="5"/>
        <v>64284370.009999998</v>
      </c>
      <c r="G31" s="1664"/>
      <c r="H31" s="1664"/>
      <c r="I31" s="1664"/>
      <c r="J31" s="1664"/>
    </row>
    <row r="32" spans="1:10" ht="18" customHeight="1">
      <c r="A32" s="2842" t="str">
        <f t="shared" si="0"/>
        <v>＝</v>
      </c>
      <c r="B32" s="2844">
        <v>7098</v>
      </c>
      <c r="C32" s="2075" t="str">
        <f t="shared" si="1"/>
        <v>经营活动现金流出小计</v>
      </c>
      <c r="D32" s="2168"/>
      <c r="E32" s="2125">
        <f>SUM(E22:E31)</f>
        <v>181422976.65000001</v>
      </c>
      <c r="F32" s="2128">
        <f>SUM(F22:F31)</f>
        <v>135685546</v>
      </c>
      <c r="G32" s="1664"/>
      <c r="H32" s="1664"/>
      <c r="I32" s="1664"/>
      <c r="J32" s="1664"/>
    </row>
    <row r="33" spans="1:10" ht="18" customHeight="1">
      <c r="A33" s="2842" t="str">
        <f t="shared" si="0"/>
        <v>＝</v>
      </c>
      <c r="B33" s="2844">
        <v>7099</v>
      </c>
      <c r="C33" s="2075" t="str">
        <f t="shared" si="1"/>
        <v>经营活动产生的现金流量净额</v>
      </c>
      <c r="D33" s="2168"/>
      <c r="E33" s="2125">
        <f>SUM(E21,-E32)</f>
        <v>-87391640.469999999</v>
      </c>
      <c r="F33" s="2128">
        <f>SUM(F21,-F32)</f>
        <v>77786868.519999996</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10000000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5521086.3499999996</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91600000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91600000</v>
      </c>
      <c r="F40" s="2128">
        <f>SUM(F35:F39)</f>
        <v>15521086.35</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0</v>
      </c>
      <c r="F41" s="2128">
        <f>VLOOKUP($B41,Sheet_Trialbal,10,0)</f>
        <v>0</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95600000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0</v>
      </c>
      <c r="F46" s="2128">
        <f>SUM(F41:F45)</f>
        <v>95600000</v>
      </c>
      <c r="G46" s="1664"/>
      <c r="H46" s="1664"/>
      <c r="I46" s="1664"/>
      <c r="J46" s="1664"/>
    </row>
    <row r="47" spans="1:10" ht="18" customHeight="1">
      <c r="A47" s="2842" t="str">
        <f t="shared" si="6"/>
        <v>＝</v>
      </c>
      <c r="B47" s="2843">
        <v>7199</v>
      </c>
      <c r="C47" s="2075" t="str">
        <f t="shared" si="7"/>
        <v>投资活动产生的现金流量净额</v>
      </c>
      <c r="D47" s="2168"/>
      <c r="E47" s="2125">
        <f>SUM(E40,-E46)</f>
        <v>91600000</v>
      </c>
      <c r="F47" s="2128">
        <f>SUM(F40,-F46)</f>
        <v>-80078913.650000006</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0</v>
      </c>
      <c r="F52" s="2128">
        <f>SUM(F49:F51)</f>
        <v>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0</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0</v>
      </c>
      <c r="F57" s="2128">
        <f>SUM(F52,-F56)</f>
        <v>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4208359.53</v>
      </c>
      <c r="F59" s="2128">
        <f>SUM(F33,F47,F57,F58)</f>
        <v>-2292045.13</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91308.84</v>
      </c>
      <c r="F60" s="2128">
        <f>VLOOKUP($B60,Sheet_Trialbal,10,0)</f>
        <v>2383353.9700000002</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4299668.37</v>
      </c>
      <c r="F61" s="2164">
        <f>SUM(F59,F60)</f>
        <v>91308.84</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5772</v>
      </c>
      <c r="D65" s="1745"/>
      <c r="E65" s="1746"/>
      <c r="F65" s="1746"/>
      <c r="G65" s="1664"/>
      <c r="H65" s="1664"/>
      <c r="I65" s="1664"/>
      <c r="J65" s="1664"/>
      <c r="K65" s="1664"/>
      <c r="L65" s="1664"/>
      <c r="M65" s="1664"/>
      <c r="N65" s="1664"/>
      <c r="O65" s="1664"/>
      <c r="P65" s="1664"/>
    </row>
    <row r="66" spans="1:16" ht="18">
      <c r="A66" s="2846"/>
      <c r="B66" s="2841"/>
      <c r="C66" s="1747" t="s">
        <v>5773</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-2382740.34</v>
      </c>
      <c r="F68" s="1755">
        <f>VLOOKUP(6799,Sheet_Trialbal,10,0)</f>
        <v>2563577.15</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0</v>
      </c>
      <c r="G69" s="1751"/>
      <c r="H69" s="1751"/>
      <c r="I69" s="1751"/>
      <c r="J69" s="1664"/>
    </row>
    <row r="70" spans="1:16" ht="18">
      <c r="A70" s="2847"/>
      <c r="B70" s="2844">
        <v>7504</v>
      </c>
      <c r="C70" s="1756" t="str">
        <f t="shared" si="9"/>
        <v>信用减值损失</v>
      </c>
      <c r="D70" s="1753"/>
      <c r="E70" s="1754">
        <f t="shared" si="10"/>
        <v>0</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5521.44</v>
      </c>
      <c r="F71" s="1755">
        <f t="shared" si="11"/>
        <v>5521.44</v>
      </c>
      <c r="G71" s="1751"/>
      <c r="H71" s="1751"/>
      <c r="I71" s="1751"/>
      <c r="J71" s="1664"/>
    </row>
    <row r="72" spans="1:16" ht="18">
      <c r="A72" s="2847">
        <f t="shared" si="8"/>
        <v>0</v>
      </c>
      <c r="B72" s="2844">
        <v>7506</v>
      </c>
      <c r="C72" s="1756" t="str">
        <f t="shared" si="9"/>
        <v>无形资产摊销</v>
      </c>
      <c r="D72" s="1753"/>
      <c r="E72" s="1754">
        <f t="shared" si="10"/>
        <v>0</v>
      </c>
      <c r="F72" s="1755">
        <f t="shared" si="11"/>
        <v>0</v>
      </c>
      <c r="G72" s="1751"/>
      <c r="H72" s="1751"/>
      <c r="I72" s="1751"/>
      <c r="J72" s="1664"/>
    </row>
    <row r="73" spans="1:16" ht="18">
      <c r="A73" s="2847">
        <f t="shared" si="8"/>
        <v>0</v>
      </c>
      <c r="B73" s="2844">
        <v>7507</v>
      </c>
      <c r="C73" s="1756" t="str">
        <f t="shared" si="9"/>
        <v>长期待摊费用摊销</v>
      </c>
      <c r="D73" s="1753"/>
      <c r="E73" s="1754">
        <f t="shared" si="10"/>
        <v>0</v>
      </c>
      <c r="F73" s="1755">
        <f t="shared" si="11"/>
        <v>0</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0</v>
      </c>
      <c r="F77" s="1755">
        <f t="shared" si="11"/>
        <v>0</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-5521086.3499999996</v>
      </c>
      <c r="G78" s="1751"/>
      <c r="H78" s="1751"/>
      <c r="I78" s="1751"/>
      <c r="J78" s="1664"/>
    </row>
    <row r="79" spans="1:16" ht="18">
      <c r="A79" s="2847">
        <f t="shared" si="8"/>
        <v>0</v>
      </c>
      <c r="B79" s="2844">
        <v>7515</v>
      </c>
      <c r="C79" s="1756" t="str">
        <f t="shared" si="9"/>
        <v>递延所得税资产减少（增加以“－”号填列）</v>
      </c>
      <c r="D79" s="1753"/>
      <c r="E79" s="1754">
        <f t="shared" si="10"/>
        <v>0</v>
      </c>
      <c r="F79" s="1755">
        <f t="shared" si="11"/>
        <v>-937117.56</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17540765.449999999</v>
      </c>
      <c r="F81" s="1755">
        <f t="shared" si="11"/>
        <v>-17540765.449999999</v>
      </c>
      <c r="G81" s="1751"/>
      <c r="H81" s="1751"/>
      <c r="I81" s="1751"/>
      <c r="J81" s="1664"/>
    </row>
    <row r="82" spans="1:10" ht="18">
      <c r="A82" s="2847">
        <f t="shared" si="8"/>
        <v>0</v>
      </c>
      <c r="B82" s="2844">
        <v>7518</v>
      </c>
      <c r="C82" s="1756" t="str">
        <f t="shared" si="9"/>
        <v>经营性应收项目的减少（增加以“－”号填列）</v>
      </c>
      <c r="D82" s="1753"/>
      <c r="E82" s="1754">
        <f t="shared" si="10"/>
        <v>-68922970.75</v>
      </c>
      <c r="F82" s="1755">
        <f t="shared" si="11"/>
        <v>72371151.260000005</v>
      </c>
      <c r="G82" s="1751"/>
      <c r="H82" s="1751"/>
      <c r="I82" s="1751"/>
      <c r="J82" s="1664"/>
    </row>
    <row r="83" spans="1:10" ht="18">
      <c r="A83" s="2847">
        <f t="shared" si="8"/>
        <v>0</v>
      </c>
      <c r="B83" s="2844">
        <v>7519</v>
      </c>
      <c r="C83" s="1756" t="str">
        <f t="shared" si="9"/>
        <v>经营性应付项目的增加（减少以“－”号填列）</v>
      </c>
      <c r="D83" s="1753"/>
      <c r="E83" s="1754">
        <f t="shared" si="10"/>
        <v>-33632216.270000003</v>
      </c>
      <c r="F83" s="1755">
        <f t="shared" si="11"/>
        <v>26845588.030000001</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-87391640.469999999</v>
      </c>
      <c r="F85" s="1759">
        <f>SUM(F68:F84)</f>
        <v>77786868.519999996</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4299668.37</v>
      </c>
      <c r="F91" s="1755">
        <f>VLOOKUP($B91,Sheet_Trialbal,10,0)</f>
        <v>91308.84</v>
      </c>
      <c r="G91" s="1751"/>
      <c r="H91" s="1751"/>
      <c r="I91" s="1751"/>
      <c r="J91" s="1664"/>
    </row>
    <row r="92" spans="1:10" ht="18">
      <c r="A92" s="2847">
        <f t="shared" si="8"/>
        <v>0</v>
      </c>
      <c r="B92" s="2844">
        <v>7536</v>
      </c>
      <c r="C92" s="1756" t="str">
        <f t="shared" si="9"/>
        <v>减：现金的年初余额</v>
      </c>
      <c r="D92" s="1753"/>
      <c r="E92" s="1754">
        <f>VLOOKUP($B92,Sheet_Trialbal,6,0)</f>
        <v>91308.84</v>
      </c>
      <c r="F92" s="1755">
        <f>VLOOKUP($B92,Sheet_Trialbal,10,0)</f>
        <v>2383353.9700000002</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4208359.53</v>
      </c>
      <c r="F95" s="1763">
        <f>SUM(F91,-F92,F93,-F94)</f>
        <v>-2292045.13</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5774</v>
      </c>
      <c r="D97" s="1768"/>
      <c r="E97" s="1769"/>
      <c r="F97" s="1770"/>
      <c r="G97" s="1771"/>
      <c r="H97" s="1771"/>
      <c r="I97" s="1751"/>
      <c r="J97" s="1664"/>
    </row>
    <row r="98" spans="1:10" ht="18">
      <c r="A98" s="2847"/>
      <c r="B98" s="2844"/>
      <c r="C98" s="1772" t="s">
        <v>5775</v>
      </c>
      <c r="D98" s="1773"/>
      <c r="E98" s="1774" t="s">
        <v>2577</v>
      </c>
      <c r="F98" s="1775" t="s">
        <v>2578</v>
      </c>
      <c r="G98" s="1771"/>
      <c r="H98" s="1771"/>
      <c r="I98" s="1751"/>
      <c r="J98" s="1664"/>
    </row>
    <row r="99" spans="1:10" ht="18">
      <c r="A99" s="2847"/>
      <c r="B99" s="2844"/>
      <c r="C99" s="1776" t="s">
        <v>5776</v>
      </c>
      <c r="D99" s="1777"/>
      <c r="E99" s="1778"/>
      <c r="F99" s="1779"/>
      <c r="G99" s="853"/>
      <c r="H99" s="853"/>
      <c r="I99" s="1751"/>
      <c r="J99" s="1664"/>
    </row>
    <row r="100" spans="1:10" ht="18">
      <c r="A100" s="2847"/>
      <c r="B100" s="2844"/>
      <c r="C100" s="1780" t="str">
        <f>C60&amp;" | "&amp;E98</f>
        <v>加：期初现金及现金等价物余额 | 本期金额</v>
      </c>
      <c r="D100" s="1777" t="s">
        <v>5777</v>
      </c>
      <c r="E100" s="1781">
        <f>E60</f>
        <v>91308.84</v>
      </c>
      <c r="F100" s="1782"/>
      <c r="G100" s="853"/>
      <c r="H100" s="853"/>
      <c r="I100" s="1751"/>
      <c r="J100" s="1664"/>
    </row>
    <row r="101" spans="1:10" ht="18">
      <c r="A101" s="2847"/>
      <c r="B101" s="2844"/>
      <c r="C101" s="1780" t="str">
        <f>C61&amp;" | "&amp;F98</f>
        <v>六、期末现金及现金等价物余额 | 上期金额</v>
      </c>
      <c r="D101" s="1777" t="s">
        <v>5777</v>
      </c>
      <c r="E101" s="1781">
        <f>F61</f>
        <v>91308.84</v>
      </c>
      <c r="F101" s="1782"/>
      <c r="G101" s="853"/>
      <c r="H101" s="853"/>
      <c r="I101" s="1751"/>
      <c r="J101" s="1664"/>
    </row>
    <row r="102" spans="1:10" ht="18.75" thickBot="1">
      <c r="A102" s="2847"/>
      <c r="B102" s="2844"/>
      <c r="C102" s="1783" t="s">
        <v>5778</v>
      </c>
      <c r="D102" s="1777"/>
      <c r="E102" s="1784">
        <f>ROUND(E100-E101,2)</f>
        <v>0</v>
      </c>
      <c r="F102" s="1785"/>
      <c r="G102" s="853"/>
      <c r="H102" s="853"/>
      <c r="I102" s="1751"/>
      <c r="J102" s="1664"/>
    </row>
    <row r="103" spans="1:10" ht="18.75" thickTop="1">
      <c r="A103" s="2847"/>
      <c r="B103" s="2844"/>
      <c r="C103" s="1786" t="s">
        <v>5779</v>
      </c>
      <c r="D103" s="1777"/>
      <c r="E103" s="1787" t="str">
        <f>IF(E102=0,"√","×")</f>
        <v>√</v>
      </c>
      <c r="F103" s="1788"/>
      <c r="G103" s="853"/>
      <c r="H103" s="853"/>
      <c r="I103" s="1751"/>
      <c r="J103" s="1664"/>
    </row>
    <row r="104" spans="1:10" ht="18">
      <c r="A104" s="2847"/>
      <c r="B104" s="2844"/>
      <c r="C104" s="1789" t="s">
        <v>5780</v>
      </c>
      <c r="D104" s="1777"/>
      <c r="E104" s="1778"/>
      <c r="F104" s="1779"/>
      <c r="G104" s="853"/>
      <c r="H104" s="853"/>
      <c r="I104" s="1751"/>
      <c r="J104" s="1664"/>
    </row>
    <row r="105" spans="1:10" ht="18">
      <c r="A105" s="2847"/>
      <c r="B105" s="2844"/>
      <c r="C105" s="1790" t="str">
        <f>C68</f>
        <v>净利润</v>
      </c>
      <c r="D105" s="1777" t="s">
        <v>5777</v>
      </c>
      <c r="E105" s="1781">
        <f>E68</f>
        <v>-2382740.34</v>
      </c>
      <c r="F105" s="1782">
        <f>F68</f>
        <v>2563577.15</v>
      </c>
      <c r="G105" s="853"/>
      <c r="H105" s="853"/>
      <c r="I105" s="1751"/>
      <c r="J105" s="1664"/>
    </row>
    <row r="106" spans="1:10" ht="18">
      <c r="A106" s="2847"/>
      <c r="B106" s="2844">
        <v>6799</v>
      </c>
      <c r="C106" s="1780" t="str">
        <f>VLOOKUP($B106,Sheet_Items,2,0)</f>
        <v>净利润</v>
      </c>
      <c r="D106" s="1777" t="s">
        <v>5781</v>
      </c>
      <c r="E106" s="1781">
        <f>IncomeStatement!E43</f>
        <v>-2382740.34</v>
      </c>
      <c r="F106" s="1782">
        <f>IncomeStatement!F43</f>
        <v>2563577.15</v>
      </c>
      <c r="G106" s="853"/>
      <c r="H106" s="853"/>
      <c r="I106" s="1751"/>
      <c r="J106" s="1664"/>
    </row>
    <row r="107" spans="1:10" ht="18.75" thickBot="1">
      <c r="A107" s="2847"/>
      <c r="B107" s="2844"/>
      <c r="C107" s="1783" t="s">
        <v>5778</v>
      </c>
      <c r="D107" s="1777"/>
      <c r="E107" s="1784">
        <f>ROUND(E105-E106,2)</f>
        <v>0</v>
      </c>
      <c r="F107" s="1785">
        <f>ROUND(F105-F106,2)</f>
        <v>0</v>
      </c>
      <c r="G107" s="853"/>
      <c r="H107" s="853"/>
      <c r="I107" s="1751"/>
      <c r="J107" s="1664"/>
    </row>
    <row r="108" spans="1:10" ht="18.75" thickTop="1">
      <c r="A108" s="2847"/>
      <c r="B108" s="2844"/>
      <c r="C108" s="1786" t="s">
        <v>5779</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5777</v>
      </c>
      <c r="E110" s="1781">
        <f>E85</f>
        <v>-87391640.469999999</v>
      </c>
      <c r="F110" s="1782">
        <f>F85</f>
        <v>77786868.519999996</v>
      </c>
      <c r="G110" s="853"/>
      <c r="H110" s="853"/>
      <c r="I110" s="1751"/>
      <c r="J110" s="1664"/>
    </row>
    <row r="111" spans="1:10" ht="18">
      <c r="A111" s="2847"/>
      <c r="B111" s="2844">
        <v>7099</v>
      </c>
      <c r="C111" s="1780" t="str">
        <f>C33&amp;"（主表）"</f>
        <v>经营活动产生的现金流量净额（主表）</v>
      </c>
      <c r="D111" s="1777" t="s">
        <v>5777</v>
      </c>
      <c r="E111" s="1781">
        <f>E33</f>
        <v>-87391640.469999999</v>
      </c>
      <c r="F111" s="1782">
        <f>F33</f>
        <v>77786868.519999996</v>
      </c>
      <c r="G111" s="853"/>
      <c r="H111" s="853"/>
      <c r="I111" s="1751"/>
      <c r="J111" s="1664"/>
    </row>
    <row r="112" spans="1:10" ht="18.75" thickBot="1">
      <c r="A112" s="2847"/>
      <c r="B112" s="2844"/>
      <c r="C112" s="1783" t="s">
        <v>5778</v>
      </c>
      <c r="D112" s="1777"/>
      <c r="E112" s="1784">
        <f>ROUND(E110-E111,2)</f>
        <v>0</v>
      </c>
      <c r="F112" s="1785">
        <f>ROUND(F110-F111,2)</f>
        <v>0</v>
      </c>
      <c r="G112" s="853"/>
      <c r="H112" s="853"/>
      <c r="I112" s="1751"/>
      <c r="J112" s="1664"/>
    </row>
    <row r="113" spans="1:10" ht="18.75" thickTop="1">
      <c r="A113" s="2847"/>
      <c r="B113" s="2850"/>
      <c r="C113" s="1786" t="s">
        <v>5779</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5777</v>
      </c>
      <c r="E114" s="1781">
        <f>SUM(E91,E93)</f>
        <v>4299668.37</v>
      </c>
      <c r="F114" s="1782">
        <f>SUM(F91,F93)</f>
        <v>91308.84</v>
      </c>
      <c r="G114" s="853"/>
      <c r="H114" s="853"/>
      <c r="I114" s="1751"/>
      <c r="J114" s="1664"/>
    </row>
    <row r="115" spans="1:10" ht="18">
      <c r="A115" s="2847"/>
      <c r="B115" s="2850">
        <v>7399</v>
      </c>
      <c r="C115" s="1780" t="str">
        <f>C61&amp;"（主表）"</f>
        <v>六、期末现金及现金等价物余额（主表）</v>
      </c>
      <c r="D115" s="1777" t="s">
        <v>5777</v>
      </c>
      <c r="E115" s="1781">
        <f>E61</f>
        <v>4299668.37</v>
      </c>
      <c r="F115" s="1782">
        <f>F61</f>
        <v>91308.84</v>
      </c>
      <c r="G115" s="853"/>
      <c r="H115" s="853"/>
      <c r="I115" s="1751"/>
      <c r="J115" s="1664"/>
    </row>
    <row r="116" spans="1:10" ht="18.75" thickBot="1">
      <c r="A116" s="2847"/>
      <c r="B116" s="2850"/>
      <c r="C116" s="1783" t="s">
        <v>5778</v>
      </c>
      <c r="D116" s="1777"/>
      <c r="E116" s="1784">
        <f>ROUND(E114-E115,2)</f>
        <v>0</v>
      </c>
      <c r="F116" s="1785">
        <f>ROUND(F114-F115,2)</f>
        <v>0</v>
      </c>
      <c r="G116" s="853"/>
      <c r="H116" s="853"/>
      <c r="I116" s="1751"/>
      <c r="J116" s="1664"/>
    </row>
    <row r="117" spans="1:10" ht="18.75" thickTop="1">
      <c r="A117" s="2847"/>
      <c r="B117" s="2850"/>
      <c r="C117" s="1786" t="s">
        <v>5779</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5777</v>
      </c>
      <c r="E118" s="1781">
        <f>SUM(E92,E94)</f>
        <v>91308.84</v>
      </c>
      <c r="F118" s="1782">
        <f>SUM(F92,F94)</f>
        <v>2383353.9700000002</v>
      </c>
      <c r="G118" s="853"/>
      <c r="H118" s="853"/>
      <c r="I118" s="1751"/>
      <c r="J118" s="1664"/>
    </row>
    <row r="119" spans="1:10" ht="18">
      <c r="A119" s="2847"/>
      <c r="B119" s="2850">
        <v>7349</v>
      </c>
      <c r="C119" s="1780" t="str">
        <f>C60&amp;"（主表）"</f>
        <v>加：期初现金及现金等价物余额（主表）</v>
      </c>
      <c r="D119" s="1777" t="s">
        <v>5777</v>
      </c>
      <c r="E119" s="1781">
        <f>E60</f>
        <v>91308.84</v>
      </c>
      <c r="F119" s="1782">
        <f>F60</f>
        <v>2383353.9700000002</v>
      </c>
      <c r="G119" s="853"/>
      <c r="H119" s="853"/>
      <c r="I119" s="1751"/>
      <c r="J119" s="1664"/>
    </row>
    <row r="120" spans="1:10" ht="18.75" thickBot="1">
      <c r="A120" s="2847"/>
      <c r="B120" s="2850"/>
      <c r="C120" s="1783" t="s">
        <v>5778</v>
      </c>
      <c r="D120" s="1777"/>
      <c r="E120" s="1784">
        <f>ROUND(E118-E119,2)</f>
        <v>0</v>
      </c>
      <c r="F120" s="1785">
        <f>ROUND(F118-F119,2)</f>
        <v>0</v>
      </c>
      <c r="G120" s="853"/>
      <c r="H120" s="853"/>
      <c r="I120" s="1751"/>
      <c r="J120" s="1664"/>
    </row>
    <row r="121" spans="1:10" ht="18.75" thickTop="1">
      <c r="A121" s="2847"/>
      <c r="B121" s="2850"/>
      <c r="C121" s="1786" t="s">
        <v>5779</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5777</v>
      </c>
      <c r="E122" s="1781">
        <f>E95</f>
        <v>4208359.53</v>
      </c>
      <c r="F122" s="1782">
        <f>F95</f>
        <v>-2292045.13</v>
      </c>
      <c r="G122" s="853"/>
      <c r="H122" s="853"/>
      <c r="I122" s="1751"/>
      <c r="J122" s="1664"/>
    </row>
    <row r="123" spans="1:10" ht="18">
      <c r="A123" s="2847"/>
      <c r="B123" s="2850">
        <v>7348</v>
      </c>
      <c r="C123" s="1780" t="str">
        <f>C59&amp;"（主表）"</f>
        <v>五、现金及现金等价物净增加额（主表）</v>
      </c>
      <c r="D123" s="1777" t="s">
        <v>5782</v>
      </c>
      <c r="E123" s="1781">
        <f>E59</f>
        <v>4208359.53</v>
      </c>
      <c r="F123" s="1782">
        <f>F59</f>
        <v>-2292045.13</v>
      </c>
      <c r="G123" s="853"/>
      <c r="H123" s="853"/>
      <c r="I123" s="1751"/>
      <c r="J123" s="1664"/>
    </row>
    <row r="124" spans="1:10" ht="18.75" thickBot="1">
      <c r="A124" s="2847"/>
      <c r="B124" s="2850"/>
      <c r="C124" s="1783" t="s">
        <v>5771</v>
      </c>
      <c r="D124" s="1777"/>
      <c r="E124" s="1784">
        <f>ROUND(E122-E123,2)</f>
        <v>0</v>
      </c>
      <c r="F124" s="1785">
        <f>ROUND(F122-F123,2)</f>
        <v>0</v>
      </c>
      <c r="G124" s="853"/>
      <c r="H124" s="853"/>
      <c r="I124" s="1751"/>
      <c r="J124" s="1664"/>
    </row>
    <row r="125" spans="1:10" ht="18.75" thickTop="1">
      <c r="A125" s="2847"/>
      <c r="B125" s="2850"/>
      <c r="C125" s="1786" t="s">
        <v>5768</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0</v>
      </c>
      <c r="F126" s="1794">
        <f>SUMIF($C99:$C125,"差       异",F99:F125)</f>
        <v>0</v>
      </c>
      <c r="G126" s="850"/>
      <c r="H126" s="1795" t="str">
        <f>IF(E126+F126=0,"Balanced","Diff "&amp;TEXT(ROUND(E126+F126,2),"#,###.00"))</f>
        <v>Balanced</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9" priority="6" stopIfTrue="1" operator="notEqual">
      <formula>0</formula>
    </cfRule>
  </conditionalFormatting>
  <conditionalFormatting sqref="C97:D97 D98">
    <cfRule type="expression" dxfId="8" priority="5" stopIfTrue="1">
      <formula>#REF!=TRUE</formula>
    </cfRule>
  </conditionalFormatting>
  <conditionalFormatting sqref="E126:F126 E112:F112 E107:F107 E116:F116 E120:F120 E124:F124 E102:F102">
    <cfRule type="cellIs" dxfId="7" priority="4" stopIfTrue="1" operator="notEqual">
      <formula>0</formula>
    </cfRule>
  </conditionalFormatting>
  <conditionalFormatting sqref="E126:F126 E112:F112 E107:F107 E116:F116 E120:F120 E124:F124 E102:F102">
    <cfRule type="cellIs" dxfId="6" priority="3" stopIfTrue="1" operator="notEqual">
      <formula>0</formula>
    </cfRule>
  </conditionalFormatting>
  <conditionalFormatting sqref="C97:D97 D98">
    <cfRule type="expression" dxfId="5" priority="2" stopIfTrue="1">
      <formula>#REF!=TRUE</formula>
    </cfRule>
  </conditionalFormatting>
  <conditionalFormatting sqref="E126:F126 E112:F112 E107:F107 E116:F116 E120:F120 E124:F124 E102:F102">
    <cfRule type="cellIs" dxfId="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5783</v>
      </c>
      <c r="E2" s="1800" t="s">
        <v>2593</v>
      </c>
      <c r="F2" s="1800" t="s">
        <v>2594</v>
      </c>
      <c r="G2" s="1800" t="s">
        <v>2595</v>
      </c>
      <c r="H2" s="1800" t="s">
        <v>5784</v>
      </c>
      <c r="I2" s="1800" t="s">
        <v>5785</v>
      </c>
      <c r="J2" s="1800" t="s">
        <v>2598</v>
      </c>
      <c r="K2" s="1800" t="s">
        <v>5786</v>
      </c>
      <c r="L2" s="1800" t="s">
        <v>5787</v>
      </c>
      <c r="M2" s="1800" t="s">
        <v>5788</v>
      </c>
      <c r="N2" s="1800" t="s">
        <v>5789</v>
      </c>
      <c r="O2" s="1800" t="s">
        <v>5790</v>
      </c>
      <c r="P2" s="1800" t="s">
        <v>5791</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5792</v>
      </c>
      <c r="C3" s="2085"/>
      <c r="D3" s="2085"/>
      <c r="E3" s="2085"/>
      <c r="F3" s="2085"/>
      <c r="G3" s="2085"/>
      <c r="H3" s="2085" t="s">
        <v>974</v>
      </c>
      <c r="I3" s="2085"/>
      <c r="J3" s="2085"/>
      <c r="K3" s="2085"/>
      <c r="L3" s="2085"/>
      <c r="M3" s="2085"/>
      <c r="N3" s="2085"/>
      <c r="O3" s="2085"/>
      <c r="P3" s="2085"/>
      <c r="Q3" s="2086"/>
      <c r="R3" s="2085"/>
      <c r="S3" s="2085"/>
      <c r="T3" s="2086" t="s">
        <v>5852</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编制单位：北京天马金信供应链管理有限公司</v>
      </c>
      <c r="D5" s="2091"/>
      <c r="E5" s="2092"/>
      <c r="F5" s="2092"/>
      <c r="G5" s="2092"/>
      <c r="H5" s="2092"/>
      <c r="I5" s="2092"/>
      <c r="J5" s="2092"/>
      <c r="K5" s="2092"/>
      <c r="L5" s="2092"/>
      <c r="M5" s="2093" t="s">
        <v>5793</v>
      </c>
      <c r="N5" s="2092"/>
      <c r="O5" s="2092"/>
      <c r="P5" s="2092"/>
      <c r="Q5" s="2091"/>
      <c r="R5" s="2092"/>
      <c r="S5" s="2092"/>
      <c r="T5" s="2092"/>
      <c r="U5" s="2092"/>
      <c r="V5" s="2092"/>
      <c r="W5" s="2092"/>
      <c r="X5" s="2092"/>
      <c r="Y5" s="2092"/>
      <c r="Z5" s="2093" t="s">
        <v>5793</v>
      </c>
      <c r="AA5" s="2092"/>
      <c r="AB5" s="2092"/>
      <c r="AC5" s="2092"/>
      <c r="AD5" s="849"/>
      <c r="AE5" s="849"/>
      <c r="AF5" s="849"/>
      <c r="AG5" s="849"/>
    </row>
    <row r="6" spans="1:33" ht="18.75" customHeight="1">
      <c r="A6" s="1796"/>
      <c r="B6" s="1796"/>
      <c r="C6" s="2898"/>
      <c r="D6" s="3404" t="str">
        <f>Lead!$F$7</f>
        <v>2019年度</v>
      </c>
      <c r="E6" s="3404"/>
      <c r="F6" s="3404"/>
      <c r="G6" s="3404"/>
      <c r="H6" s="3404"/>
      <c r="I6" s="3404"/>
      <c r="J6" s="3404"/>
      <c r="K6" s="3404"/>
      <c r="L6" s="3404"/>
      <c r="M6" s="3404"/>
      <c r="N6" s="3404"/>
      <c r="O6" s="3404"/>
      <c r="P6" s="3405"/>
      <c r="Q6" s="3406" t="str">
        <f>Lead!$F$8</f>
        <v>2018年度</v>
      </c>
      <c r="R6" s="3404"/>
      <c r="S6" s="3404"/>
      <c r="T6" s="3404"/>
      <c r="U6" s="3404"/>
      <c r="V6" s="3404"/>
      <c r="W6" s="3404"/>
      <c r="X6" s="3404"/>
      <c r="Y6" s="3404"/>
      <c r="Z6" s="3404"/>
      <c r="AA6" s="3404"/>
      <c r="AB6" s="3404"/>
      <c r="AC6" s="3405"/>
      <c r="AD6" s="1803"/>
      <c r="AE6" s="1803"/>
      <c r="AF6" s="1803"/>
      <c r="AG6" s="1803"/>
    </row>
    <row r="7" spans="1:33" ht="18" customHeight="1">
      <c r="A7" s="1796" t="s">
        <v>2556</v>
      </c>
      <c r="B7" s="1796" t="s">
        <v>2558</v>
      </c>
      <c r="C7" s="2899" t="s">
        <v>5134</v>
      </c>
      <c r="D7" s="3407" t="s">
        <v>5851</v>
      </c>
      <c r="E7" s="3408" t="s">
        <v>5795</v>
      </c>
      <c r="F7" s="3408"/>
      <c r="G7" s="3408"/>
      <c r="H7" s="3403" t="s">
        <v>592</v>
      </c>
      <c r="I7" s="3403" t="s">
        <v>682</v>
      </c>
      <c r="J7" s="3403" t="s">
        <v>5796</v>
      </c>
      <c r="K7" s="3403" t="s">
        <v>627</v>
      </c>
      <c r="L7" s="3403" t="s">
        <v>602</v>
      </c>
      <c r="M7" s="3403" t="s">
        <v>2613</v>
      </c>
      <c r="N7" s="3403" t="s">
        <v>611</v>
      </c>
      <c r="O7" s="3403" t="s">
        <v>932</v>
      </c>
      <c r="P7" s="3409" t="s">
        <v>5876</v>
      </c>
      <c r="Q7" s="3410" t="s">
        <v>5851</v>
      </c>
      <c r="R7" s="3408" t="s">
        <v>5795</v>
      </c>
      <c r="S7" s="3408"/>
      <c r="T7" s="3408"/>
      <c r="U7" s="3403" t="s">
        <v>592</v>
      </c>
      <c r="V7" s="3403" t="s">
        <v>682</v>
      </c>
      <c r="W7" s="3403" t="s">
        <v>5796</v>
      </c>
      <c r="X7" s="3403" t="s">
        <v>627</v>
      </c>
      <c r="Y7" s="3403" t="s">
        <v>602</v>
      </c>
      <c r="Z7" s="3403" t="s">
        <v>2613</v>
      </c>
      <c r="AA7" s="3403" t="s">
        <v>611</v>
      </c>
      <c r="AB7" s="3403" t="s">
        <v>932</v>
      </c>
      <c r="AC7" s="3409" t="s">
        <v>2614</v>
      </c>
      <c r="AD7" s="1806"/>
      <c r="AE7" s="1803"/>
      <c r="AF7" s="1803"/>
      <c r="AG7" s="1803"/>
    </row>
    <row r="8" spans="1:33" ht="18" customHeight="1">
      <c r="A8" s="1796"/>
      <c r="B8" s="1796"/>
      <c r="C8" s="2176" t="s">
        <v>5761</v>
      </c>
      <c r="D8" s="3407"/>
      <c r="E8" s="2177" t="s">
        <v>2662</v>
      </c>
      <c r="F8" s="2177" t="s">
        <v>2663</v>
      </c>
      <c r="G8" s="2177" t="s">
        <v>932</v>
      </c>
      <c r="H8" s="3403"/>
      <c r="I8" s="3403"/>
      <c r="J8" s="3403"/>
      <c r="K8" s="3403"/>
      <c r="L8" s="3403"/>
      <c r="M8" s="3403"/>
      <c r="N8" s="3403"/>
      <c r="O8" s="3403"/>
      <c r="P8" s="3409"/>
      <c r="Q8" s="3410"/>
      <c r="R8" s="2177" t="s">
        <v>2662</v>
      </c>
      <c r="S8" s="2177" t="s">
        <v>2663</v>
      </c>
      <c r="T8" s="2177" t="s">
        <v>932</v>
      </c>
      <c r="U8" s="3403"/>
      <c r="V8" s="3403"/>
      <c r="W8" s="3403"/>
      <c r="X8" s="3403"/>
      <c r="Y8" s="3403"/>
      <c r="Z8" s="3403"/>
      <c r="AA8" s="3403"/>
      <c r="AB8" s="3403"/>
      <c r="AC8" s="3409"/>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100000000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418369.59</v>
      </c>
      <c r="M9" s="2171">
        <f t="shared" si="3"/>
        <v>0</v>
      </c>
      <c r="N9" s="2171">
        <f t="shared" si="3"/>
        <v>3765326.31</v>
      </c>
      <c r="O9" s="2171">
        <f t="shared" si="3"/>
        <v>0</v>
      </c>
      <c r="P9" s="2182">
        <f t="shared" ref="P9:P36" si="4">SUM(D9:H9,-I9,J9:O9)</f>
        <v>104183695.90000001</v>
      </c>
      <c r="Q9" s="2180">
        <f>IF(ISERROR(VLOOKUP(VALUE(Q$2&amp;$B9),Sheet_Trialbal,10,0)),0,VLOOKUP(VALUE(Q$2&amp;$B9),Sheet_Trialbal,10,0))</f>
        <v>100000000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162011.87</v>
      </c>
      <c r="Z9" s="2172">
        <f t="shared" si="7"/>
        <v>0</v>
      </c>
      <c r="AA9" s="2172">
        <f t="shared" si="7"/>
        <v>1458106.88</v>
      </c>
      <c r="AB9" s="2172">
        <f t="shared" si="7"/>
        <v>0</v>
      </c>
      <c r="AC9" s="2173">
        <f t="shared" ref="AC9:AC36" ca="1" si="8">SUM(Q9:U9,-V9,W9:AB9)</f>
        <v>101620118.75</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100000000</v>
      </c>
      <c r="E13" s="2171">
        <f t="shared" si="9"/>
        <v>0</v>
      </c>
      <c r="F13" s="2171">
        <f t="shared" si="9"/>
        <v>0</v>
      </c>
      <c r="G13" s="2171">
        <f t="shared" si="9"/>
        <v>0</v>
      </c>
      <c r="H13" s="2171">
        <f t="shared" si="9"/>
        <v>0</v>
      </c>
      <c r="I13" s="2171">
        <f t="shared" si="9"/>
        <v>0</v>
      </c>
      <c r="J13" s="2171">
        <f t="shared" si="9"/>
        <v>0</v>
      </c>
      <c r="K13" s="2171">
        <f t="shared" si="9"/>
        <v>0</v>
      </c>
      <c r="L13" s="2171">
        <f t="shared" si="9"/>
        <v>418369.59</v>
      </c>
      <c r="M13" s="2171">
        <f t="shared" si="9"/>
        <v>0</v>
      </c>
      <c r="N13" s="2171">
        <f t="shared" si="9"/>
        <v>3765326.31</v>
      </c>
      <c r="O13" s="2171">
        <f t="shared" si="9"/>
        <v>0</v>
      </c>
      <c r="P13" s="2182">
        <f t="shared" si="4"/>
        <v>104183695.90000001</v>
      </c>
      <c r="Q13" s="2180">
        <f t="shared" ref="Q13:AB13" si="10">SUM(Q9:Q12)</f>
        <v>100000000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162011.87</v>
      </c>
      <c r="Z13" s="2172">
        <f t="shared" si="10"/>
        <v>0</v>
      </c>
      <c r="AA13" s="2172">
        <f t="shared" si="10"/>
        <v>1458106.88</v>
      </c>
      <c r="AB13" s="2172">
        <f t="shared" si="10"/>
        <v>0</v>
      </c>
      <c r="AC13" s="2173">
        <f t="shared" ca="1" si="8"/>
        <v>101620118.75</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-2382740.34</v>
      </c>
      <c r="O14" s="2171">
        <f t="shared" si="11"/>
        <v>0</v>
      </c>
      <c r="P14" s="2182">
        <f t="shared" si="4"/>
        <v>-2382740.34</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256357.72</v>
      </c>
      <c r="Z14" s="2172">
        <f t="shared" si="12"/>
        <v>0</v>
      </c>
      <c r="AA14" s="2172">
        <f t="shared" si="12"/>
        <v>2307219.4300000002</v>
      </c>
      <c r="AB14" s="2172">
        <f t="shared" si="12"/>
        <v>0</v>
      </c>
      <c r="AC14" s="2173">
        <f t="shared" ca="1" si="8"/>
        <v>2563577.15</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-2382740.34</v>
      </c>
      <c r="O15" s="2171">
        <f>IF(ISERROR(VLOOKUP(VALUE(O$2&amp;$B15),Sheet_Trialbal,6,0)),0,VLOOKUP(VALUE(O$2&amp;$B15),Sheet_Trialbal,6,0))</f>
        <v>0</v>
      </c>
      <c r="P15" s="2182">
        <f t="shared" si="4"/>
        <v>-2382740.34</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2563577.15</v>
      </c>
      <c r="AB15" s="2172">
        <f>IF(ISERROR(VLOOKUP(VALUE(AB$2&amp;$B15),Sheet_Trialbal,10,0)),0,VLOOKUP(VALUE(AB$2&amp;$B15),Sheet_Trialbal,10,0))</f>
        <v>0</v>
      </c>
      <c r="AC15" s="2173">
        <f t="shared" ca="1" si="8"/>
        <v>2563577.15</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256357.72</v>
      </c>
      <c r="Z21" s="2172">
        <f t="shared" si="22"/>
        <v>0</v>
      </c>
      <c r="AA21" s="2172">
        <f t="shared" si="22"/>
        <v>-256357.72</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256357.72</v>
      </c>
      <c r="Z22" s="2172">
        <f t="shared" si="28"/>
        <v>0</v>
      </c>
      <c r="AA22" s="2172">
        <f t="shared" si="28"/>
        <v>-256357.72</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5846</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5791</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5798</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100000000</v>
      </c>
      <c r="E37" s="2183">
        <f t="shared" si="49"/>
        <v>0</v>
      </c>
      <c r="F37" s="2183">
        <f t="shared" si="49"/>
        <v>0</v>
      </c>
      <c r="G37" s="2183">
        <f t="shared" si="49"/>
        <v>0</v>
      </c>
      <c r="H37" s="2183">
        <f t="shared" si="49"/>
        <v>0</v>
      </c>
      <c r="I37" s="2183">
        <f t="shared" si="49"/>
        <v>0</v>
      </c>
      <c r="J37" s="2183">
        <f t="shared" si="49"/>
        <v>0</v>
      </c>
      <c r="K37" s="2183">
        <f t="shared" si="49"/>
        <v>0</v>
      </c>
      <c r="L37" s="2183">
        <f t="shared" si="49"/>
        <v>418369.59</v>
      </c>
      <c r="M37" s="2183">
        <f t="shared" si="49"/>
        <v>0</v>
      </c>
      <c r="N37" s="2183">
        <f t="shared" si="49"/>
        <v>1382585.97</v>
      </c>
      <c r="O37" s="2183">
        <f t="shared" si="49"/>
        <v>0</v>
      </c>
      <c r="P37" s="2184">
        <f t="shared" si="49"/>
        <v>101800955.56</v>
      </c>
      <c r="Q37" s="2181">
        <f t="shared" si="49"/>
        <v>100000000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418369.59</v>
      </c>
      <c r="Z37" s="2174">
        <f t="shared" si="49"/>
        <v>0</v>
      </c>
      <c r="AA37" s="2174">
        <f t="shared" si="49"/>
        <v>3765326.31</v>
      </c>
      <c r="AB37" s="2174">
        <f t="shared" si="49"/>
        <v>0</v>
      </c>
      <c r="AC37" s="2175">
        <f t="shared" ca="1" si="49"/>
        <v>104183695.90000001</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5799</v>
      </c>
      <c r="D42" s="1808"/>
      <c r="E42" s="1808"/>
      <c r="F42" s="1808"/>
      <c r="G42" s="1808"/>
      <c r="H42" s="1809"/>
      <c r="I42" s="1809"/>
      <c r="J42" s="1809"/>
      <c r="K42" s="1809"/>
      <c r="L42" s="1809"/>
      <c r="M42" s="1809"/>
      <c r="N42" s="1809"/>
      <c r="O42" s="1810" t="s">
        <v>47</v>
      </c>
      <c r="P42" s="1809"/>
      <c r="Q42" s="1811" t="s">
        <v>5800</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5801</v>
      </c>
      <c r="D43" s="1815"/>
      <c r="E43" s="1815"/>
      <c r="F43" s="1815"/>
      <c r="G43" s="1815"/>
      <c r="H43" s="1815"/>
      <c r="I43" s="1815"/>
      <c r="J43" s="1815"/>
      <c r="K43" s="1815"/>
      <c r="L43" s="1815"/>
      <c r="M43" s="1816" t="s">
        <v>5802</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0</v>
      </c>
      <c r="D44" s="1815"/>
      <c r="E44" s="1815"/>
      <c r="F44" s="1815"/>
      <c r="G44" s="1815"/>
      <c r="H44" s="1815"/>
      <c r="I44" s="1815"/>
      <c r="J44" s="1815"/>
      <c r="K44" s="1815"/>
      <c r="L44" s="1692" t="str">
        <f>$C$13&amp;":"&amp;$D$6</f>
        <v>二、本年年初余额:2019年度</v>
      </c>
      <c r="M44" s="1817"/>
      <c r="N44" s="1817"/>
      <c r="O44" s="1817"/>
      <c r="P44" s="1724" t="s">
        <v>5803</v>
      </c>
      <c r="Q44" s="1727">
        <f t="shared" ref="Q44:AC44" si="50">D13</f>
        <v>100000000</v>
      </c>
      <c r="R44" s="1727">
        <f t="shared" si="50"/>
        <v>0</v>
      </c>
      <c r="S44" s="1727">
        <f t="shared" si="50"/>
        <v>0</v>
      </c>
      <c r="T44" s="1727">
        <f t="shared" si="50"/>
        <v>0</v>
      </c>
      <c r="U44" s="1694">
        <f t="shared" si="50"/>
        <v>0</v>
      </c>
      <c r="V44" s="1694">
        <f t="shared" si="50"/>
        <v>0</v>
      </c>
      <c r="W44" s="1694">
        <f t="shared" si="50"/>
        <v>0</v>
      </c>
      <c r="X44" s="1694">
        <f t="shared" si="50"/>
        <v>0</v>
      </c>
      <c r="Y44" s="1694">
        <f t="shared" si="50"/>
        <v>418369.59</v>
      </c>
      <c r="Z44" s="1694">
        <f t="shared" si="50"/>
        <v>0</v>
      </c>
      <c r="AA44" s="1694">
        <f t="shared" si="50"/>
        <v>3765326.31</v>
      </c>
      <c r="AB44" s="1694">
        <f t="shared" si="50"/>
        <v>0</v>
      </c>
      <c r="AC44" s="1695">
        <f t="shared" si="50"/>
        <v>104183695.90000001</v>
      </c>
      <c r="AD44" s="1803"/>
      <c r="AE44" s="1803"/>
      <c r="AF44" s="1803"/>
      <c r="AG44" s="1803"/>
    </row>
    <row r="45" spans="1:33" ht="18">
      <c r="A45" s="2836" t="s">
        <v>2565</v>
      </c>
      <c r="B45" s="2837"/>
      <c r="C45" s="1819" t="str">
        <f ca="1">IF(C44=0,"Balanced","Diff "&amp;TEXT(ROUND(C44,2),"#,###.00"))</f>
        <v>Balanced</v>
      </c>
      <c r="D45" s="1815"/>
      <c r="E45" s="1815"/>
      <c r="F45" s="1815"/>
      <c r="G45" s="1815"/>
      <c r="H45" s="1815"/>
      <c r="I45" s="1815"/>
      <c r="J45" s="1815"/>
      <c r="K45" s="1815"/>
      <c r="L45" s="1692" t="str">
        <f>$Q$6&amp;":"&amp;$C$37</f>
        <v>2018年度:四、本年年末余额</v>
      </c>
      <c r="M45" s="1817"/>
      <c r="N45" s="1817"/>
      <c r="O45" s="1817"/>
      <c r="P45" s="1724" t="s">
        <v>5803</v>
      </c>
      <c r="Q45" s="1820">
        <f t="shared" ref="Q45:AC45" si="51">Q37</f>
        <v>100000000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418369.59</v>
      </c>
      <c r="Z45" s="1821">
        <f t="shared" si="51"/>
        <v>0</v>
      </c>
      <c r="AA45" s="1821">
        <f t="shared" si="51"/>
        <v>3765326.31</v>
      </c>
      <c r="AB45" s="1821">
        <f t="shared" si="51"/>
        <v>0</v>
      </c>
      <c r="AC45" s="1728">
        <f t="shared" ca="1" si="51"/>
        <v>104183695.90000001</v>
      </c>
      <c r="AD45" s="1803"/>
      <c r="AE45" s="1803"/>
      <c r="AF45" s="1803"/>
      <c r="AG45" s="1803"/>
    </row>
    <row r="46" spans="1:33" ht="18.75" thickBot="1">
      <c r="A46" s="2836" t="s">
        <v>2565</v>
      </c>
      <c r="B46" s="2837"/>
      <c r="C46" s="1822" t="s">
        <v>5797</v>
      </c>
      <c r="D46" s="1815"/>
      <c r="E46" s="1815"/>
      <c r="F46" s="1815"/>
      <c r="G46" s="1815"/>
      <c r="H46" s="1815"/>
      <c r="I46" s="1815"/>
      <c r="J46" s="1815"/>
      <c r="K46" s="1815"/>
      <c r="L46" s="1815"/>
      <c r="M46" s="1823" t="s">
        <v>2580</v>
      </c>
      <c r="N46" s="1817"/>
      <c r="O46" s="1817"/>
      <c r="P46" s="1815"/>
      <c r="Q46" s="1730">
        <f t="shared" ref="Q46:AC46" si="52">ROUND(Q44-Q45,2)</f>
        <v>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0</v>
      </c>
      <c r="AB46" s="1824">
        <f t="shared" si="52"/>
        <v>0</v>
      </c>
      <c r="AC46" s="1731">
        <f t="shared" ca="1" si="52"/>
        <v>0</v>
      </c>
      <c r="AD46" s="1803"/>
      <c r="AE46" s="1803"/>
      <c r="AF46" s="1803"/>
      <c r="AG46" s="1803"/>
    </row>
    <row r="47" spans="1:33" ht="18.75" thickTop="1">
      <c r="A47" s="2836" t="s">
        <v>2565</v>
      </c>
      <c r="B47" s="2837"/>
      <c r="C47" s="1822" t="s">
        <v>5797</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5799</v>
      </c>
      <c r="D48" s="1827" t="s">
        <v>5794</v>
      </c>
      <c r="E48" s="1828"/>
      <c r="F48" s="1828"/>
      <c r="G48" s="1828"/>
      <c r="H48" s="1829"/>
      <c r="I48" s="1829"/>
      <c r="J48" s="1829"/>
      <c r="K48" s="1829"/>
      <c r="L48" s="1829"/>
      <c r="M48" s="1829"/>
      <c r="N48" s="1829"/>
      <c r="O48" s="1829"/>
      <c r="P48" s="1830"/>
      <c r="Q48" s="1831" t="s">
        <v>5804</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5805</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100000000</v>
      </c>
      <c r="E51" s="1694">
        <f t="shared" si="54"/>
        <v>0</v>
      </c>
      <c r="F51" s="1694">
        <f t="shared" si="54"/>
        <v>0</v>
      </c>
      <c r="G51" s="1694">
        <f t="shared" si="54"/>
        <v>0</v>
      </c>
      <c r="H51" s="1694">
        <f t="shared" si="54"/>
        <v>0</v>
      </c>
      <c r="I51" s="1694">
        <f t="shared" si="54"/>
        <v>0</v>
      </c>
      <c r="J51" s="1694">
        <f t="shared" si="54"/>
        <v>0</v>
      </c>
      <c r="K51" s="1694">
        <f t="shared" si="54"/>
        <v>0</v>
      </c>
      <c r="L51" s="1694">
        <f t="shared" si="54"/>
        <v>418369.59</v>
      </c>
      <c r="M51" s="1694">
        <f t="shared" si="54"/>
        <v>0</v>
      </c>
      <c r="N51" s="1694">
        <f t="shared" si="54"/>
        <v>1382585.97</v>
      </c>
      <c r="O51" s="1694">
        <f t="shared" si="54"/>
        <v>0</v>
      </c>
      <c r="P51" s="1841">
        <f t="shared" si="54"/>
        <v>101800955.56</v>
      </c>
      <c r="Q51" s="1820">
        <f t="shared" si="54"/>
        <v>100000000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418369.59</v>
      </c>
      <c r="Z51" s="1821">
        <f t="shared" si="54"/>
        <v>0</v>
      </c>
      <c r="AA51" s="1821">
        <f t="shared" si="54"/>
        <v>3765326.31</v>
      </c>
      <c r="AB51" s="1821">
        <f t="shared" si="54"/>
        <v>0</v>
      </c>
      <c r="AC51" s="1728">
        <f t="shared" ca="1" si="54"/>
        <v>104183695.90000001</v>
      </c>
      <c r="AD51" s="1803"/>
      <c r="AE51" s="1803"/>
      <c r="AF51" s="1803"/>
      <c r="AG51" s="1803"/>
    </row>
    <row r="52" spans="1:33" ht="18">
      <c r="A52" s="2836" t="s">
        <v>2565</v>
      </c>
      <c r="B52" s="2837"/>
      <c r="C52" s="1842" t="s">
        <v>5806</v>
      </c>
      <c r="D52" s="1694">
        <f>BalanceSheet!K47</f>
        <v>100000000</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418369.59</v>
      </c>
      <c r="M52" s="1694">
        <f>BalanceSheet!K56</f>
        <v>0</v>
      </c>
      <c r="N52" s="1694">
        <f>BalanceSheet!K57</f>
        <v>1382585.97</v>
      </c>
      <c r="O52" s="1694"/>
      <c r="P52" s="1841">
        <f>BalanceSheet!K58</f>
        <v>101800955.56</v>
      </c>
      <c r="Q52" s="1820">
        <f>BalanceSheet!L47</f>
        <v>100000000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418369.59</v>
      </c>
      <c r="Z52" s="1821">
        <f>BalanceSheet!L56</f>
        <v>0</v>
      </c>
      <c r="AA52" s="1821">
        <f>BalanceSheet!L57</f>
        <v>3765326.31</v>
      </c>
      <c r="AB52" s="1821"/>
      <c r="AC52" s="1728">
        <f>BalanceSheet!L58</f>
        <v>104183695.90000001</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5797</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AB7:AB8"/>
    <mergeCell ref="AC7:AC8"/>
    <mergeCell ref="V7:V8"/>
    <mergeCell ref="W7:W8"/>
    <mergeCell ref="X7:X8"/>
    <mergeCell ref="Y7:Y8"/>
    <mergeCell ref="Z7:Z8"/>
    <mergeCell ref="AA7:AA8"/>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s>
  <phoneticPr fontId="163" type="noConversion"/>
  <conditionalFormatting sqref="C44 Q46:AC46 D53:AC53">
    <cfRule type="cellIs" dxfId="3" priority="9" stopIfTrue="1" operator="notEqual">
      <formula>0</formula>
    </cfRule>
  </conditionalFormatting>
  <conditionalFormatting sqref="C48:C49 C42">
    <cfRule type="expression" dxfId="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北京天马金信供应链管理有限公司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43864</v>
      </c>
      <c r="I3" s="14" t="s">
        <v>6593</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北京天马金信供应链管理有限公司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43864</v>
      </c>
      <c r="H3" s="14" t="s">
        <v>6594</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6642</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6643</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43864.650543981501</v>
      </c>
    </row>
    <row r="16" spans="1:28">
      <c r="L16" s="2806" t="s">
        <v>4969</v>
      </c>
      <c r="M16" s="2806" t="s">
        <v>6655</v>
      </c>
    </row>
    <row r="17" spans="12:13">
      <c r="L17" s="2806" t="s">
        <v>4970</v>
      </c>
    </row>
    <row r="18" spans="12:13">
      <c r="L18" s="2806" t="s">
        <v>4971</v>
      </c>
    </row>
    <row r="19" spans="12:13">
      <c r="L19" s="2806" t="s">
        <v>4972</v>
      </c>
      <c r="M19" s="2806" t="s">
        <v>6644</v>
      </c>
    </row>
    <row r="20" spans="12:13">
      <c r="L20" s="2806" t="s">
        <v>4973</v>
      </c>
      <c r="M20" s="2806" t="s">
        <v>6645</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6646</v>
      </c>
    </row>
    <row r="25" spans="12:13">
      <c r="L25" s="2806" t="s">
        <v>4978</v>
      </c>
    </row>
    <row r="26" spans="12:13">
      <c r="L26" s="2806" t="s">
        <v>4979</v>
      </c>
      <c r="M26" s="2806" t="s">
        <v>5880</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5881</v>
      </c>
      <c r="M31" s="2806" t="s">
        <v>6607</v>
      </c>
    </row>
    <row r="32" spans="12:13">
      <c r="L32" s="2806" t="s">
        <v>5882</v>
      </c>
      <c r="M32" s="2806" t="s">
        <v>5880</v>
      </c>
    </row>
    <row r="33" spans="12:13">
      <c r="L33" s="2806" t="s">
        <v>5883</v>
      </c>
    </row>
    <row r="34" spans="12:13">
      <c r="L34" s="2806" t="s">
        <v>5884</v>
      </c>
      <c r="M34" s="2807">
        <v>43116.357164351903</v>
      </c>
    </row>
    <row r="35" spans="12:13">
      <c r="L35" s="2806" t="s">
        <v>5885</v>
      </c>
      <c r="M35" s="2807">
        <v>43116.356446759302</v>
      </c>
    </row>
    <row r="36" spans="12:13">
      <c r="L36" s="2806" t="s">
        <v>5886</v>
      </c>
      <c r="M36" s="2807">
        <v>43296.368472222202</v>
      </c>
    </row>
    <row r="37" spans="12:13">
      <c r="L37" s="2806" t="s">
        <v>5887</v>
      </c>
    </row>
    <row r="38" spans="12:13">
      <c r="L38" s="2806" t="s">
        <v>5888</v>
      </c>
      <c r="M38" s="2807">
        <v>43646.682407407403</v>
      </c>
    </row>
    <row r="39" spans="12:13">
      <c r="L39" s="2806" t="s">
        <v>5889</v>
      </c>
      <c r="M39" s="2806" t="s">
        <v>4984</v>
      </c>
    </row>
    <row r="40" spans="12:13">
      <c r="L40" s="2806" t="s">
        <v>5890</v>
      </c>
    </row>
    <row r="41" spans="12:13">
      <c r="L41" s="2806" t="s">
        <v>5891</v>
      </c>
    </row>
    <row r="42" spans="12:13">
      <c r="L42" s="2806" t="s">
        <v>5892</v>
      </c>
    </row>
    <row r="43" spans="12:13">
      <c r="L43" s="2806" t="s">
        <v>5893</v>
      </c>
    </row>
    <row r="44" spans="12:13">
      <c r="L44" s="2806" t="s">
        <v>5894</v>
      </c>
    </row>
    <row r="45" spans="12:13">
      <c r="L45" s="2806" t="s">
        <v>5895</v>
      </c>
    </row>
    <row r="46" spans="12:13">
      <c r="L46" s="2806" t="s">
        <v>5896</v>
      </c>
    </row>
    <row r="47" spans="12:13">
      <c r="L47" s="2806" t="s">
        <v>5897</v>
      </c>
    </row>
    <row r="48" spans="12:13">
      <c r="L48" s="2806" t="s">
        <v>5898</v>
      </c>
    </row>
    <row r="49" spans="12:13">
      <c r="L49" s="2806" t="s">
        <v>5899</v>
      </c>
    </row>
    <row r="50" spans="12:13">
      <c r="L50" s="2806" t="s">
        <v>5900</v>
      </c>
      <c r="M50" s="2806" t="s">
        <v>6647</v>
      </c>
    </row>
  </sheetData>
  <sheetProtection algorithmName="SHA-512" hashValue="qNpLoSd50GyGCLCBo4inNn2JypmnSy2C7rgjJJ0+sQuxpex0v9fR/CFF5Lbc/zqmxuqiwypVjJQl/F7feuLtQA==" saltValue="afvbxqF+PyCkXtjW8u11Fw==" spinCount="100000" sheet="1" scenarios="1" formatCells="0" autoFilter="0"/>
  <phoneticPr fontId="163" type="noConversion"/>
  <pageMargins left="0.75" right="0.75" top="1" bottom="1" header="0.5" footer="0.5"/>
  <pageSetup paperSize="9" orientation="portrait"/>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K120" sqref="K120"/>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北京天马金信供应链管理有限公司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43864</v>
      </c>
      <c r="J3" s="14" t="s">
        <v>2524</v>
      </c>
      <c r="K3" s="2745" t="s">
        <v>6595</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24">
      <c r="A13" s="30"/>
      <c r="B13" s="150">
        <v>1015</v>
      </c>
      <c r="C13" s="151" t="str">
        <f t="shared" si="0"/>
        <v>货币资金</v>
      </c>
      <c r="D13" s="70">
        <f t="shared" ref="D13:D27" si="2">VLOOKUP($B13,Sheet_Trialbal,10,0)</f>
        <v>91308.84</v>
      </c>
      <c r="E13" s="152">
        <f>IF(D$55=0,"",D13/D$55)</f>
        <v>4.0000000000000002E-4</v>
      </c>
      <c r="F13" s="70">
        <f t="shared" ref="F13:F27" si="3">VLOOKUP($B13,Sheet_Trialbal,3,0)</f>
        <v>4299668.37</v>
      </c>
      <c r="G13" s="152">
        <f>IF(F$55=0,"",F13/F$55)</f>
        <v>4.0300000000000002E-2</v>
      </c>
      <c r="H13" s="152">
        <f t="shared" ref="H13:H30" si="4">IF(OR(G13="",E13=""),"",G13-E13)</f>
        <v>3.9899999999999998E-2</v>
      </c>
      <c r="I13" s="70">
        <f t="shared" ref="I13" si="5">IF(OR(F13="",D13=""),"",F13-D13)</f>
        <v>4208359.53</v>
      </c>
      <c r="J13" s="152">
        <f t="shared" si="1"/>
        <v>46.089300000000001</v>
      </c>
      <c r="K13" s="3105" t="s">
        <v>6810</v>
      </c>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0</v>
      </c>
      <c r="E18" s="152">
        <f t="shared" si="6"/>
        <v>0</v>
      </c>
      <c r="F18" s="70">
        <f t="shared" si="3"/>
        <v>1200000</v>
      </c>
      <c r="G18" s="152">
        <f t="shared" si="7"/>
        <v>1.12E-2</v>
      </c>
      <c r="H18" s="152">
        <f t="shared" si="8"/>
        <v>1.12E-2</v>
      </c>
      <c r="I18" s="70">
        <f t="shared" si="9"/>
        <v>1200000</v>
      </c>
      <c r="J18" s="152" t="str">
        <f t="shared" si="10"/>
        <v/>
      </c>
      <c r="K18" s="3105" t="s">
        <v>6811</v>
      </c>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18">
      <c r="A21" s="30"/>
      <c r="B21" s="150">
        <v>1220</v>
      </c>
      <c r="C21" s="151" t="str">
        <f>IF($B21="","",VLOOKUP($B21,Sheet_Items,2,0))</f>
        <v>其他应收款（报表项目）</v>
      </c>
      <c r="D21" s="70">
        <f t="shared" si="2"/>
        <v>35000000</v>
      </c>
      <c r="E21" s="152">
        <f t="shared" si="6"/>
        <v>0.16009999999999999</v>
      </c>
      <c r="F21" s="70">
        <f t="shared" si="3"/>
        <v>50300000</v>
      </c>
      <c r="G21" s="152">
        <f t="shared" si="7"/>
        <v>0.47120000000000001</v>
      </c>
      <c r="H21" s="152">
        <f t="shared" si="8"/>
        <v>0.31109999999999999</v>
      </c>
      <c r="I21" s="70">
        <f t="shared" si="9"/>
        <v>15300000</v>
      </c>
      <c r="J21" s="152">
        <f t="shared" si="10"/>
        <v>0.43709999999999999</v>
      </c>
      <c r="K21" s="3105" t="s">
        <v>6811</v>
      </c>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36">
      <c r="A24" s="30"/>
      <c r="B24" s="150">
        <v>1400</v>
      </c>
      <c r="C24" s="151" t="str">
        <f t="shared" si="0"/>
        <v>存货</v>
      </c>
      <c r="D24" s="70">
        <f t="shared" si="2"/>
        <v>17540765.449999999</v>
      </c>
      <c r="E24" s="152">
        <f t="shared" si="6"/>
        <v>8.0299999999999996E-2</v>
      </c>
      <c r="F24" s="70">
        <f t="shared" si="3"/>
        <v>0</v>
      </c>
      <c r="G24" s="152">
        <f t="shared" si="7"/>
        <v>0</v>
      </c>
      <c r="H24" s="152">
        <f t="shared" si="8"/>
        <v>-8.0299999999999996E-2</v>
      </c>
      <c r="I24" s="70">
        <f t="shared" si="9"/>
        <v>-17540765.449999999</v>
      </c>
      <c r="J24" s="152">
        <f t="shared" si="10"/>
        <v>-1</v>
      </c>
      <c r="K24" s="3105" t="s">
        <v>6812</v>
      </c>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2966551.07</v>
      </c>
      <c r="E27" s="152">
        <f t="shared" si="6"/>
        <v>1.3599999999999999E-2</v>
      </c>
      <c r="F27" s="70">
        <f t="shared" si="3"/>
        <v>0</v>
      </c>
      <c r="G27" s="152">
        <f t="shared" si="7"/>
        <v>0</v>
      </c>
      <c r="H27" s="152">
        <f t="shared" si="8"/>
        <v>-1.3599999999999999E-2</v>
      </c>
      <c r="I27" s="70">
        <f t="shared" si="9"/>
        <v>-2966551.07</v>
      </c>
      <c r="J27" s="152">
        <f t="shared" si="10"/>
        <v>-1</v>
      </c>
      <c r="K27" s="163"/>
    </row>
    <row r="28" spans="1:11" ht="18">
      <c r="A28" s="30"/>
      <c r="B28" s="150">
        <v>1498</v>
      </c>
      <c r="C28" s="153" t="str">
        <f t="shared" si="0"/>
        <v>流动资产合计</v>
      </c>
      <c r="D28" s="154">
        <f>SUM(D13:D27)-SUM(D22,D23)</f>
        <v>55598625.359999999</v>
      </c>
      <c r="E28" s="154">
        <f>SUM(E13:E27)-SUM(E22,E23)</f>
        <v>0.25</v>
      </c>
      <c r="F28" s="154">
        <f t="shared" ref="F28:I28" si="11">SUM(F13:F27)-SUM(F22,F23)</f>
        <v>55799668.369999997</v>
      </c>
      <c r="G28" s="154">
        <f t="shared" si="11"/>
        <v>0.52</v>
      </c>
      <c r="H28" s="154">
        <f t="shared" si="11"/>
        <v>0.27</v>
      </c>
      <c r="I28" s="154">
        <f t="shared" si="11"/>
        <v>201043.01</v>
      </c>
      <c r="J28" s="152">
        <f t="shared" si="10"/>
        <v>3.5999999999999999E-3</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162000000</v>
      </c>
      <c r="E36" s="152">
        <f t="shared" si="15"/>
        <v>0.74119999999999997</v>
      </c>
      <c r="F36" s="70">
        <f t="shared" si="14"/>
        <v>50000000</v>
      </c>
      <c r="G36" s="152">
        <f t="shared" si="16"/>
        <v>0.46839999999999998</v>
      </c>
      <c r="H36" s="152">
        <f t="shared" si="17"/>
        <v>-0.27279999999999999</v>
      </c>
      <c r="I36" s="70">
        <f t="shared" si="18"/>
        <v>-112000000</v>
      </c>
      <c r="J36" s="152">
        <f t="shared" si="19"/>
        <v>-0.69140000000000001</v>
      </c>
      <c r="K36" s="3105" t="s">
        <v>6813</v>
      </c>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16540.18</v>
      </c>
      <c r="E40" s="152">
        <f t="shared" si="15"/>
        <v>1E-4</v>
      </c>
      <c r="F40" s="70">
        <f t="shared" si="14"/>
        <v>11018.74</v>
      </c>
      <c r="G40" s="152">
        <f t="shared" si="16"/>
        <v>1E-4</v>
      </c>
      <c r="H40" s="152">
        <f t="shared" si="17"/>
        <v>0</v>
      </c>
      <c r="I40" s="70">
        <f t="shared" si="18"/>
        <v>-5521.44</v>
      </c>
      <c r="J40" s="152">
        <f t="shared" si="19"/>
        <v>-0.33379999999999999</v>
      </c>
      <c r="K40" s="163"/>
    </row>
    <row r="41" spans="1:11" ht="18">
      <c r="A41" s="30"/>
      <c r="B41" s="150">
        <v>1601</v>
      </c>
      <c r="C41" s="151" t="str">
        <f t="shared" si="0"/>
        <v>其中：固定资产</v>
      </c>
      <c r="D41" s="70">
        <f t="shared" si="13"/>
        <v>16540.18</v>
      </c>
      <c r="E41" s="152">
        <f t="shared" si="15"/>
        <v>1E-4</v>
      </c>
      <c r="F41" s="70">
        <f t="shared" si="14"/>
        <v>11018.74</v>
      </c>
      <c r="G41" s="152">
        <f t="shared" si="16"/>
        <v>1E-4</v>
      </c>
      <c r="H41" s="152">
        <f t="shared" si="17"/>
        <v>0</v>
      </c>
      <c r="I41" s="70">
        <f t="shared" si="18"/>
        <v>-5521.44</v>
      </c>
      <c r="J41" s="152">
        <f t="shared" si="19"/>
        <v>-0.33379999999999999</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f t="shared" si="16"/>
        <v>0</v>
      </c>
      <c r="H43" s="152">
        <f t="shared" si="17"/>
        <v>0</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f t="shared" si="16"/>
        <v>0</v>
      </c>
      <c r="H44" s="152">
        <f t="shared" si="17"/>
        <v>0</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f t="shared" si="16"/>
        <v>0</v>
      </c>
      <c r="H51" s="152">
        <f t="shared" si="17"/>
        <v>0</v>
      </c>
      <c r="I51" s="70">
        <f t="shared" si="18"/>
        <v>0</v>
      </c>
      <c r="J51" s="152" t="str">
        <f t="shared" si="19"/>
        <v/>
      </c>
      <c r="K51" s="163"/>
    </row>
    <row r="52" spans="1:11" ht="18">
      <c r="A52" s="30"/>
      <c r="B52" s="150">
        <v>1811</v>
      </c>
      <c r="C52" s="151" t="str">
        <f t="shared" si="0"/>
        <v>递延所得税资产</v>
      </c>
      <c r="D52" s="70">
        <f t="shared" si="13"/>
        <v>937117.56</v>
      </c>
      <c r="E52" s="152">
        <f t="shared" si="15"/>
        <v>4.3E-3</v>
      </c>
      <c r="F52" s="70">
        <f t="shared" si="14"/>
        <v>937117.56</v>
      </c>
      <c r="G52" s="152">
        <f t="shared" si="16"/>
        <v>8.8000000000000005E-3</v>
      </c>
      <c r="H52" s="152">
        <f t="shared" si="17"/>
        <v>4.4999999999999997E-3</v>
      </c>
      <c r="I52" s="70">
        <f t="shared" si="18"/>
        <v>0</v>
      </c>
      <c r="J52" s="152">
        <f t="shared" si="19"/>
        <v>0</v>
      </c>
      <c r="K52" s="3105" t="s">
        <v>6814</v>
      </c>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162953657.74000001</v>
      </c>
      <c r="E54" s="156">
        <f t="shared" ref="E54:I54" si="21">SUM(E30:E53)-SUM(E41,E42,E44,E45)</f>
        <v>0.74560000000000004</v>
      </c>
      <c r="F54" s="154">
        <f t="shared" si="21"/>
        <v>50948136.299999997</v>
      </c>
      <c r="G54" s="156">
        <f t="shared" si="21"/>
        <v>0.4773</v>
      </c>
      <c r="H54" s="156">
        <f t="shared" si="21"/>
        <v>-0.26829999999999998</v>
      </c>
      <c r="I54" s="154">
        <f t="shared" si="21"/>
        <v>-112005521.44</v>
      </c>
      <c r="J54" s="152">
        <f t="shared" si="1"/>
        <v>-0.68730000000000002</v>
      </c>
      <c r="K54" s="163"/>
    </row>
    <row r="55" spans="1:11" ht="18">
      <c r="A55" s="30"/>
      <c r="B55" s="150">
        <v>1999</v>
      </c>
      <c r="C55" s="153" t="str">
        <f t="shared" si="20"/>
        <v>资产总计</v>
      </c>
      <c r="D55" s="154">
        <f t="shared" ref="D55:I55" si="22">SUM(D28,D54)</f>
        <v>218552283.09999999</v>
      </c>
      <c r="E55" s="156">
        <f t="shared" si="22"/>
        <v>0.99560000000000004</v>
      </c>
      <c r="F55" s="154">
        <f t="shared" si="22"/>
        <v>106747804.67</v>
      </c>
      <c r="G55" s="156">
        <f t="shared" si="22"/>
        <v>0.99729999999999996</v>
      </c>
      <c r="H55" s="156">
        <f t="shared" si="22"/>
        <v>1.6999999999999999E-3</v>
      </c>
      <c r="I55" s="154">
        <f t="shared" si="22"/>
        <v>-111804478.43000001</v>
      </c>
      <c r="J55" s="155">
        <f t="shared" ref="J55:J93" si="23">IF(OR(I55="",D55="",D55=0),"",I55/D55)</f>
        <v>-0.51160000000000005</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18">
      <c r="A62" s="30"/>
      <c r="B62" s="150">
        <v>2202</v>
      </c>
      <c r="C62" s="151" t="str">
        <f t="shared" si="20"/>
        <v>应付账款</v>
      </c>
      <c r="D62" s="70">
        <f t="shared" si="26"/>
        <v>182031</v>
      </c>
      <c r="E62" s="152">
        <f t="shared" si="28"/>
        <v>1.6000000000000001E-3</v>
      </c>
      <c r="F62" s="70">
        <f t="shared" si="27"/>
        <v>0</v>
      </c>
      <c r="G62" s="152">
        <f t="shared" si="29"/>
        <v>0</v>
      </c>
      <c r="H62" s="152">
        <f t="shared" si="30"/>
        <v>-1.6000000000000001E-3</v>
      </c>
      <c r="I62" s="70">
        <f t="shared" si="31"/>
        <v>-182031</v>
      </c>
      <c r="J62" s="152">
        <f t="shared" si="32"/>
        <v>-1</v>
      </c>
      <c r="K62" s="163"/>
    </row>
    <row r="63" spans="1:11" ht="18">
      <c r="A63" s="30"/>
      <c r="B63" s="150">
        <v>2205</v>
      </c>
      <c r="C63" s="151" t="str">
        <f t="shared" si="20"/>
        <v>预收款项</v>
      </c>
      <c r="D63" s="70">
        <f t="shared" si="26"/>
        <v>0</v>
      </c>
      <c r="E63" s="152">
        <f t="shared" si="28"/>
        <v>0</v>
      </c>
      <c r="F63" s="70">
        <f t="shared" si="27"/>
        <v>0</v>
      </c>
      <c r="G63" s="152">
        <f t="shared" si="29"/>
        <v>0</v>
      </c>
      <c r="H63" s="152">
        <f t="shared" si="30"/>
        <v>0</v>
      </c>
      <c r="I63" s="70">
        <f t="shared" si="31"/>
        <v>0</v>
      </c>
      <c r="J63" s="152" t="str">
        <f t="shared" si="32"/>
        <v/>
      </c>
      <c r="K63" s="163"/>
    </row>
    <row r="64" spans="1:11" ht="18">
      <c r="A64" s="30"/>
      <c r="B64" s="150">
        <v>2211</v>
      </c>
      <c r="C64" s="151" t="str">
        <f t="shared" si="20"/>
        <v>应付职工薪酬</v>
      </c>
      <c r="D64" s="70">
        <f t="shared" si="26"/>
        <v>306477.86</v>
      </c>
      <c r="E64" s="152">
        <f t="shared" si="28"/>
        <v>2.7000000000000001E-3</v>
      </c>
      <c r="F64" s="70">
        <f t="shared" si="27"/>
        <v>807099.09</v>
      </c>
      <c r="G64" s="152">
        <f t="shared" si="29"/>
        <v>0.15740000000000001</v>
      </c>
      <c r="H64" s="152">
        <f t="shared" si="30"/>
        <v>0.1547</v>
      </c>
      <c r="I64" s="70">
        <f t="shared" si="31"/>
        <v>500621.23</v>
      </c>
      <c r="J64" s="152">
        <f t="shared" si="32"/>
        <v>1.6335</v>
      </c>
      <c r="K64" s="3105" t="s">
        <v>6815</v>
      </c>
    </row>
    <row r="65" spans="1:11" ht="18">
      <c r="A65" s="30"/>
      <c r="B65" s="150">
        <v>2221</v>
      </c>
      <c r="C65" s="151" t="str">
        <f t="shared" si="20"/>
        <v>应交税费</v>
      </c>
      <c r="D65" s="70">
        <f t="shared" si="26"/>
        <v>27898.14</v>
      </c>
      <c r="E65" s="152">
        <f t="shared" si="28"/>
        <v>2.0000000000000001E-4</v>
      </c>
      <c r="F65" s="70">
        <f t="shared" si="27"/>
        <v>95790.66</v>
      </c>
      <c r="G65" s="152">
        <f t="shared" si="29"/>
        <v>1.8700000000000001E-2</v>
      </c>
      <c r="H65" s="152">
        <f t="shared" si="30"/>
        <v>1.8499999999999999E-2</v>
      </c>
      <c r="I65" s="70">
        <f t="shared" si="31"/>
        <v>67892.52</v>
      </c>
      <c r="J65" s="152">
        <f t="shared" si="32"/>
        <v>2.4336000000000002</v>
      </c>
      <c r="K65" s="163"/>
    </row>
    <row r="66" spans="1:11" ht="36">
      <c r="A66" s="30"/>
      <c r="B66" s="150">
        <v>2246</v>
      </c>
      <c r="C66" s="151" t="str">
        <f>IF($B66="","",VLOOKUP($B66,Sheet_Items,2,0))</f>
        <v>其他应付款（报表项目）</v>
      </c>
      <c r="D66" s="70">
        <f t="shared" si="26"/>
        <v>113852180.2</v>
      </c>
      <c r="E66" s="152">
        <f t="shared" si="28"/>
        <v>0.99550000000000005</v>
      </c>
      <c r="F66" s="70">
        <f t="shared" si="27"/>
        <v>4224459.3600000003</v>
      </c>
      <c r="G66" s="152">
        <f t="shared" si="29"/>
        <v>0.82389999999999997</v>
      </c>
      <c r="H66" s="152">
        <f t="shared" si="30"/>
        <v>-0.1716</v>
      </c>
      <c r="I66" s="70">
        <f t="shared" si="31"/>
        <v>-109627720.84</v>
      </c>
      <c r="J66" s="152">
        <f t="shared" si="32"/>
        <v>-0.96289999999999998</v>
      </c>
      <c r="K66" s="3105" t="s">
        <v>6816</v>
      </c>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114368587.2</v>
      </c>
      <c r="E72" s="156">
        <f t="shared" ref="E72:I72" si="33">SUM(E57:E71)-SUM(E67,E68)</f>
        <v>1</v>
      </c>
      <c r="F72" s="154">
        <f t="shared" si="33"/>
        <v>5127349.1100000003</v>
      </c>
      <c r="G72" s="156">
        <f t="shared" si="33"/>
        <v>1</v>
      </c>
      <c r="H72" s="156">
        <f t="shared" si="33"/>
        <v>0</v>
      </c>
      <c r="I72" s="154">
        <f t="shared" si="33"/>
        <v>-109241238.09</v>
      </c>
      <c r="J72" s="152">
        <f t="shared" si="23"/>
        <v>-0.95520000000000005</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114368587.2</v>
      </c>
      <c r="E85" s="156">
        <f>SUM(E72,E84)</f>
        <v>1</v>
      </c>
      <c r="F85" s="154">
        <f>SUM(F72,F84)</f>
        <v>5127349.1100000003</v>
      </c>
      <c r="G85" s="156">
        <f>SUM(G72,G84)</f>
        <v>1</v>
      </c>
      <c r="H85" s="156"/>
      <c r="I85" s="154">
        <f>SUM(I72,I84)</f>
        <v>-109241238.09</v>
      </c>
      <c r="J85" s="155">
        <f t="shared" si="23"/>
        <v>-0.95520000000000005</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100000000</v>
      </c>
      <c r="E87" s="152">
        <f t="shared" ref="E87:E97" si="43">IF(D$98=0,"",D87/D$98)</f>
        <v>0.95979999999999999</v>
      </c>
      <c r="F87" s="70">
        <f t="shared" ref="F87:F95" si="44">VLOOKUP($B87,Sheet_Trialbal,3,0)</f>
        <v>100000000</v>
      </c>
      <c r="G87" s="152">
        <f t="shared" ref="G87:G97" si="45">IF(F$98=0,"",F87/F$98)</f>
        <v>0.98409999999999997</v>
      </c>
      <c r="H87" s="152">
        <f t="shared" si="40"/>
        <v>2.4299999999999999E-2</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418369.59</v>
      </c>
      <c r="E93" s="152">
        <f t="shared" si="43"/>
        <v>4.0000000000000001E-3</v>
      </c>
      <c r="F93" s="70">
        <f t="shared" si="44"/>
        <v>418369.59</v>
      </c>
      <c r="G93" s="152">
        <f t="shared" si="45"/>
        <v>4.1000000000000003E-3</v>
      </c>
      <c r="H93" s="152">
        <f t="shared" si="40"/>
        <v>1E-4</v>
      </c>
      <c r="I93" s="70">
        <f t="shared" si="41"/>
        <v>0</v>
      </c>
      <c r="J93" s="152">
        <f t="shared" si="23"/>
        <v>0</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3765326.31</v>
      </c>
      <c r="E95" s="152">
        <f t="shared" si="43"/>
        <v>3.61E-2</v>
      </c>
      <c r="F95" s="70">
        <f t="shared" si="44"/>
        <v>1202085.97</v>
      </c>
      <c r="G95" s="152">
        <f t="shared" si="45"/>
        <v>1.18E-2</v>
      </c>
      <c r="H95" s="152">
        <f t="shared" si="40"/>
        <v>-2.4299999999999999E-2</v>
      </c>
      <c r="I95" s="70">
        <f t="shared" si="41"/>
        <v>-2563240.34</v>
      </c>
      <c r="J95" s="152">
        <f t="shared" si="47"/>
        <v>-0.68069999999999997</v>
      </c>
      <c r="K95" s="163"/>
    </row>
    <row r="96" spans="1:11" ht="18">
      <c r="A96" s="30"/>
      <c r="B96" s="150">
        <v>4298</v>
      </c>
      <c r="C96" s="164" t="str">
        <f t="shared" si="46"/>
        <v>归属于母公司所有者权益合计</v>
      </c>
      <c r="D96" s="154">
        <f>SUM(D87:D89,-D90,D91:D95)</f>
        <v>104183695.90000001</v>
      </c>
      <c r="E96" s="155">
        <f t="shared" si="43"/>
        <v>1</v>
      </c>
      <c r="F96" s="154">
        <f>SUM(F87:F89,-F90,F91:F95)</f>
        <v>101620455.56</v>
      </c>
      <c r="G96" s="155">
        <f t="shared" si="45"/>
        <v>1</v>
      </c>
      <c r="H96" s="155">
        <f t="shared" si="40"/>
        <v>0</v>
      </c>
      <c r="I96" s="154">
        <f>SUM(I87:I89,-I90,I91:I95)</f>
        <v>-2563240.34</v>
      </c>
      <c r="J96" s="152">
        <f t="shared" si="47"/>
        <v>-2.46E-2</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104183695.90000001</v>
      </c>
      <c r="E98" s="156">
        <f t="shared" si="48"/>
        <v>1</v>
      </c>
      <c r="F98" s="154">
        <f t="shared" si="48"/>
        <v>101620455.56</v>
      </c>
      <c r="G98" s="156">
        <f t="shared" si="48"/>
        <v>1</v>
      </c>
      <c r="H98" s="156">
        <f t="shared" si="48"/>
        <v>0</v>
      </c>
      <c r="I98" s="154">
        <f t="shared" si="48"/>
        <v>-2563240.34</v>
      </c>
      <c r="J98" s="152">
        <f t="shared" si="47"/>
        <v>-2.46E-2</v>
      </c>
      <c r="K98" s="163"/>
    </row>
    <row r="99" spans="1:11" ht="18">
      <c r="A99" s="30"/>
      <c r="B99" s="150">
        <v>5000</v>
      </c>
      <c r="C99" s="153" t="str">
        <f t="shared" si="46"/>
        <v>负债和所有者权益总计</v>
      </c>
      <c r="D99" s="154">
        <f>SUM(D85,D98)</f>
        <v>218552283.09999999</v>
      </c>
      <c r="E99" s="152"/>
      <c r="F99" s="154">
        <f>SUM(F85,F98)</f>
        <v>106747804.67</v>
      </c>
      <c r="G99" s="152"/>
      <c r="H99" s="152" t="str">
        <f t="shared" ref="H99:H101" si="49">IF(OR(G99="",E99=""),"",G99-E99)</f>
        <v/>
      </c>
      <c r="I99" s="154">
        <f>SUM(I85,I98)</f>
        <v>-111804478.43000001</v>
      </c>
      <c r="J99" s="152">
        <f t="shared" si="47"/>
        <v>-0.51160000000000005</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9961204.6999999993</v>
      </c>
      <c r="E101" s="152"/>
      <c r="F101" s="70">
        <f t="shared" ref="F101:F114" si="53">VLOOKUP($B101,Sheet_Trialbal,3,0)</f>
        <v>20266366.969999999</v>
      </c>
      <c r="G101" s="152"/>
      <c r="H101" s="152" t="str">
        <f t="shared" si="49"/>
        <v/>
      </c>
      <c r="I101" s="70">
        <f t="shared" si="50"/>
        <v>10305162.27</v>
      </c>
      <c r="J101" s="152">
        <f t="shared" si="47"/>
        <v>1.0345</v>
      </c>
      <c r="K101" s="3105" t="s">
        <v>6818</v>
      </c>
    </row>
    <row r="102" spans="1:11" ht="18">
      <c r="A102" s="30"/>
      <c r="B102" s="150">
        <v>6401</v>
      </c>
      <c r="C102" s="151" t="str">
        <f t="shared" si="51"/>
        <v>营业成本</v>
      </c>
      <c r="D102" s="70">
        <f t="shared" si="52"/>
        <v>8620689.6300000008</v>
      </c>
      <c r="E102" s="152"/>
      <c r="F102" s="70">
        <f t="shared" si="53"/>
        <v>17540765.449999999</v>
      </c>
      <c r="G102" s="152"/>
      <c r="H102" s="152" t="str">
        <f t="shared" ref="H102:H114" si="54">IF(OR(G102="",E102=""),"",G102-E102)</f>
        <v/>
      </c>
      <c r="I102" s="70">
        <f t="shared" ref="I102:I114" si="55">IF(OR(F102="",D102=""),"",F102-D102)</f>
        <v>8920075.8200000003</v>
      </c>
      <c r="J102" s="152">
        <f t="shared" ref="J102:J115" si="56">IF(OR(I102="",D102="",D102=0),"",I102/D102)</f>
        <v>1.0347</v>
      </c>
      <c r="K102" s="163" t="s">
        <v>6817</v>
      </c>
    </row>
    <row r="103" spans="1:11" ht="18">
      <c r="A103" s="30"/>
      <c r="B103" s="150">
        <v>6600</v>
      </c>
      <c r="C103" s="151" t="str">
        <f t="shared" si="51"/>
        <v>税金及附加</v>
      </c>
      <c r="D103" s="70">
        <f t="shared" si="52"/>
        <v>68861.460000000006</v>
      </c>
      <c r="E103" s="152"/>
      <c r="F103" s="70">
        <f t="shared" si="53"/>
        <v>78151.759999999995</v>
      </c>
      <c r="G103" s="152"/>
      <c r="H103" s="152" t="str">
        <f t="shared" si="54"/>
        <v/>
      </c>
      <c r="I103" s="70">
        <f t="shared" si="55"/>
        <v>9290.2999999999993</v>
      </c>
      <c r="J103" s="152">
        <f t="shared" si="56"/>
        <v>0.13489999999999999</v>
      </c>
      <c r="K103" s="163"/>
    </row>
    <row r="104" spans="1:11" ht="18">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18">
      <c r="A105" s="30"/>
      <c r="B105" s="150">
        <v>6602</v>
      </c>
      <c r="C105" s="151" t="str">
        <f t="shared" si="51"/>
        <v>管理费用</v>
      </c>
      <c r="D105" s="70">
        <f t="shared" si="52"/>
        <v>5160685.92</v>
      </c>
      <c r="E105" s="152"/>
      <c r="F105" s="70">
        <f t="shared" si="53"/>
        <v>5231717.3499999996</v>
      </c>
      <c r="G105" s="152"/>
      <c r="H105" s="152" t="str">
        <f t="shared" si="54"/>
        <v/>
      </c>
      <c r="I105" s="70">
        <f t="shared" si="55"/>
        <v>71031.429999999993</v>
      </c>
      <c r="J105" s="152">
        <f t="shared" si="56"/>
        <v>1.38E-2</v>
      </c>
      <c r="K105" s="163"/>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-4939.1400000000003</v>
      </c>
      <c r="E107" s="152"/>
      <c r="F107" s="70">
        <f t="shared" si="53"/>
        <v>-10537.07</v>
      </c>
      <c r="G107" s="152"/>
      <c r="H107" s="152" t="str">
        <f t="shared" si="54"/>
        <v/>
      </c>
      <c r="I107" s="70">
        <f t="shared" si="55"/>
        <v>-5597.93</v>
      </c>
      <c r="J107" s="152">
        <f t="shared" si="56"/>
        <v>1.1334</v>
      </c>
      <c r="K107" s="163"/>
    </row>
    <row r="108" spans="1:11" ht="18">
      <c r="A108" s="30"/>
      <c r="B108" s="150">
        <v>6181</v>
      </c>
      <c r="C108" s="151" t="str">
        <f t="shared" si="51"/>
        <v>其他收益</v>
      </c>
      <c r="D108" s="70">
        <f t="shared" si="52"/>
        <v>0</v>
      </c>
      <c r="E108" s="152"/>
      <c r="F108" s="70">
        <f t="shared" si="53"/>
        <v>10490.18</v>
      </c>
      <c r="G108" s="152"/>
      <c r="H108" s="152" t="str">
        <f t="shared" si="54"/>
        <v/>
      </c>
      <c r="I108" s="70">
        <f t="shared" si="55"/>
        <v>10490.18</v>
      </c>
      <c r="J108" s="152" t="str">
        <f t="shared" si="56"/>
        <v/>
      </c>
      <c r="K108" s="163"/>
    </row>
    <row r="109" spans="1:11" ht="18">
      <c r="A109" s="30"/>
      <c r="B109" s="150">
        <v>6111</v>
      </c>
      <c r="C109" s="151" t="str">
        <f t="shared" si="51"/>
        <v>投资收益</v>
      </c>
      <c r="D109" s="70">
        <f t="shared" si="52"/>
        <v>5521086.3499999996</v>
      </c>
      <c r="E109" s="152"/>
      <c r="F109" s="70">
        <f t="shared" si="53"/>
        <v>0</v>
      </c>
      <c r="G109" s="152"/>
      <c r="H109" s="152" t="str">
        <f t="shared" si="54"/>
        <v/>
      </c>
      <c r="I109" s="70">
        <f t="shared" si="55"/>
        <v>-5521086.3499999996</v>
      </c>
      <c r="J109" s="152">
        <f t="shared" si="56"/>
        <v>-1</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0</v>
      </c>
      <c r="E113" s="152"/>
      <c r="F113" s="70">
        <f t="shared" si="53"/>
        <v>0</v>
      </c>
      <c r="G113" s="152"/>
      <c r="H113" s="152" t="str">
        <f t="shared" si="54"/>
        <v/>
      </c>
      <c r="I113" s="70">
        <f t="shared" si="55"/>
        <v>0</v>
      </c>
      <c r="J113" s="152" t="str">
        <f t="shared" si="56"/>
        <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1636993.18</v>
      </c>
      <c r="E115" s="152">
        <f t="shared" ref="E115:I115" si="57">SUM(E101)-SUM(E102:E107)+SUM(E108:E114)</f>
        <v>0</v>
      </c>
      <c r="F115" s="154">
        <f t="shared" si="57"/>
        <v>-2563240.34</v>
      </c>
      <c r="G115" s="152">
        <f t="shared" si="57"/>
        <v>0</v>
      </c>
      <c r="H115" s="152">
        <f t="shared" si="57"/>
        <v>0</v>
      </c>
      <c r="I115" s="154">
        <f t="shared" si="57"/>
        <v>-4200233.5199999996</v>
      </c>
      <c r="J115" s="152">
        <f t="shared" si="56"/>
        <v>-2.5657999999999999</v>
      </c>
      <c r="K115" s="163"/>
    </row>
    <row r="116" spans="1:11" ht="18">
      <c r="A116" s="30"/>
      <c r="B116" s="150">
        <v>6710</v>
      </c>
      <c r="C116" s="151" t="str">
        <f t="shared" si="51"/>
        <v>营业外收入</v>
      </c>
      <c r="D116" s="70">
        <f>VLOOKUP($B116,Sheet_Trialbal,10,0)</f>
        <v>0</v>
      </c>
      <c r="E116" s="152"/>
      <c r="F116" s="70">
        <f>VLOOKUP($B116,Sheet_Trialbal,3,0)</f>
        <v>0</v>
      </c>
      <c r="G116" s="152"/>
      <c r="H116" s="152" t="str">
        <f t="shared" ref="H116:H125" si="58">IF(OR(G116="",E116=""),"",G116-E116)</f>
        <v/>
      </c>
      <c r="I116" s="70">
        <f>IF(OR(F116="",D116=""),"",F116-D116)</f>
        <v>0</v>
      </c>
      <c r="J116" s="152" t="str">
        <f t="shared" si="47"/>
        <v/>
      </c>
      <c r="K116" s="163"/>
    </row>
    <row r="117" spans="1:11" ht="18">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8">
      <c r="A118" s="30"/>
      <c r="B118" s="150">
        <v>6788</v>
      </c>
      <c r="C118" s="153" t="str">
        <f t="shared" si="51"/>
        <v>利润总额</v>
      </c>
      <c r="D118" s="154">
        <f>SUM(D115,D116,-D117)</f>
        <v>1636993.18</v>
      </c>
      <c r="E118" s="152"/>
      <c r="F118" s="154">
        <f>SUM(F115,F116,-F117)</f>
        <v>-2563240.34</v>
      </c>
      <c r="G118" s="152"/>
      <c r="H118" s="152" t="str">
        <f t="shared" si="58"/>
        <v/>
      </c>
      <c r="I118" s="154">
        <f>SUM(I115,I116,-I117)</f>
        <v>-4200233.5199999996</v>
      </c>
      <c r="J118" s="155">
        <f t="shared" si="47"/>
        <v>-2.5657999999999999</v>
      </c>
      <c r="K118" s="163"/>
    </row>
    <row r="119" spans="1:11" ht="18">
      <c r="A119" s="30"/>
      <c r="B119" s="150">
        <v>6791</v>
      </c>
      <c r="C119" s="151" t="str">
        <f t="shared" si="51"/>
        <v>所得税费用</v>
      </c>
      <c r="D119" s="70">
        <f>VLOOKUP($B119,Sheet_Trialbal,10,0)</f>
        <v>-926583.97</v>
      </c>
      <c r="E119" s="152"/>
      <c r="F119" s="70">
        <f>VLOOKUP($B119,Sheet_Trialbal,3,0)</f>
        <v>0</v>
      </c>
      <c r="G119" s="152"/>
      <c r="H119" s="152" t="str">
        <f t="shared" si="58"/>
        <v/>
      </c>
      <c r="I119" s="70">
        <f t="shared" ref="I119:I125" si="59">IF(OR(F119="",D119=""),"",F119-D119)</f>
        <v>926583.97</v>
      </c>
      <c r="J119" s="152">
        <f t="shared" si="47"/>
        <v>-1</v>
      </c>
      <c r="K119" s="163"/>
    </row>
    <row r="120" spans="1:11" ht="18">
      <c r="A120" s="30"/>
      <c r="B120" s="150">
        <v>6799</v>
      </c>
      <c r="C120" s="153" t="str">
        <f t="shared" si="51"/>
        <v>净利润</v>
      </c>
      <c r="D120" s="154">
        <f>SUM(D118,-D119)</f>
        <v>2563577.15</v>
      </c>
      <c r="E120" s="152"/>
      <c r="F120" s="154">
        <f>SUM(F118,-F119)</f>
        <v>-2563240.34</v>
      </c>
      <c r="G120" s="152"/>
      <c r="H120" s="152" t="str">
        <f t="shared" si="58"/>
        <v/>
      </c>
      <c r="I120" s="154">
        <f t="shared" si="59"/>
        <v>-5126817.49</v>
      </c>
      <c r="J120" s="155">
        <f t="shared" si="47"/>
        <v>-1.9999</v>
      </c>
      <c r="K120" s="163"/>
    </row>
    <row r="121" spans="1:11" ht="18">
      <c r="A121" s="30"/>
      <c r="B121" s="150">
        <v>6811</v>
      </c>
      <c r="C121" s="151" t="str">
        <f t="shared" si="51"/>
        <v>归属于母公司所有者的净利润</v>
      </c>
      <c r="D121" s="70">
        <f>VLOOKUP($B121,Sheet_Trialbal,10,0)</f>
        <v>2563577.15</v>
      </c>
      <c r="E121" s="152"/>
      <c r="F121" s="70">
        <f>VLOOKUP($B121,Sheet_Trialbal,3,0)</f>
        <v>-2563240.34</v>
      </c>
      <c r="G121" s="152"/>
      <c r="H121" s="152" t="str">
        <f t="shared" si="58"/>
        <v/>
      </c>
      <c r="I121" s="70">
        <f t="shared" si="59"/>
        <v>-5126817.49</v>
      </c>
      <c r="J121" s="152">
        <f t="shared" si="47"/>
        <v>-1.9999</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2563577.15</v>
      </c>
      <c r="E124" s="152"/>
      <c r="F124" s="154">
        <f>SUM(F120,F123)</f>
        <v>-2563240.34</v>
      </c>
      <c r="G124" s="152"/>
      <c r="H124" s="152" t="str">
        <f t="shared" si="58"/>
        <v/>
      </c>
      <c r="I124" s="154">
        <f t="shared" si="59"/>
        <v>-5126817.49</v>
      </c>
      <c r="J124" s="155">
        <f t="shared" si="47"/>
        <v>-1.9999</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北京天马金信供应链管理有限公司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43864</v>
      </c>
      <c r="H3" s="14" t="s">
        <v>2524</v>
      </c>
      <c r="I3" s="2746" t="s">
        <v>6596</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0.1346</v>
      </c>
      <c r="E10" s="70"/>
      <c r="F10" s="75">
        <f>IF(F61=0,"",F62/F61)</f>
        <v>0.13450000000000001</v>
      </c>
      <c r="G10" s="70"/>
      <c r="H10" s="34"/>
      <c r="I10" s="56"/>
      <c r="J10" s="101" t="s">
        <v>5014</v>
      </c>
    </row>
    <row r="11" spans="1:10" ht="18">
      <c r="A11" s="30"/>
      <c r="B11" s="31"/>
      <c r="C11" s="72" t="s">
        <v>5015</v>
      </c>
      <c r="D11" s="75">
        <f>IF(D$61=0,"",D64/D$61)</f>
        <v>0.1643</v>
      </c>
      <c r="E11" s="70"/>
      <c r="F11" s="75">
        <f>IF(F$61=0,"",F64/F$61)</f>
        <v>-0.1265</v>
      </c>
      <c r="G11" s="70"/>
      <c r="H11" s="34"/>
      <c r="I11" s="56"/>
      <c r="J11" s="101" t="s">
        <v>5016</v>
      </c>
    </row>
    <row r="12" spans="1:10" ht="18">
      <c r="A12" s="30"/>
      <c r="B12" s="31"/>
      <c r="C12" s="72" t="s">
        <v>5017</v>
      </c>
      <c r="D12" s="75">
        <f>IF(D$55=0,"",D65/D$55)</f>
        <v>1.17E-2</v>
      </c>
      <c r="E12" s="70"/>
      <c r="F12" s="75">
        <f>IF(F$55=0,"",F65/F$55)</f>
        <v>-2.4E-2</v>
      </c>
      <c r="G12" s="70"/>
      <c r="H12" s="34"/>
      <c r="I12" s="56"/>
      <c r="J12" s="101" t="s">
        <v>5018</v>
      </c>
    </row>
    <row r="13" spans="1:10" ht="18">
      <c r="A13" s="30"/>
      <c r="B13" s="31"/>
      <c r="C13" s="72" t="s">
        <v>5019</v>
      </c>
      <c r="D13" s="75">
        <f>IF(D60=0,"",D65/D60)</f>
        <v>2.46E-2</v>
      </c>
      <c r="E13" s="70"/>
      <c r="F13" s="75">
        <f>IF(F60=0,"",F65/F60)</f>
        <v>-2.52E-2</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t="str">
        <f>IF(D47=0,"",D$61/D47)</f>
        <v/>
      </c>
      <c r="E15" s="70"/>
      <c r="F15" s="70">
        <f>IF(F47=0,"",F$61/F47)</f>
        <v>33.78</v>
      </c>
      <c r="G15" s="70"/>
      <c r="H15" s="34"/>
      <c r="I15" s="56"/>
      <c r="J15" s="101" t="s">
        <v>5023</v>
      </c>
    </row>
    <row r="16" spans="1:10" ht="18">
      <c r="A16" s="30"/>
      <c r="B16" s="31"/>
      <c r="C16" s="72" t="s">
        <v>5024</v>
      </c>
      <c r="D16" s="70">
        <f>IF(D52=0,"",D67/D52)</f>
        <v>0.98</v>
      </c>
      <c r="E16" s="70"/>
      <c r="F16" s="70">
        <f>IF(F52=0,"",F67/F52)</f>
        <v>2</v>
      </c>
      <c r="G16" s="70"/>
      <c r="H16" s="34"/>
      <c r="I16" s="56"/>
      <c r="J16" s="101" t="s">
        <v>5025</v>
      </c>
    </row>
    <row r="17" spans="1:10" ht="18">
      <c r="A17" s="30"/>
      <c r="B17" s="31"/>
      <c r="C17" s="72" t="s">
        <v>5026</v>
      </c>
      <c r="D17" s="70">
        <f>IF(D56=0,"",D$61/D56)</f>
        <v>0.09</v>
      </c>
      <c r="E17" s="70"/>
      <c r="F17" s="70">
        <f>IF(F56=0,"",F$61/F56)</f>
        <v>0.12</v>
      </c>
      <c r="G17" s="70"/>
      <c r="H17" s="34"/>
      <c r="I17" s="56"/>
      <c r="J17" s="101" t="s">
        <v>5027</v>
      </c>
    </row>
    <row r="18" spans="1:10" ht="18">
      <c r="A18" s="30"/>
      <c r="B18" s="31"/>
      <c r="C18" s="72" t="s">
        <v>5028</v>
      </c>
      <c r="D18" s="70">
        <f>IF(D58=0,"",D$61/D58)</f>
        <v>-0.17</v>
      </c>
      <c r="E18" s="70"/>
      <c r="F18" s="70">
        <f>IF(F58=0,"",F$61/F58)</f>
        <v>0.4</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0.49</v>
      </c>
      <c r="E20" s="70"/>
      <c r="F20" s="70">
        <f>IF(F$57=0,"",F53/F$57)</f>
        <v>10.88</v>
      </c>
      <c r="G20" s="70"/>
      <c r="H20" s="34"/>
      <c r="I20" s="56"/>
      <c r="J20" s="101" t="s">
        <v>5032</v>
      </c>
    </row>
    <row r="21" spans="1:10" ht="18">
      <c r="A21" s="30"/>
      <c r="B21" s="31"/>
      <c r="C21" s="72" t="s">
        <v>5033</v>
      </c>
      <c r="D21" s="70">
        <f>IF(D$57=0,"",D54/D$57)</f>
        <v>0.33</v>
      </c>
      <c r="E21" s="70"/>
      <c r="F21" s="70">
        <f>IF(F$57=0,"",F54/F$57)</f>
        <v>10.88</v>
      </c>
      <c r="G21" s="70"/>
      <c r="H21" s="34"/>
      <c r="I21" s="56"/>
      <c r="J21" s="101" t="s">
        <v>5034</v>
      </c>
    </row>
    <row r="22" spans="1:10" ht="18">
      <c r="A22" s="30"/>
      <c r="B22" s="31"/>
      <c r="C22" s="72" t="s">
        <v>5035</v>
      </c>
      <c r="D22" s="70">
        <f>IF(D$57=0,"",D70/D$57)</f>
        <v>0</v>
      </c>
      <c r="E22" s="70"/>
      <c r="F22" s="70">
        <f>IF(F$57=0,"",F70/F$57)</f>
        <v>0.84</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0.52329999999999999</v>
      </c>
      <c r="E24" s="75"/>
      <c r="F24" s="75">
        <f>IF(F55=0,"",F59/F55)</f>
        <v>4.8000000000000001E-2</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1.0345</v>
      </c>
      <c r="G26" s="75"/>
      <c r="H26" s="34"/>
      <c r="I26" s="56"/>
      <c r="J26" s="101" t="s">
        <v>5041</v>
      </c>
    </row>
    <row r="27" spans="1:10" ht="18">
      <c r="A27" s="30"/>
      <c r="B27" s="31"/>
      <c r="C27" s="72" t="s">
        <v>5042</v>
      </c>
      <c r="D27" s="75" t="str">
        <f>IF(H64=0,"",(D64-H64)/H64)</f>
        <v/>
      </c>
      <c r="E27" s="75"/>
      <c r="F27" s="75">
        <f>IF(D64=0,"",(F64-D64)/D64)</f>
        <v>-2.5657999999999999</v>
      </c>
      <c r="G27" s="75"/>
      <c r="H27" s="34"/>
      <c r="I27" s="56"/>
      <c r="J27" s="101" t="s">
        <v>5043</v>
      </c>
    </row>
    <row r="28" spans="1:10" ht="18">
      <c r="A28" s="30"/>
      <c r="B28" s="31"/>
      <c r="C28" s="72" t="s">
        <v>5044</v>
      </c>
      <c r="D28" s="75" t="str">
        <f>IF(H65=0,"",(D65-H65)/H65)</f>
        <v/>
      </c>
      <c r="E28" s="75"/>
      <c r="F28" s="75">
        <f>IF(D65=0,"",(F65-D65)/D65)</f>
        <v>-1.9999</v>
      </c>
      <c r="G28" s="75"/>
      <c r="H28" s="34"/>
      <c r="I28" s="56"/>
      <c r="J28" s="101" t="s">
        <v>5045</v>
      </c>
    </row>
    <row r="29" spans="1:10" ht="18">
      <c r="A29" s="30"/>
      <c r="B29" s="31"/>
      <c r="C29" s="72" t="s">
        <v>5046</v>
      </c>
      <c r="D29" s="75" t="str">
        <f>IF(H60=0,"",(D60-H60)/H60)</f>
        <v/>
      </c>
      <c r="E29" s="75"/>
      <c r="F29" s="75">
        <f>IF(D60=0,"",(F60-D60)/D60)</f>
        <v>-2.46E-2</v>
      </c>
      <c r="G29" s="75"/>
      <c r="H29" s="34"/>
      <c r="I29" s="56"/>
      <c r="J29" s="101" t="s">
        <v>5047</v>
      </c>
    </row>
    <row r="30" spans="1:10" ht="18">
      <c r="A30" s="30"/>
      <c r="B30" s="31"/>
      <c r="C30" s="72" t="s">
        <v>5048</v>
      </c>
      <c r="D30" s="75" t="str">
        <f>IF(H55=0,"",(D55-H55)/H55)</f>
        <v/>
      </c>
      <c r="E30" s="75"/>
      <c r="F30" s="75">
        <f>IF(D55=0,"",(F55-D55)/D55)</f>
        <v>-0.51160000000000005</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419" t="s">
        <v>5059</v>
      </c>
      <c r="I41" s="3420"/>
      <c r="J41" s="97" t="s">
        <v>5060</v>
      </c>
    </row>
    <row r="42" spans="1:10" ht="18">
      <c r="A42" s="30"/>
      <c r="B42" s="108"/>
      <c r="C42" s="109" t="s">
        <v>5061</v>
      </c>
      <c r="D42" s="110"/>
      <c r="E42" s="111"/>
      <c r="F42" s="110"/>
      <c r="G42" s="110"/>
      <c r="H42" s="3421"/>
      <c r="I42" s="3422"/>
      <c r="J42" s="96"/>
    </row>
    <row r="43" spans="1:10" ht="18">
      <c r="A43" s="30"/>
      <c r="B43" s="112"/>
      <c r="C43" s="113" t="s">
        <v>5062</v>
      </c>
      <c r="D43" s="114"/>
      <c r="E43" s="115"/>
      <c r="F43" s="114"/>
      <c r="G43" s="114"/>
      <c r="H43" s="3423"/>
      <c r="I43" s="3424"/>
      <c r="J43" s="96"/>
    </row>
    <row r="44" spans="1:10" ht="18">
      <c r="A44" s="30"/>
      <c r="B44" s="116">
        <v>1122</v>
      </c>
      <c r="C44" s="113" t="s">
        <v>124</v>
      </c>
      <c r="D44" s="117">
        <f>VLOOKUP($B44,Sheet_Trialbal,10,0)</f>
        <v>0</v>
      </c>
      <c r="E44" s="117"/>
      <c r="F44" s="117">
        <f>VLOOKUP($B44,Sheet_Trialbal,3,0)</f>
        <v>1200000</v>
      </c>
      <c r="G44" s="117"/>
      <c r="H44" s="3417"/>
      <c r="I44" s="3418"/>
      <c r="J44" s="101" t="s">
        <v>5063</v>
      </c>
    </row>
    <row r="45" spans="1:10" ht="18">
      <c r="A45" s="30"/>
      <c r="B45" s="116">
        <v>1122.1231</v>
      </c>
      <c r="C45" s="113" t="s">
        <v>5064</v>
      </c>
      <c r="D45" s="114">
        <f>VLOOKUP($B45,Sheet_Trialbal,10,0)</f>
        <v>0</v>
      </c>
      <c r="E45" s="114"/>
      <c r="F45" s="114">
        <f>VLOOKUP($B45,Sheet_Trialbal,3,0)</f>
        <v>0</v>
      </c>
      <c r="G45" s="114"/>
      <c r="H45" s="3417"/>
      <c r="I45" s="3418"/>
      <c r="J45" s="101" t="s">
        <v>5063</v>
      </c>
    </row>
    <row r="46" spans="1:10" ht="18">
      <c r="A46" s="30"/>
      <c r="B46" s="116"/>
      <c r="C46" s="113" t="s">
        <v>5065</v>
      </c>
      <c r="D46" s="118">
        <f>D44+D45</f>
        <v>0</v>
      </c>
      <c r="E46" s="118"/>
      <c r="F46" s="118">
        <f>F44+F45</f>
        <v>1200000</v>
      </c>
      <c r="G46" s="118"/>
      <c r="H46" s="3411">
        <f>H44+H45</f>
        <v>0</v>
      </c>
      <c r="I46" s="3412">
        <f>I44+I45</f>
        <v>0</v>
      </c>
      <c r="J46" s="96"/>
    </row>
    <row r="47" spans="1:10" ht="18">
      <c r="A47" s="30"/>
      <c r="B47" s="116"/>
      <c r="C47" s="120" t="s">
        <v>5066</v>
      </c>
      <c r="D47" s="118">
        <f>(D46+H46)/2</f>
        <v>0</v>
      </c>
      <c r="E47" s="118"/>
      <c r="F47" s="118">
        <f>(D46+F46)/2</f>
        <v>600000</v>
      </c>
      <c r="G47" s="118"/>
      <c r="H47" s="3411"/>
      <c r="I47" s="3412"/>
      <c r="J47" s="96"/>
    </row>
    <row r="48" spans="1:10" ht="18">
      <c r="A48" s="30"/>
      <c r="B48" s="116">
        <v>1125</v>
      </c>
      <c r="C48" s="113" t="s">
        <v>162</v>
      </c>
      <c r="D48" s="117">
        <f>VLOOKUP($B48,Sheet_Trialbal,10,0)</f>
        <v>0</v>
      </c>
      <c r="E48" s="117"/>
      <c r="F48" s="117">
        <f>VLOOKUP($B48,Sheet_Trialbal,3,0)</f>
        <v>0</v>
      </c>
      <c r="G48" s="117"/>
      <c r="H48" s="3411"/>
      <c r="I48" s="3412"/>
      <c r="J48" s="96"/>
    </row>
    <row r="49" spans="1:10" ht="18">
      <c r="A49" s="30"/>
      <c r="B49" s="116">
        <v>1400</v>
      </c>
      <c r="C49" s="113" t="s">
        <v>229</v>
      </c>
      <c r="D49" s="117">
        <f>VLOOKUP($B49,Sheet_Trialbal,10,0)</f>
        <v>17540765.449999999</v>
      </c>
      <c r="E49" s="117"/>
      <c r="F49" s="117">
        <f>VLOOKUP($B49,Sheet_Trialbal,3,0)</f>
        <v>0</v>
      </c>
      <c r="G49" s="117"/>
      <c r="H49" s="3417"/>
      <c r="I49" s="3418"/>
      <c r="J49" s="101" t="s">
        <v>5063</v>
      </c>
    </row>
    <row r="50" spans="1:10" ht="18">
      <c r="A50" s="30"/>
      <c r="B50" s="116">
        <v>1400.1470999999999</v>
      </c>
      <c r="C50" s="113" t="s">
        <v>5067</v>
      </c>
      <c r="D50" s="114">
        <f>VLOOKUP($B50,Sheet_Trialbal,10,0)</f>
        <v>0</v>
      </c>
      <c r="E50" s="114"/>
      <c r="F50" s="114">
        <f>VLOOKUP($B50,Sheet_Trialbal,3,0)</f>
        <v>0</v>
      </c>
      <c r="G50" s="114"/>
      <c r="H50" s="3417"/>
      <c r="I50" s="3418"/>
      <c r="J50" s="101" t="s">
        <v>5063</v>
      </c>
    </row>
    <row r="51" spans="1:10" ht="18">
      <c r="A51" s="30"/>
      <c r="B51" s="116"/>
      <c r="C51" s="113" t="s">
        <v>5068</v>
      </c>
      <c r="D51" s="118">
        <f>D49+D50</f>
        <v>17540765.449999999</v>
      </c>
      <c r="E51" s="118"/>
      <c r="F51" s="118">
        <f>F49+F50</f>
        <v>0</v>
      </c>
      <c r="G51" s="118"/>
      <c r="H51" s="3411">
        <f>H49+H50</f>
        <v>0</v>
      </c>
      <c r="I51" s="3412">
        <f>I49+I50</f>
        <v>0</v>
      </c>
      <c r="J51" s="96"/>
    </row>
    <row r="52" spans="1:10" ht="18">
      <c r="A52" s="30"/>
      <c r="B52" s="116"/>
      <c r="C52" s="120" t="s">
        <v>5069</v>
      </c>
      <c r="D52" s="118">
        <f>(D51+H51)/2</f>
        <v>8770382.7300000004</v>
      </c>
      <c r="E52" s="118"/>
      <c r="F52" s="118">
        <f>(D51+F51)/2</f>
        <v>8770382.7300000004</v>
      </c>
      <c r="G52" s="118"/>
      <c r="H52" s="3411"/>
      <c r="I52" s="3412"/>
      <c r="J52" s="96"/>
    </row>
    <row r="53" spans="1:10" ht="18">
      <c r="A53" s="30"/>
      <c r="B53" s="116">
        <v>1498</v>
      </c>
      <c r="C53" s="113" t="s">
        <v>286</v>
      </c>
      <c r="D53" s="117">
        <f>VLOOKUP($B53,Sheet_Trialbal,10,0)</f>
        <v>55598625.359999999</v>
      </c>
      <c r="E53" s="117"/>
      <c r="F53" s="117">
        <f>VLOOKUP($B53,Sheet_Trialbal,3,0)</f>
        <v>55799668.369999997</v>
      </c>
      <c r="G53" s="117"/>
      <c r="H53" s="3411"/>
      <c r="I53" s="3412"/>
      <c r="J53" s="96"/>
    </row>
    <row r="54" spans="1:10" ht="18">
      <c r="A54" s="30"/>
      <c r="B54" s="116"/>
      <c r="C54" s="120" t="s">
        <v>5070</v>
      </c>
      <c r="D54" s="118">
        <f>D53-D48-D49</f>
        <v>38057859.909999996</v>
      </c>
      <c r="E54" s="118"/>
      <c r="F54" s="118">
        <f>F53-F48-F49</f>
        <v>55799668.369999997</v>
      </c>
      <c r="G54" s="118"/>
      <c r="H54" s="3411"/>
      <c r="I54" s="3412"/>
      <c r="J54" s="96"/>
    </row>
    <row r="55" spans="1:10" ht="18">
      <c r="A55" s="30"/>
      <c r="B55" s="116">
        <v>1999</v>
      </c>
      <c r="C55" s="113" t="s">
        <v>5071</v>
      </c>
      <c r="D55" s="117">
        <f>VLOOKUP($B55,Sheet_Trialbal,10,0)</f>
        <v>218552283.09999999</v>
      </c>
      <c r="E55" s="117"/>
      <c r="F55" s="117">
        <f>VLOOKUP($B55,Sheet_Trialbal,3,0)</f>
        <v>106747804.67</v>
      </c>
      <c r="G55" s="117"/>
      <c r="H55" s="3417"/>
      <c r="I55" s="3418"/>
      <c r="J55" s="101" t="s">
        <v>5063</v>
      </c>
    </row>
    <row r="56" spans="1:10" ht="18">
      <c r="A56" s="30"/>
      <c r="B56" s="116"/>
      <c r="C56" s="120" t="s">
        <v>5072</v>
      </c>
      <c r="D56" s="118">
        <f>(D55+H55)/2</f>
        <v>109276141.55</v>
      </c>
      <c r="E56" s="118"/>
      <c r="F56" s="118">
        <f>(D55+F55)/2</f>
        <v>162650043.88999999</v>
      </c>
      <c r="G56" s="117"/>
      <c r="H56" s="3411"/>
      <c r="I56" s="3412"/>
      <c r="J56" s="96"/>
    </row>
    <row r="57" spans="1:10" ht="18">
      <c r="A57" s="30"/>
      <c r="B57" s="116">
        <v>2498</v>
      </c>
      <c r="C57" s="113" t="s">
        <v>566</v>
      </c>
      <c r="D57" s="117">
        <f>VLOOKUP($B57,Sheet_Trialbal,10,0)</f>
        <v>114368587.2</v>
      </c>
      <c r="E57" s="117"/>
      <c r="F57" s="117">
        <f>VLOOKUP($B57,Sheet_Trialbal,3,0)</f>
        <v>5127349.1100000003</v>
      </c>
      <c r="G57" s="117"/>
      <c r="H57" s="3411"/>
      <c r="I57" s="3412"/>
      <c r="J57" s="96"/>
    </row>
    <row r="58" spans="1:10" ht="18">
      <c r="A58" s="30"/>
      <c r="B58" s="116"/>
      <c r="C58" s="113" t="s">
        <v>5073</v>
      </c>
      <c r="D58" s="118">
        <f>D53-D57</f>
        <v>-58769961.840000004</v>
      </c>
      <c r="E58" s="118"/>
      <c r="F58" s="118">
        <f>F53-F57</f>
        <v>50672319.259999998</v>
      </c>
      <c r="G58" s="118"/>
      <c r="H58" s="3411"/>
      <c r="I58" s="3412"/>
      <c r="J58" s="96"/>
    </row>
    <row r="59" spans="1:10" ht="18">
      <c r="A59" s="30"/>
      <c r="B59" s="116">
        <v>2999</v>
      </c>
      <c r="C59" s="113" t="s">
        <v>5074</v>
      </c>
      <c r="D59" s="117">
        <f t="shared" ref="D59:D70" si="0">VLOOKUP($B59,Sheet_Trialbal,10,0)</f>
        <v>114368587.2</v>
      </c>
      <c r="E59" s="117"/>
      <c r="F59" s="117">
        <f t="shared" ref="F59:F70" si="1">VLOOKUP($B59,Sheet_Trialbal,3,0)</f>
        <v>5127349.1100000003</v>
      </c>
      <c r="G59" s="117"/>
      <c r="H59" s="3411"/>
      <c r="I59" s="3412"/>
      <c r="J59" s="96"/>
    </row>
    <row r="60" spans="1:10" ht="18">
      <c r="A60" s="30"/>
      <c r="B60" s="116">
        <v>4999</v>
      </c>
      <c r="C60" s="113" t="s">
        <v>5075</v>
      </c>
      <c r="D60" s="117">
        <f t="shared" si="0"/>
        <v>104183695.90000001</v>
      </c>
      <c r="E60" s="117"/>
      <c r="F60" s="117">
        <f t="shared" si="1"/>
        <v>101620455.56</v>
      </c>
      <c r="G60" s="117"/>
      <c r="H60" s="3417"/>
      <c r="I60" s="3418"/>
      <c r="J60" s="101" t="s">
        <v>5063</v>
      </c>
    </row>
    <row r="61" spans="1:10" ht="18">
      <c r="A61" s="30"/>
      <c r="B61" s="116">
        <v>6001</v>
      </c>
      <c r="C61" s="113" t="s">
        <v>631</v>
      </c>
      <c r="D61" s="117">
        <f>VLOOKUP($B61,Sheet_Trialbal,10,0)</f>
        <v>9961204.6999999993</v>
      </c>
      <c r="E61" s="117"/>
      <c r="F61" s="117">
        <f>VLOOKUP($B61,Sheet_Trialbal,3,0)</f>
        <v>20266366.969999999</v>
      </c>
      <c r="G61" s="117"/>
      <c r="H61" s="3415"/>
      <c r="I61" s="3416"/>
      <c r="J61" s="101" t="s">
        <v>5063</v>
      </c>
    </row>
    <row r="62" spans="1:10" ht="18">
      <c r="A62" s="30"/>
      <c r="B62" s="116"/>
      <c r="C62" s="113" t="s">
        <v>5076</v>
      </c>
      <c r="D62" s="117">
        <f>D61-D67</f>
        <v>1340515.07</v>
      </c>
      <c r="E62" s="117"/>
      <c r="F62" s="117">
        <f>F61-F67</f>
        <v>2725601.52</v>
      </c>
      <c r="G62" s="117"/>
      <c r="H62" s="73"/>
      <c r="I62" s="56"/>
      <c r="J62" s="96"/>
    </row>
    <row r="63" spans="1:10" ht="18">
      <c r="A63" s="30"/>
      <c r="B63" s="116">
        <v>6111</v>
      </c>
      <c r="C63" s="113" t="s">
        <v>656</v>
      </c>
      <c r="D63" s="117">
        <f>VLOOKUP($B63,Sheet_Trialbal,10,0)</f>
        <v>5521086.3499999996</v>
      </c>
      <c r="E63" s="117"/>
      <c r="F63" s="117">
        <f>VLOOKUP($B63,Sheet_Trialbal,3,0)</f>
        <v>0</v>
      </c>
      <c r="G63" s="117"/>
      <c r="H63" s="74" t="s">
        <v>5059</v>
      </c>
      <c r="I63" s="56"/>
      <c r="J63" s="96"/>
    </row>
    <row r="64" spans="1:10" ht="18">
      <c r="A64" s="30"/>
      <c r="B64" s="116">
        <v>6689</v>
      </c>
      <c r="C64" s="113" t="s">
        <v>833</v>
      </c>
      <c r="D64" s="117">
        <f>VLOOKUP($B64,Sheet_Trialbal,10,0)</f>
        <v>1636993.18</v>
      </c>
      <c r="E64" s="117"/>
      <c r="F64" s="117">
        <f>VLOOKUP($B64,Sheet_Trialbal,3,0)</f>
        <v>-2563240.34</v>
      </c>
      <c r="G64" s="117"/>
      <c r="H64" s="3415"/>
      <c r="I64" s="3416"/>
      <c r="J64" s="101" t="s">
        <v>5063</v>
      </c>
    </row>
    <row r="65" spans="1:10" ht="18">
      <c r="A65" s="30"/>
      <c r="B65" s="116">
        <v>6799</v>
      </c>
      <c r="C65" s="113" t="s">
        <v>871</v>
      </c>
      <c r="D65" s="117">
        <f>VLOOKUP($B65,Sheet_Trialbal,10,0)</f>
        <v>2563577.15</v>
      </c>
      <c r="E65" s="117"/>
      <c r="F65" s="117">
        <f>VLOOKUP($B65,Sheet_Trialbal,3,0)</f>
        <v>-2563240.34</v>
      </c>
      <c r="G65" s="117"/>
      <c r="H65" s="3415"/>
      <c r="I65" s="3416"/>
      <c r="J65" s="101" t="s">
        <v>5063</v>
      </c>
    </row>
    <row r="66" spans="1:10" ht="18">
      <c r="A66" s="30"/>
      <c r="B66" s="116">
        <v>6811</v>
      </c>
      <c r="C66" s="113" t="s">
        <v>5077</v>
      </c>
      <c r="D66" s="117">
        <f>VLOOKUP($B66,Sheet_Trialbal,10,0)</f>
        <v>2563577.15</v>
      </c>
      <c r="E66" s="117"/>
      <c r="F66" s="117">
        <f>VLOOKUP($B66,Sheet_Trialbal,3,0)</f>
        <v>-2563240.34</v>
      </c>
      <c r="G66" s="117"/>
      <c r="H66" s="34"/>
      <c r="I66" s="56"/>
      <c r="J66" s="96"/>
    </row>
    <row r="67" spans="1:10" ht="18">
      <c r="A67" s="30"/>
      <c r="B67" s="116">
        <v>6401</v>
      </c>
      <c r="C67" s="113" t="s">
        <v>671</v>
      </c>
      <c r="D67" s="117">
        <f t="shared" si="0"/>
        <v>8620689.6300000008</v>
      </c>
      <c r="E67" s="117"/>
      <c r="F67" s="117">
        <f t="shared" si="1"/>
        <v>17540765.449999999</v>
      </c>
      <c r="G67" s="117"/>
      <c r="H67" s="3411"/>
      <c r="I67" s="3412"/>
      <c r="J67" s="96"/>
    </row>
    <row r="68" spans="1:10" ht="18">
      <c r="A68" s="30"/>
      <c r="B68" s="116">
        <v>6601</v>
      </c>
      <c r="C68" s="113" t="s">
        <v>680</v>
      </c>
      <c r="D68" s="117">
        <f t="shared" si="0"/>
        <v>0</v>
      </c>
      <c r="E68" s="117"/>
      <c r="F68" s="117">
        <f t="shared" si="1"/>
        <v>0</v>
      </c>
      <c r="G68" s="117"/>
      <c r="H68" s="3411"/>
      <c r="I68" s="3412"/>
      <c r="J68" s="96"/>
    </row>
    <row r="69" spans="1:10" ht="18">
      <c r="A69" s="30"/>
      <c r="B69" s="116">
        <v>6602</v>
      </c>
      <c r="C69" s="113" t="s">
        <v>685</v>
      </c>
      <c r="D69" s="117">
        <f t="shared" si="0"/>
        <v>5160685.92</v>
      </c>
      <c r="E69" s="117"/>
      <c r="F69" s="117">
        <f t="shared" si="1"/>
        <v>5231717.3499999996</v>
      </c>
      <c r="G69" s="117"/>
      <c r="H69" s="3411"/>
      <c r="I69" s="3412"/>
      <c r="J69" s="96"/>
    </row>
    <row r="70" spans="1:10" ht="18">
      <c r="A70" s="30"/>
      <c r="B70" s="121">
        <v>7399</v>
      </c>
      <c r="C70" s="122" t="s">
        <v>2272</v>
      </c>
      <c r="D70" s="123">
        <f t="shared" si="0"/>
        <v>91308.84</v>
      </c>
      <c r="E70" s="123"/>
      <c r="F70" s="123">
        <f t="shared" si="1"/>
        <v>4299668.37</v>
      </c>
      <c r="G70" s="123"/>
      <c r="H70" s="3413"/>
      <c r="I70" s="3414"/>
      <c r="J70" s="96"/>
    </row>
  </sheetData>
  <mergeCells count="27">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9:I69"/>
    <mergeCell ref="H70:I70"/>
    <mergeCell ref="H61:I61"/>
    <mergeCell ref="H64:I64"/>
    <mergeCell ref="H65:I65"/>
    <mergeCell ref="H67:I67"/>
    <mergeCell ref="H68:I68"/>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北京天马金信供应链管理有限公司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43864</v>
      </c>
      <c r="J3" s="14" t="s">
        <v>2524</v>
      </c>
      <c r="K3" s="2789" t="s">
        <v>6604</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91308.84</v>
      </c>
      <c r="E13" s="152">
        <f>IF(D$55=0,"",D13/D$55)</f>
        <v>4.0000000000000002E-4</v>
      </c>
      <c r="F13" s="70">
        <f t="shared" ref="F13:F27" si="3">VLOOKUP($B13,Sheet_Trialbal,6,0)</f>
        <v>4299668.37</v>
      </c>
      <c r="G13" s="152">
        <f>IF(F$55=0,"",F13/F$55)</f>
        <v>4.0300000000000002E-2</v>
      </c>
      <c r="H13" s="152">
        <f t="shared" ref="H13:H30" si="4">IF(OR(G13="",E13=""),"",G13-E13)</f>
        <v>3.9899999999999998E-2</v>
      </c>
      <c r="I13" s="70">
        <f t="shared" ref="I13" si="5">IF(OR(F13="",D13=""),"",F13-D13)</f>
        <v>4208359.53</v>
      </c>
      <c r="J13" s="152">
        <f t="shared" si="1"/>
        <v>46.089300000000001</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0</v>
      </c>
      <c r="E18" s="152">
        <f t="shared" si="6"/>
        <v>0</v>
      </c>
      <c r="F18" s="70">
        <f t="shared" si="3"/>
        <v>1200000</v>
      </c>
      <c r="G18" s="152">
        <f t="shared" si="7"/>
        <v>1.12E-2</v>
      </c>
      <c r="H18" s="152">
        <f t="shared" si="8"/>
        <v>1.12E-2</v>
      </c>
      <c r="I18" s="70">
        <f t="shared" si="9"/>
        <v>1200000</v>
      </c>
      <c r="J18" s="152" t="str">
        <f t="shared" si="10"/>
        <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18">
      <c r="A21" s="30"/>
      <c r="B21" s="150">
        <v>1220</v>
      </c>
      <c r="C21" s="151" t="str">
        <f>IF($B21="","",VLOOKUP($B21,Sheet_Items,2,0))</f>
        <v>其他应收款（报表项目）</v>
      </c>
      <c r="D21" s="70">
        <f t="shared" si="2"/>
        <v>35000000</v>
      </c>
      <c r="E21" s="152">
        <f t="shared" si="6"/>
        <v>0.16009999999999999</v>
      </c>
      <c r="F21" s="70">
        <f t="shared" si="3"/>
        <v>50300000</v>
      </c>
      <c r="G21" s="152">
        <f t="shared" si="7"/>
        <v>0.47120000000000001</v>
      </c>
      <c r="H21" s="152">
        <f t="shared" si="8"/>
        <v>0.31109999999999999</v>
      </c>
      <c r="I21" s="70">
        <f t="shared" si="9"/>
        <v>15300000</v>
      </c>
      <c r="J21" s="152">
        <f t="shared" si="10"/>
        <v>0.43709999999999999</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17540765.449999999</v>
      </c>
      <c r="E24" s="152">
        <f t="shared" si="6"/>
        <v>8.0299999999999996E-2</v>
      </c>
      <c r="F24" s="70">
        <f t="shared" si="3"/>
        <v>0</v>
      </c>
      <c r="G24" s="152">
        <f t="shared" si="7"/>
        <v>0</v>
      </c>
      <c r="H24" s="152">
        <f t="shared" si="8"/>
        <v>-8.0299999999999996E-2</v>
      </c>
      <c r="I24" s="70">
        <f t="shared" si="9"/>
        <v>-17540765.449999999</v>
      </c>
      <c r="J24" s="152">
        <f t="shared" si="10"/>
        <v>-1</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2966551.07</v>
      </c>
      <c r="E27" s="152">
        <f t="shared" si="6"/>
        <v>1.3599999999999999E-2</v>
      </c>
      <c r="F27" s="70">
        <f t="shared" si="3"/>
        <v>0</v>
      </c>
      <c r="G27" s="152">
        <f t="shared" si="7"/>
        <v>0</v>
      </c>
      <c r="H27" s="152">
        <f t="shared" si="8"/>
        <v>-1.3599999999999999E-2</v>
      </c>
      <c r="I27" s="70">
        <f t="shared" si="9"/>
        <v>-2966551.07</v>
      </c>
      <c r="J27" s="152">
        <f t="shared" si="10"/>
        <v>-1</v>
      </c>
      <c r="K27" s="163"/>
    </row>
    <row r="28" spans="1:11" ht="18">
      <c r="A28" s="30"/>
      <c r="B28" s="150">
        <v>1498</v>
      </c>
      <c r="C28" s="153" t="str">
        <f t="shared" si="0"/>
        <v>流动资产合计</v>
      </c>
      <c r="D28" s="154">
        <f>SUM(D13:D27)-SUM(D22,D23)</f>
        <v>55598625.359999999</v>
      </c>
      <c r="E28" s="155">
        <f t="shared" ref="E28:I28" si="11">SUM(E13:E27)-SUM(E22,E23)</f>
        <v>0.25440000000000002</v>
      </c>
      <c r="F28" s="154">
        <f t="shared" si="11"/>
        <v>55799668.369999997</v>
      </c>
      <c r="G28" s="155">
        <f t="shared" si="11"/>
        <v>0.52270000000000005</v>
      </c>
      <c r="H28" s="155">
        <f t="shared" si="11"/>
        <v>0.26829999999999998</v>
      </c>
      <c r="I28" s="154">
        <f t="shared" si="11"/>
        <v>201043.01</v>
      </c>
      <c r="J28" s="155">
        <f t="shared" si="1"/>
        <v>3.5999999999999999E-3</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162000000</v>
      </c>
      <c r="E36" s="152">
        <f t="shared" si="17"/>
        <v>0.74119999999999997</v>
      </c>
      <c r="F36" s="70">
        <f t="shared" si="15"/>
        <v>50000000</v>
      </c>
      <c r="G36" s="152">
        <f t="shared" si="18"/>
        <v>0.46839999999999998</v>
      </c>
      <c r="H36" s="152">
        <f t="shared" si="19"/>
        <v>-0.27279999999999999</v>
      </c>
      <c r="I36" s="70">
        <f t="shared" si="20"/>
        <v>-112000000</v>
      </c>
      <c r="J36" s="152">
        <f t="shared" si="21"/>
        <v>-0.69140000000000001</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16540.18</v>
      </c>
      <c r="E40" s="152">
        <f t="shared" si="17"/>
        <v>1E-4</v>
      </c>
      <c r="F40" s="70">
        <f t="shared" si="15"/>
        <v>11018.74</v>
      </c>
      <c r="G40" s="152">
        <f t="shared" si="18"/>
        <v>1E-4</v>
      </c>
      <c r="H40" s="152">
        <f t="shared" si="19"/>
        <v>0</v>
      </c>
      <c r="I40" s="70">
        <f t="shared" si="20"/>
        <v>-5521.44</v>
      </c>
      <c r="J40" s="152">
        <f t="shared" si="21"/>
        <v>-0.33379999999999999</v>
      </c>
      <c r="K40" s="163"/>
    </row>
    <row r="41" spans="1:11" ht="18">
      <c r="A41" s="30"/>
      <c r="B41" s="150">
        <v>1601</v>
      </c>
      <c r="C41" s="151" t="str">
        <f>IF($B41="","",VLOOKUP($B41,Sheet_Items,6,0))</f>
        <v>其中：固定资产</v>
      </c>
      <c r="D41" s="70">
        <f t="shared" si="13"/>
        <v>16540.18</v>
      </c>
      <c r="E41" s="152">
        <f t="shared" si="17"/>
        <v>1E-4</v>
      </c>
      <c r="F41" s="70">
        <f t="shared" si="15"/>
        <v>11018.74</v>
      </c>
      <c r="G41" s="152">
        <f t="shared" si="18"/>
        <v>1E-4</v>
      </c>
      <c r="H41" s="152">
        <f t="shared" si="19"/>
        <v>0</v>
      </c>
      <c r="I41" s="70">
        <f t="shared" si="20"/>
        <v>-5521.44</v>
      </c>
      <c r="J41" s="152">
        <f t="shared" si="21"/>
        <v>-0.33379999999999999</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f t="shared" si="18"/>
        <v>0</v>
      </c>
      <c r="H43" s="152">
        <f t="shared" si="19"/>
        <v>0</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f t="shared" si="18"/>
        <v>0</v>
      </c>
      <c r="H44" s="152">
        <f t="shared" si="19"/>
        <v>0</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f t="shared" si="18"/>
        <v>0</v>
      </c>
      <c r="H51" s="152">
        <f t="shared" si="19"/>
        <v>0</v>
      </c>
      <c r="I51" s="70">
        <f t="shared" si="20"/>
        <v>0</v>
      </c>
      <c r="J51" s="152" t="str">
        <f t="shared" si="21"/>
        <v/>
      </c>
      <c r="K51" s="163"/>
    </row>
    <row r="52" spans="1:11" ht="18">
      <c r="A52" s="30"/>
      <c r="B52" s="150">
        <v>1811</v>
      </c>
      <c r="C52" s="151" t="str">
        <f t="shared" si="0"/>
        <v>递延所得税资产</v>
      </c>
      <c r="D52" s="70">
        <f t="shared" si="13"/>
        <v>937117.56</v>
      </c>
      <c r="E52" s="152">
        <f t="shared" si="17"/>
        <v>4.3E-3</v>
      </c>
      <c r="F52" s="70">
        <f t="shared" si="15"/>
        <v>937117.56</v>
      </c>
      <c r="G52" s="152">
        <f t="shared" si="18"/>
        <v>8.8000000000000005E-3</v>
      </c>
      <c r="H52" s="152">
        <f t="shared" si="19"/>
        <v>4.4999999999999997E-3</v>
      </c>
      <c r="I52" s="70">
        <f t="shared" si="20"/>
        <v>0</v>
      </c>
      <c r="J52" s="152">
        <f t="shared" si="21"/>
        <v>0</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162953657.74000001</v>
      </c>
      <c r="E54" s="156">
        <f t="shared" ref="E54:I54" si="23">SUM(E30:E53)-SUM(E41,E42,E44,E45)</f>
        <v>0.74560000000000004</v>
      </c>
      <c r="F54" s="154">
        <f t="shared" si="23"/>
        <v>50948136.299999997</v>
      </c>
      <c r="G54" s="156">
        <f t="shared" si="23"/>
        <v>0.4773</v>
      </c>
      <c r="H54" s="156">
        <f t="shared" si="23"/>
        <v>-0.26829999999999998</v>
      </c>
      <c r="I54" s="154">
        <f t="shared" si="23"/>
        <v>-112005521.44</v>
      </c>
      <c r="J54" s="152">
        <f t="shared" si="1"/>
        <v>-0.68730000000000002</v>
      </c>
      <c r="K54" s="163"/>
    </row>
    <row r="55" spans="1:11" ht="18">
      <c r="A55" s="30"/>
      <c r="B55" s="150">
        <v>1999</v>
      </c>
      <c r="C55" s="153" t="str">
        <f t="shared" si="22"/>
        <v>资产总计</v>
      </c>
      <c r="D55" s="154">
        <f t="shared" ref="D55:I55" si="24">SUM(D28,D54)</f>
        <v>218552283.09999999</v>
      </c>
      <c r="E55" s="156">
        <f t="shared" si="24"/>
        <v>1</v>
      </c>
      <c r="F55" s="154">
        <f t="shared" si="24"/>
        <v>106747804.67</v>
      </c>
      <c r="G55" s="156">
        <f t="shared" si="24"/>
        <v>1</v>
      </c>
      <c r="H55" s="156">
        <f t="shared" si="24"/>
        <v>0</v>
      </c>
      <c r="I55" s="154">
        <f t="shared" si="24"/>
        <v>-111804478.43000001</v>
      </c>
      <c r="J55" s="155">
        <f t="shared" si="1"/>
        <v>-0.51160000000000005</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182031</v>
      </c>
      <c r="E62" s="152">
        <f t="shared" si="30"/>
        <v>1.6000000000000001E-3</v>
      </c>
      <c r="F62" s="70">
        <f t="shared" si="29"/>
        <v>0</v>
      </c>
      <c r="G62" s="152">
        <f t="shared" si="31"/>
        <v>0</v>
      </c>
      <c r="H62" s="152">
        <f t="shared" si="32"/>
        <v>-1.6000000000000001E-3</v>
      </c>
      <c r="I62" s="70">
        <f t="shared" si="33"/>
        <v>-182031</v>
      </c>
      <c r="J62" s="152">
        <f t="shared" si="34"/>
        <v>-1</v>
      </c>
      <c r="K62" s="163"/>
    </row>
    <row r="63" spans="1:11" ht="18">
      <c r="A63" s="30"/>
      <c r="B63" s="150">
        <v>2205</v>
      </c>
      <c r="C63" s="151" t="str">
        <f t="shared" si="22"/>
        <v>预收款项</v>
      </c>
      <c r="D63" s="70">
        <f t="shared" si="28"/>
        <v>0</v>
      </c>
      <c r="E63" s="152">
        <f t="shared" si="30"/>
        <v>0</v>
      </c>
      <c r="F63" s="70">
        <f t="shared" si="29"/>
        <v>0</v>
      </c>
      <c r="G63" s="152">
        <f t="shared" si="31"/>
        <v>0</v>
      </c>
      <c r="H63" s="152">
        <f t="shared" si="32"/>
        <v>0</v>
      </c>
      <c r="I63" s="70">
        <f t="shared" si="33"/>
        <v>0</v>
      </c>
      <c r="J63" s="152" t="str">
        <f t="shared" si="34"/>
        <v/>
      </c>
      <c r="K63" s="163"/>
    </row>
    <row r="64" spans="1:11" ht="18">
      <c r="A64" s="30"/>
      <c r="B64" s="150">
        <v>2211</v>
      </c>
      <c r="C64" s="151" t="str">
        <f t="shared" si="22"/>
        <v>应付职工薪酬</v>
      </c>
      <c r="D64" s="70">
        <f t="shared" si="28"/>
        <v>306477.86</v>
      </c>
      <c r="E64" s="152">
        <f t="shared" si="30"/>
        <v>2.7000000000000001E-3</v>
      </c>
      <c r="F64" s="70">
        <f t="shared" si="29"/>
        <v>621334.09</v>
      </c>
      <c r="G64" s="152">
        <f t="shared" si="31"/>
        <v>0.12559999999999999</v>
      </c>
      <c r="H64" s="152">
        <f t="shared" si="32"/>
        <v>0.1229</v>
      </c>
      <c r="I64" s="70">
        <f t="shared" si="33"/>
        <v>314856.23</v>
      </c>
      <c r="J64" s="152">
        <f t="shared" si="34"/>
        <v>1.0273000000000001</v>
      </c>
      <c r="K64" s="163"/>
    </row>
    <row r="65" spans="1:11" ht="18">
      <c r="A65" s="30"/>
      <c r="B65" s="150">
        <v>2221</v>
      </c>
      <c r="C65" s="151" t="str">
        <f t="shared" si="22"/>
        <v>应交税费</v>
      </c>
      <c r="D65" s="70">
        <f t="shared" si="28"/>
        <v>27898.14</v>
      </c>
      <c r="E65" s="152">
        <f t="shared" si="30"/>
        <v>2.0000000000000001E-4</v>
      </c>
      <c r="F65" s="70">
        <f t="shared" si="29"/>
        <v>101055.66</v>
      </c>
      <c r="G65" s="152">
        <f t="shared" si="31"/>
        <v>2.0400000000000001E-2</v>
      </c>
      <c r="H65" s="152">
        <f t="shared" si="32"/>
        <v>2.0199999999999999E-2</v>
      </c>
      <c r="I65" s="70">
        <f t="shared" si="33"/>
        <v>73157.52</v>
      </c>
      <c r="J65" s="152">
        <f t="shared" si="34"/>
        <v>2.6223000000000001</v>
      </c>
      <c r="K65" s="163"/>
    </row>
    <row r="66" spans="1:11" ht="18">
      <c r="A66" s="30"/>
      <c r="B66" s="150">
        <v>2246</v>
      </c>
      <c r="C66" s="151" t="str">
        <f>IF($B66="","",VLOOKUP($B66,Sheet_Items,2,0))</f>
        <v>其他应付款（报表项目）</v>
      </c>
      <c r="D66" s="70">
        <f t="shared" si="28"/>
        <v>113852180.2</v>
      </c>
      <c r="E66" s="152">
        <f t="shared" si="30"/>
        <v>0.99550000000000005</v>
      </c>
      <c r="F66" s="70">
        <f t="shared" si="29"/>
        <v>4224459.3600000003</v>
      </c>
      <c r="G66" s="152">
        <f t="shared" si="31"/>
        <v>0.85399999999999998</v>
      </c>
      <c r="H66" s="152">
        <f t="shared" si="32"/>
        <v>-0.14149999999999999</v>
      </c>
      <c r="I66" s="70">
        <f t="shared" si="33"/>
        <v>-109627720.84</v>
      </c>
      <c r="J66" s="152">
        <f t="shared" si="34"/>
        <v>-0.96289999999999998</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114368587.2</v>
      </c>
      <c r="E72" s="156">
        <f t="shared" ref="E72:I72" si="35">SUM(E57:E71)-SUM(E67,E68)</f>
        <v>1</v>
      </c>
      <c r="F72" s="154">
        <f t="shared" si="35"/>
        <v>4946849.1100000003</v>
      </c>
      <c r="G72" s="156">
        <f t="shared" si="35"/>
        <v>1</v>
      </c>
      <c r="H72" s="156">
        <f t="shared" si="35"/>
        <v>0</v>
      </c>
      <c r="I72" s="154">
        <f t="shared" si="35"/>
        <v>-109421738.09</v>
      </c>
      <c r="J72" s="152">
        <f t="shared" si="27"/>
        <v>-0.95669999999999999</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114368587.2</v>
      </c>
      <c r="E85" s="156">
        <f>SUM(E72,E84)</f>
        <v>1</v>
      </c>
      <c r="F85" s="154">
        <f>SUM(F72,F84)</f>
        <v>4946849.1100000003</v>
      </c>
      <c r="G85" s="156">
        <f>SUM(G72,G84)</f>
        <v>1</v>
      </c>
      <c r="H85" s="156"/>
      <c r="I85" s="154">
        <f>SUM(I72,I84)</f>
        <v>-109421738.09</v>
      </c>
      <c r="J85" s="155">
        <f t="shared" si="27"/>
        <v>-0.95669999999999999</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100000000</v>
      </c>
      <c r="E87" s="152">
        <f>IF(D$98=0,"",D87/D$98)</f>
        <v>0.95979999999999999</v>
      </c>
      <c r="F87" s="70">
        <f t="shared" ref="F87:F97" si="48">VLOOKUP($B87,Sheet_Trialbal,6,0)</f>
        <v>100000000</v>
      </c>
      <c r="G87" s="152">
        <f>IF(F$98=0,"",F87/F$98)</f>
        <v>0.98229999999999995</v>
      </c>
      <c r="H87" s="152">
        <f t="shared" si="45"/>
        <v>2.2499999999999999E-2</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418369.59</v>
      </c>
      <c r="E93" s="152">
        <f t="shared" si="49"/>
        <v>4.0000000000000001E-3</v>
      </c>
      <c r="F93" s="70">
        <f t="shared" si="48"/>
        <v>418369.59</v>
      </c>
      <c r="G93" s="152">
        <f t="shared" si="50"/>
        <v>4.1000000000000003E-3</v>
      </c>
      <c r="H93" s="152">
        <f t="shared" si="51"/>
        <v>1E-4</v>
      </c>
      <c r="I93" s="70">
        <f t="shared" si="52"/>
        <v>0</v>
      </c>
      <c r="J93" s="152">
        <f t="shared" si="53"/>
        <v>0</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3765326.31</v>
      </c>
      <c r="E95" s="152">
        <f t="shared" si="49"/>
        <v>3.61E-2</v>
      </c>
      <c r="F95" s="70">
        <f t="shared" si="48"/>
        <v>1382585.97</v>
      </c>
      <c r="G95" s="152">
        <f t="shared" si="50"/>
        <v>1.3599999999999999E-2</v>
      </c>
      <c r="H95" s="152">
        <f t="shared" si="51"/>
        <v>-2.2499999999999999E-2</v>
      </c>
      <c r="I95" s="70">
        <f t="shared" si="52"/>
        <v>-2382740.34</v>
      </c>
      <c r="J95" s="152">
        <f t="shared" si="53"/>
        <v>-0.63280000000000003</v>
      </c>
      <c r="K95" s="163"/>
    </row>
    <row r="96" spans="1:11" ht="18">
      <c r="A96" s="30"/>
      <c r="B96" s="150">
        <v>4298</v>
      </c>
      <c r="C96" s="164" t="str">
        <f t="shared" si="54"/>
        <v>归属于母公司所有者权益合计</v>
      </c>
      <c r="D96" s="154">
        <f>SUM(D87:D89,-D90,D91:D95)</f>
        <v>104183695.90000001</v>
      </c>
      <c r="E96" s="155">
        <f t="shared" ref="E96:E97" si="55">IF(D$98=0,"",D96/D$98)</f>
        <v>1</v>
      </c>
      <c r="F96" s="154">
        <f>SUM(F87:F89,-F90,F91:F95)</f>
        <v>101800955.56</v>
      </c>
      <c r="G96" s="155">
        <f t="shared" ref="G96:G97" si="56">IF(F$98=0,"",F96/F$98)</f>
        <v>1</v>
      </c>
      <c r="H96" s="155">
        <f t="shared" si="45"/>
        <v>0</v>
      </c>
      <c r="I96" s="154">
        <f>SUM(I87:I89,-I90,I91:I95)</f>
        <v>-2382740.34</v>
      </c>
      <c r="J96" s="152">
        <f t="shared" si="27"/>
        <v>-2.29E-2</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104183695.90000001</v>
      </c>
      <c r="E98" s="156">
        <f t="shared" si="60"/>
        <v>1</v>
      </c>
      <c r="F98" s="154">
        <f t="shared" si="60"/>
        <v>101800955.56</v>
      </c>
      <c r="G98" s="156">
        <f t="shared" si="60"/>
        <v>1</v>
      </c>
      <c r="H98" s="156">
        <f t="shared" si="60"/>
        <v>0</v>
      </c>
      <c r="I98" s="154">
        <f t="shared" si="60"/>
        <v>-2382740.34</v>
      </c>
      <c r="J98" s="152">
        <f t="shared" si="27"/>
        <v>-2.29E-2</v>
      </c>
      <c r="K98" s="163"/>
    </row>
    <row r="99" spans="1:11" ht="18">
      <c r="A99" s="30"/>
      <c r="B99" s="150">
        <v>5000</v>
      </c>
      <c r="C99" s="153" t="str">
        <f t="shared" si="54"/>
        <v>负债和所有者权益总计</v>
      </c>
      <c r="D99" s="154">
        <f>SUM(D85,D98)</f>
        <v>218552283.09999999</v>
      </c>
      <c r="E99" s="152"/>
      <c r="F99" s="154">
        <f>SUM(F85,F98)</f>
        <v>106747804.67</v>
      </c>
      <c r="G99" s="152"/>
      <c r="H99" s="152" t="str">
        <f t="shared" ref="H99:H101" si="61">IF(OR(G99="",E99=""),"",G99-E99)</f>
        <v/>
      </c>
      <c r="I99" s="154">
        <f>SUM(I85,I98)</f>
        <v>-111804478.43000001</v>
      </c>
      <c r="J99" s="152">
        <f t="shared" si="27"/>
        <v>-0.51160000000000005</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9961204.6999999993</v>
      </c>
      <c r="E101" s="152"/>
      <c r="F101" s="70">
        <f t="shared" ref="F101:F114" si="66">VLOOKUP($B101,Sheet_Trialbal,6,0)</f>
        <v>20266366.969999999</v>
      </c>
      <c r="G101" s="152"/>
      <c r="H101" s="152" t="str">
        <f t="shared" si="61"/>
        <v/>
      </c>
      <c r="I101" s="70">
        <f t="shared" si="62"/>
        <v>10305162.27</v>
      </c>
      <c r="J101" s="152">
        <f t="shared" si="63"/>
        <v>1.0345</v>
      </c>
      <c r="K101" s="163"/>
    </row>
    <row r="102" spans="1:11" ht="18">
      <c r="A102" s="30"/>
      <c r="B102" s="150">
        <v>6401</v>
      </c>
      <c r="C102" s="151" t="str">
        <f t="shared" si="64"/>
        <v>营业成本</v>
      </c>
      <c r="D102" s="70">
        <f t="shared" si="65"/>
        <v>8620689.6300000008</v>
      </c>
      <c r="E102" s="152"/>
      <c r="F102" s="70">
        <f t="shared" si="66"/>
        <v>17540765.449999999</v>
      </c>
      <c r="G102" s="152"/>
      <c r="H102" s="152" t="str">
        <f t="shared" ref="H102:H114" si="67">IF(OR(G102="",E102=""),"",G102-E102)</f>
        <v/>
      </c>
      <c r="I102" s="70">
        <f t="shared" ref="I102:I114" si="68">IF(OR(F102="",D102=""),"",F102-D102)</f>
        <v>8920075.8200000003</v>
      </c>
      <c r="J102" s="152">
        <f t="shared" ref="J102:J114" si="69">IF(OR(I102="",D102="",D102=0),"",I102/D102)</f>
        <v>1.0347</v>
      </c>
      <c r="K102" s="163"/>
    </row>
    <row r="103" spans="1:11" ht="18">
      <c r="A103" s="30"/>
      <c r="B103" s="150">
        <v>6600</v>
      </c>
      <c r="C103" s="151" t="str">
        <f t="shared" si="64"/>
        <v>税金及附加</v>
      </c>
      <c r="D103" s="70">
        <f t="shared" si="65"/>
        <v>68861.460000000006</v>
      </c>
      <c r="E103" s="152"/>
      <c r="F103" s="70">
        <f t="shared" si="66"/>
        <v>78151.759999999995</v>
      </c>
      <c r="G103" s="152"/>
      <c r="H103" s="152" t="str">
        <f t="shared" si="67"/>
        <v/>
      </c>
      <c r="I103" s="70">
        <f t="shared" si="68"/>
        <v>9290.2999999999993</v>
      </c>
      <c r="J103" s="152">
        <f t="shared" si="69"/>
        <v>0.13489999999999999</v>
      </c>
      <c r="K103" s="163"/>
    </row>
    <row r="104" spans="1:11" ht="18">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8">
      <c r="A105" s="30"/>
      <c r="B105" s="150">
        <v>6602</v>
      </c>
      <c r="C105" s="151" t="str">
        <f t="shared" si="64"/>
        <v>管理费用</v>
      </c>
      <c r="D105" s="70">
        <f t="shared" si="65"/>
        <v>5160685.92</v>
      </c>
      <c r="E105" s="152"/>
      <c r="F105" s="70">
        <f t="shared" si="66"/>
        <v>5051217.3499999996</v>
      </c>
      <c r="G105" s="152"/>
      <c r="H105" s="152" t="str">
        <f t="shared" si="67"/>
        <v/>
      </c>
      <c r="I105" s="70">
        <f t="shared" si="68"/>
        <v>-109468.57</v>
      </c>
      <c r="J105" s="152">
        <f t="shared" si="69"/>
        <v>-2.12E-2</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-4939.1400000000003</v>
      </c>
      <c r="E107" s="152"/>
      <c r="F107" s="70">
        <f t="shared" si="66"/>
        <v>-10537.07</v>
      </c>
      <c r="G107" s="152"/>
      <c r="H107" s="152" t="str">
        <f t="shared" si="67"/>
        <v/>
      </c>
      <c r="I107" s="70">
        <f t="shared" si="68"/>
        <v>-5597.93</v>
      </c>
      <c r="J107" s="152">
        <f t="shared" si="69"/>
        <v>1.1334</v>
      </c>
      <c r="K107" s="163"/>
    </row>
    <row r="108" spans="1:11" ht="18">
      <c r="A108" s="30"/>
      <c r="B108" s="150">
        <v>6181</v>
      </c>
      <c r="C108" s="151" t="str">
        <f t="shared" si="64"/>
        <v>其他收益</v>
      </c>
      <c r="D108" s="70">
        <f t="shared" si="65"/>
        <v>0</v>
      </c>
      <c r="E108" s="152"/>
      <c r="F108" s="70">
        <f t="shared" si="66"/>
        <v>10490.18</v>
      </c>
      <c r="G108" s="152"/>
      <c r="H108" s="152" t="str">
        <f t="shared" si="67"/>
        <v/>
      </c>
      <c r="I108" s="70">
        <f t="shared" si="68"/>
        <v>10490.18</v>
      </c>
      <c r="J108" s="152" t="str">
        <f t="shared" si="69"/>
        <v/>
      </c>
      <c r="K108" s="163"/>
    </row>
    <row r="109" spans="1:11" ht="18">
      <c r="A109" s="30"/>
      <c r="B109" s="150">
        <v>6111</v>
      </c>
      <c r="C109" s="151" t="str">
        <f t="shared" si="64"/>
        <v>投资收益</v>
      </c>
      <c r="D109" s="70">
        <f t="shared" si="65"/>
        <v>5521086.3499999996</v>
      </c>
      <c r="E109" s="152"/>
      <c r="F109" s="70">
        <f t="shared" si="66"/>
        <v>0</v>
      </c>
      <c r="G109" s="152"/>
      <c r="H109" s="152" t="str">
        <f t="shared" si="67"/>
        <v/>
      </c>
      <c r="I109" s="70">
        <f t="shared" si="68"/>
        <v>-5521086.3499999996</v>
      </c>
      <c r="J109" s="152">
        <f t="shared" si="69"/>
        <v>-1</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0</v>
      </c>
      <c r="G112" s="152"/>
      <c r="H112" s="152" t="str">
        <f t="shared" si="67"/>
        <v/>
      </c>
      <c r="I112" s="70">
        <f t="shared" si="68"/>
        <v>0</v>
      </c>
      <c r="J112" s="152" t="str">
        <f t="shared" si="69"/>
        <v/>
      </c>
      <c r="K112" s="163"/>
    </row>
    <row r="113" spans="1:11" ht="24">
      <c r="A113" s="30"/>
      <c r="B113" s="150">
        <v>6671</v>
      </c>
      <c r="C113" s="151" t="str">
        <f>IF($B113="","",VLOOKUP($B113,Sheet_Items,6,0))</f>
        <v>资产减值损失（损失以“-”号填列）</v>
      </c>
      <c r="D113" s="70">
        <f t="shared" si="65"/>
        <v>0</v>
      </c>
      <c r="E113" s="152"/>
      <c r="F113" s="70">
        <f t="shared" si="66"/>
        <v>0</v>
      </c>
      <c r="G113" s="152"/>
      <c r="H113" s="152" t="str">
        <f t="shared" si="67"/>
        <v/>
      </c>
      <c r="I113" s="70">
        <f t="shared" si="68"/>
        <v>0</v>
      </c>
      <c r="J113" s="152" t="str">
        <f t="shared" si="69"/>
        <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1636993.18</v>
      </c>
      <c r="E115" s="152">
        <f t="shared" ref="E115:I115" si="70">SUM(E101)-SUM(E102:E107)+SUM(E108:E114)</f>
        <v>0</v>
      </c>
      <c r="F115" s="154">
        <f t="shared" si="70"/>
        <v>-2382740.34</v>
      </c>
      <c r="G115" s="152">
        <f t="shared" si="70"/>
        <v>0</v>
      </c>
      <c r="H115" s="152">
        <f t="shared" si="70"/>
        <v>0</v>
      </c>
      <c r="I115" s="154">
        <f t="shared" si="70"/>
        <v>-4019733.52</v>
      </c>
      <c r="J115" s="152">
        <f t="shared" si="63"/>
        <v>-2.4556</v>
      </c>
      <c r="K115" s="163"/>
    </row>
    <row r="116" spans="1:11" ht="18">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8">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8">
      <c r="A118" s="30"/>
      <c r="B118" s="150">
        <v>6788</v>
      </c>
      <c r="C118" s="153" t="str">
        <f t="shared" si="64"/>
        <v>利润总额</v>
      </c>
      <c r="D118" s="154">
        <f>SUM(D115,D116,-D117)</f>
        <v>1636993.18</v>
      </c>
      <c r="E118" s="152"/>
      <c r="F118" s="154">
        <f>SUM(F115,F116,-F117)</f>
        <v>-2382740.34</v>
      </c>
      <c r="G118" s="152"/>
      <c r="H118" s="152" t="str">
        <f t="shared" si="71"/>
        <v/>
      </c>
      <c r="I118" s="154">
        <f>SUM(I115,I116,-I117)</f>
        <v>-4019733.52</v>
      </c>
      <c r="J118" s="155">
        <f t="shared" si="63"/>
        <v>-2.4556</v>
      </c>
      <c r="K118" s="163"/>
    </row>
    <row r="119" spans="1:11" ht="18">
      <c r="A119" s="30"/>
      <c r="B119" s="150">
        <v>6791</v>
      </c>
      <c r="C119" s="151" t="str">
        <f t="shared" si="64"/>
        <v>所得税费用</v>
      </c>
      <c r="D119" s="70">
        <f>VLOOKUP($B119,Sheet_Trialbal,10,0)</f>
        <v>-926583.97</v>
      </c>
      <c r="E119" s="152"/>
      <c r="F119" s="70">
        <f>VLOOKUP($B119,Sheet_Trialbal,6,0)</f>
        <v>0</v>
      </c>
      <c r="G119" s="152"/>
      <c r="H119" s="152" t="str">
        <f t="shared" si="71"/>
        <v/>
      </c>
      <c r="I119" s="70">
        <f t="shared" ref="I119:I125" si="72">IF(OR(F119="",D119=""),"",F119-D119)</f>
        <v>926583.97</v>
      </c>
      <c r="J119" s="152">
        <f t="shared" si="63"/>
        <v>-1</v>
      </c>
      <c r="K119" s="163"/>
    </row>
    <row r="120" spans="1:11" ht="18">
      <c r="A120" s="30"/>
      <c r="B120" s="150">
        <v>6799</v>
      </c>
      <c r="C120" s="153" t="str">
        <f t="shared" si="64"/>
        <v>净利润</v>
      </c>
      <c r="D120" s="154">
        <f>SUM(D118,-D119)</f>
        <v>2563577.15</v>
      </c>
      <c r="E120" s="152"/>
      <c r="F120" s="154">
        <f>SUM(F118,-F119)</f>
        <v>-2382740.34</v>
      </c>
      <c r="G120" s="152"/>
      <c r="H120" s="152" t="str">
        <f t="shared" si="71"/>
        <v/>
      </c>
      <c r="I120" s="154">
        <f t="shared" si="72"/>
        <v>-4946317.49</v>
      </c>
      <c r="J120" s="155">
        <f t="shared" si="63"/>
        <v>-1.9295</v>
      </c>
      <c r="K120" s="163"/>
    </row>
    <row r="121" spans="1:11" ht="18">
      <c r="A121" s="30"/>
      <c r="B121" s="150">
        <v>6811</v>
      </c>
      <c r="C121" s="151" t="str">
        <f t="shared" si="64"/>
        <v>归属于母公司所有者的净利润</v>
      </c>
      <c r="D121" s="70">
        <f>VLOOKUP($B121,Sheet_Trialbal,10,0)</f>
        <v>2563577.15</v>
      </c>
      <c r="E121" s="152"/>
      <c r="F121" s="70">
        <f>VLOOKUP($B121,Sheet_Trialbal,6,0)</f>
        <v>-2382740.34</v>
      </c>
      <c r="G121" s="152"/>
      <c r="H121" s="152" t="str">
        <f t="shared" si="71"/>
        <v/>
      </c>
      <c r="I121" s="70">
        <f t="shared" si="72"/>
        <v>-4946317.49</v>
      </c>
      <c r="J121" s="152">
        <f t="shared" si="63"/>
        <v>-1.9295</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2563577.15</v>
      </c>
      <c r="E124" s="152"/>
      <c r="F124" s="154">
        <f>SUM(F120,F123)</f>
        <v>-2382740.34</v>
      </c>
      <c r="G124" s="152"/>
      <c r="H124" s="152" t="str">
        <f t="shared" si="71"/>
        <v/>
      </c>
      <c r="I124" s="154">
        <f t="shared" si="72"/>
        <v>-4946317.49</v>
      </c>
      <c r="J124" s="155">
        <f t="shared" si="63"/>
        <v>-1.9295</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北京天马金信供应链管理有限公司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43864</v>
      </c>
      <c r="H3" s="14" t="s">
        <v>2524</v>
      </c>
      <c r="I3" s="2747"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9961204.6999999993</v>
      </c>
      <c r="E10" s="70"/>
      <c r="F10" s="70">
        <f>VLOOKUP($B10,Sheet_Trialbal,6,0)</f>
        <v>20266366.969999999</v>
      </c>
      <c r="G10" s="70"/>
      <c r="H10" s="3415"/>
      <c r="I10" s="3416"/>
      <c r="J10" s="101" t="s">
        <v>5063</v>
      </c>
    </row>
    <row r="11" spans="1:10" ht="18">
      <c r="A11" s="30"/>
      <c r="B11" s="31"/>
      <c r="C11" s="72" t="s">
        <v>5076</v>
      </c>
      <c r="D11" s="70">
        <f>D10-D106</f>
        <v>1340515.07</v>
      </c>
      <c r="E11" s="70"/>
      <c r="F11" s="70">
        <f>F10-F106</f>
        <v>2725601.52</v>
      </c>
      <c r="G11" s="70"/>
      <c r="H11" s="73"/>
      <c r="I11" s="56"/>
      <c r="J11" s="96"/>
    </row>
    <row r="12" spans="1:10" ht="18">
      <c r="A12" s="30"/>
      <c r="B12" s="31">
        <v>6111</v>
      </c>
      <c r="C12" s="72" t="s">
        <v>656</v>
      </c>
      <c r="D12" s="70">
        <f>VLOOKUP($B12,Sheet_Trialbal,10,0)</f>
        <v>5521086.3499999996</v>
      </c>
      <c r="E12" s="70"/>
      <c r="F12" s="70">
        <f>VLOOKUP($B12,Sheet_Trialbal,6,0)</f>
        <v>0</v>
      </c>
      <c r="G12" s="70"/>
      <c r="H12" s="74" t="s">
        <v>5059</v>
      </c>
      <c r="I12" s="56"/>
      <c r="J12" s="96"/>
    </row>
    <row r="13" spans="1:10" ht="18">
      <c r="A13" s="30"/>
      <c r="B13" s="31">
        <v>6689</v>
      </c>
      <c r="C13" s="72" t="s">
        <v>833</v>
      </c>
      <c r="D13" s="70">
        <f>VLOOKUP($B13,Sheet_Trialbal,10,0)</f>
        <v>1636993.18</v>
      </c>
      <c r="E13" s="70"/>
      <c r="F13" s="70">
        <f>VLOOKUP($B13,Sheet_Trialbal,6,0)</f>
        <v>-2382740.34</v>
      </c>
      <c r="G13" s="70"/>
      <c r="H13" s="3415"/>
      <c r="I13" s="3416"/>
      <c r="J13" s="101" t="s">
        <v>5063</v>
      </c>
    </row>
    <row r="14" spans="1:10" ht="18">
      <c r="A14" s="30"/>
      <c r="B14" s="31">
        <v>6799</v>
      </c>
      <c r="C14" s="72" t="s">
        <v>871</v>
      </c>
      <c r="D14" s="70">
        <f>VLOOKUP($B14,Sheet_Trialbal,10,0)</f>
        <v>2563577.15</v>
      </c>
      <c r="E14" s="70"/>
      <c r="F14" s="70">
        <f>VLOOKUP($B14,Sheet_Trialbal,6,0)</f>
        <v>-2382740.34</v>
      </c>
      <c r="G14" s="70"/>
      <c r="H14" s="3415"/>
      <c r="I14" s="3416"/>
      <c r="J14" s="101" t="s">
        <v>5063</v>
      </c>
    </row>
    <row r="15" spans="1:10" ht="18">
      <c r="A15" s="30"/>
      <c r="B15" s="31">
        <v>6811</v>
      </c>
      <c r="C15" s="72" t="s">
        <v>5077</v>
      </c>
      <c r="D15" s="70">
        <f>VLOOKUP($B15,Sheet_Trialbal,10,0)</f>
        <v>2563577.15</v>
      </c>
      <c r="E15" s="70"/>
      <c r="F15" s="70">
        <f>VLOOKUP($B15,Sheet_Trialbal,6,0)</f>
        <v>-2382740.34</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0.1346</v>
      </c>
      <c r="E17" s="70"/>
      <c r="F17" s="75">
        <f>IF(F10=0,"",F11/F10)</f>
        <v>0.13450000000000001</v>
      </c>
      <c r="G17" s="70"/>
      <c r="H17" s="34"/>
      <c r="I17" s="56"/>
      <c r="J17" s="101" t="s">
        <v>5014</v>
      </c>
    </row>
    <row r="18" spans="1:10" ht="18">
      <c r="A18" s="30"/>
      <c r="B18" s="31"/>
      <c r="C18" s="72" t="s">
        <v>5015</v>
      </c>
      <c r="D18" s="75">
        <f>IF(D$10=0,"",D13/D$10)</f>
        <v>0.1643</v>
      </c>
      <c r="E18" s="70"/>
      <c r="F18" s="75">
        <f>IF(F$10=0,"",F13/F$10)</f>
        <v>-0.1176</v>
      </c>
      <c r="G18" s="70"/>
      <c r="H18" s="34"/>
      <c r="I18" s="56"/>
      <c r="J18" s="101" t="s">
        <v>5016</v>
      </c>
    </row>
    <row r="19" spans="1:10" ht="18">
      <c r="A19" s="30"/>
      <c r="B19" s="31"/>
      <c r="C19" s="72" t="s">
        <v>5017</v>
      </c>
      <c r="D19" s="75">
        <f>IF(D$82=0,"",D14/D$82)</f>
        <v>1.17E-2</v>
      </c>
      <c r="E19" s="70"/>
      <c r="F19" s="75">
        <f>IF(F$82=0,"",F14/F$82)</f>
        <v>-2.23E-2</v>
      </c>
      <c r="G19" s="70"/>
      <c r="H19" s="34"/>
      <c r="I19" s="56"/>
      <c r="J19" s="101" t="s">
        <v>5018</v>
      </c>
    </row>
    <row r="20" spans="1:10" ht="18">
      <c r="A20" s="30"/>
      <c r="B20" s="31"/>
      <c r="C20" s="72" t="s">
        <v>5019</v>
      </c>
      <c r="D20" s="75">
        <f>IF(D87=0,"",D14/D87)</f>
        <v>2.46E-2</v>
      </c>
      <c r="E20" s="70"/>
      <c r="F20" s="75">
        <f>IF(F87=0,"",F14/F87)</f>
        <v>-2.3400000000000001E-2</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t="str">
        <f>IF(D74=0,"",D$10/D74)</f>
        <v/>
      </c>
      <c r="E22" s="70"/>
      <c r="F22" s="70">
        <f>IF(F74=0,"",F$10/F74)</f>
        <v>33.78</v>
      </c>
      <c r="G22" s="70"/>
      <c r="H22" s="34"/>
      <c r="I22" s="56"/>
      <c r="J22" s="101" t="s">
        <v>5023</v>
      </c>
    </row>
    <row r="23" spans="1:10" ht="18">
      <c r="A23" s="30"/>
      <c r="B23" s="31"/>
      <c r="C23" s="72" t="s">
        <v>5024</v>
      </c>
      <c r="D23" s="70">
        <f>IF(D79=0,"",D106/D79)</f>
        <v>0.98</v>
      </c>
      <c r="E23" s="70"/>
      <c r="F23" s="70">
        <f>IF(F79=0,"",F106/F79)</f>
        <v>2</v>
      </c>
      <c r="G23" s="70"/>
      <c r="H23" s="34"/>
      <c r="I23" s="56"/>
      <c r="J23" s="101" t="s">
        <v>5025</v>
      </c>
    </row>
    <row r="24" spans="1:10" ht="18">
      <c r="A24" s="30"/>
      <c r="B24" s="31"/>
      <c r="C24" s="72" t="s">
        <v>5026</v>
      </c>
      <c r="D24" s="70">
        <f>IF(D83=0,"",D$10/D83)</f>
        <v>0.09</v>
      </c>
      <c r="E24" s="70"/>
      <c r="F24" s="70">
        <f>IF(F83=0,"",F$10/F83)</f>
        <v>0.12</v>
      </c>
      <c r="G24" s="70"/>
      <c r="H24" s="34"/>
      <c r="I24" s="56"/>
      <c r="J24" s="101" t="s">
        <v>5027</v>
      </c>
    </row>
    <row r="25" spans="1:10" ht="18">
      <c r="A25" s="30"/>
      <c r="B25" s="31"/>
      <c r="C25" s="72" t="s">
        <v>5028</v>
      </c>
      <c r="D25" s="70">
        <f>IF(D85=0,"",D$10/D85)</f>
        <v>-0.17</v>
      </c>
      <c r="E25" s="70"/>
      <c r="F25" s="70">
        <f>IF(F85=0,"",F$10/F85)</f>
        <v>0.4</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0.49</v>
      </c>
      <c r="E27" s="70"/>
      <c r="F27" s="70">
        <f>IF(F$84=0,"",F80/F$84)</f>
        <v>11.28</v>
      </c>
      <c r="G27" s="70"/>
      <c r="H27" s="34"/>
      <c r="I27" s="56"/>
      <c r="J27" s="101" t="s">
        <v>5032</v>
      </c>
    </row>
    <row r="28" spans="1:10" ht="18">
      <c r="A28" s="30"/>
      <c r="B28" s="31"/>
      <c r="C28" s="72" t="s">
        <v>5033</v>
      </c>
      <c r="D28" s="70">
        <f>IF(D$84=0,"",D81/D$84)</f>
        <v>0.33</v>
      </c>
      <c r="E28" s="70"/>
      <c r="F28" s="70">
        <f>IF(F$84=0,"",F81/F$84)</f>
        <v>11.28</v>
      </c>
      <c r="G28" s="70"/>
      <c r="H28" s="34"/>
      <c r="I28" s="56"/>
      <c r="J28" s="101" t="s">
        <v>5034</v>
      </c>
    </row>
    <row r="29" spans="1:10" ht="18">
      <c r="A29" s="30"/>
      <c r="B29" s="31"/>
      <c r="C29" s="72" t="s">
        <v>5035</v>
      </c>
      <c r="D29" s="70">
        <f>IF(D$84=0,"",D109/D$84)</f>
        <v>0</v>
      </c>
      <c r="E29" s="70"/>
      <c r="F29" s="70">
        <f>IF(F$84=0,"",F109/F$84)</f>
        <v>0.87</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0.52329999999999999</v>
      </c>
      <c r="E31" s="75"/>
      <c r="F31" s="75">
        <f>IF(F82=0,"",F86/F82)</f>
        <v>4.6300000000000001E-2</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0.5181</v>
      </c>
      <c r="E34" s="70"/>
      <c r="F34" s="75">
        <f>IF(F$10=0,"",(F107+F108)/F$10)</f>
        <v>0.2492</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1.0345</v>
      </c>
      <c r="G36" s="75"/>
      <c r="H36" s="34"/>
      <c r="I36" s="56"/>
      <c r="J36" s="101" t="s">
        <v>5041</v>
      </c>
    </row>
    <row r="37" spans="1:10" ht="18">
      <c r="A37" s="30"/>
      <c r="B37" s="31"/>
      <c r="C37" s="72" t="s">
        <v>5042</v>
      </c>
      <c r="D37" s="75" t="str">
        <f>IF(H13=0,"",(D13-H13)/H13)</f>
        <v/>
      </c>
      <c r="E37" s="75"/>
      <c r="F37" s="75">
        <f>IF(D13=0,"",(F13-D13)/D13)</f>
        <v>-2.4556</v>
      </c>
      <c r="G37" s="75"/>
      <c r="H37" s="34"/>
      <c r="I37" s="56"/>
      <c r="J37" s="101" t="s">
        <v>5043</v>
      </c>
    </row>
    <row r="38" spans="1:10" ht="18">
      <c r="A38" s="30"/>
      <c r="B38" s="31"/>
      <c r="C38" s="72" t="s">
        <v>5044</v>
      </c>
      <c r="D38" s="75" t="str">
        <f>IF(H14=0,"",(D14-H14)/H14)</f>
        <v/>
      </c>
      <c r="E38" s="75"/>
      <c r="F38" s="75">
        <f>IF(D14=0,"",(F14-D14)/D14)</f>
        <v>-1.9295</v>
      </c>
      <c r="G38" s="75"/>
      <c r="H38" s="34"/>
      <c r="I38" s="56"/>
      <c r="J38" s="101" t="s">
        <v>5045</v>
      </c>
    </row>
    <row r="39" spans="1:10" ht="18">
      <c r="A39" s="30"/>
      <c r="B39" s="31"/>
      <c r="C39" s="72" t="s">
        <v>5046</v>
      </c>
      <c r="D39" s="75" t="str">
        <f>IF(H87=0,"",(D87-H87)/H87)</f>
        <v/>
      </c>
      <c r="E39" s="75"/>
      <c r="F39" s="75">
        <f>IF(D87=0,"",(F87-D87)/D87)</f>
        <v>-2.29E-2</v>
      </c>
      <c r="G39" s="75"/>
      <c r="H39" s="34"/>
      <c r="I39" s="56"/>
      <c r="J39" s="101" t="s">
        <v>5047</v>
      </c>
    </row>
    <row r="40" spans="1:10" ht="18">
      <c r="A40" s="30"/>
      <c r="B40" s="31"/>
      <c r="C40" s="72" t="s">
        <v>5048</v>
      </c>
      <c r="D40" s="75" t="str">
        <f>IF(H82=0,"",(D82-H82)/H82)</f>
        <v/>
      </c>
      <c r="E40" s="75"/>
      <c r="F40" s="75">
        <f>IF(D82=0,"",(F82-D82)/D82)</f>
        <v>-0.51160000000000005</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-2292045.13</v>
      </c>
      <c r="E42" s="70"/>
      <c r="F42" s="70">
        <f>VLOOKUP($B42,Sheet_Trialbal,6,0)</f>
        <v>4208359.53</v>
      </c>
      <c r="G42" s="70"/>
      <c r="H42" s="34"/>
      <c r="I42" s="56"/>
      <c r="J42" s="96"/>
    </row>
    <row r="43" spans="1:10" ht="18">
      <c r="A43" s="30"/>
      <c r="B43" s="31">
        <v>7099</v>
      </c>
      <c r="C43" s="72" t="s">
        <v>5089</v>
      </c>
      <c r="D43" s="70">
        <f>VLOOKUP($B43,Sheet_Trialbal,10,0)</f>
        <v>77786868.519999996</v>
      </c>
      <c r="E43" s="70"/>
      <c r="F43" s="70">
        <f>VLOOKUP($B43,Sheet_Trialbal,6,0)</f>
        <v>-87391640.469999999</v>
      </c>
      <c r="G43" s="70"/>
      <c r="H43" s="34"/>
      <c r="I43" s="56"/>
      <c r="J43" s="96"/>
    </row>
    <row r="44" spans="1:10" ht="18">
      <c r="A44" s="30"/>
      <c r="B44" s="31">
        <v>7001</v>
      </c>
      <c r="C44" s="72" t="s">
        <v>5090</v>
      </c>
      <c r="D44" s="70">
        <f>VLOOKUP($B44,Sheet_Trialbal,10,0)</f>
        <v>11427639</v>
      </c>
      <c r="E44" s="70"/>
      <c r="F44" s="70">
        <f>VLOOKUP($B44,Sheet_Trialbal,6,0)</f>
        <v>57038231</v>
      </c>
      <c r="G44" s="70"/>
      <c r="H44" s="34"/>
      <c r="I44" s="56"/>
      <c r="J44" s="96"/>
    </row>
    <row r="45" spans="1:10" ht="24">
      <c r="A45" s="30"/>
      <c r="B45" s="31"/>
      <c r="C45" s="72" t="s">
        <v>5091</v>
      </c>
      <c r="D45" s="75">
        <f>IF(D$10=0,"",D44/D$10)</f>
        <v>1.1472</v>
      </c>
      <c r="E45" s="70"/>
      <c r="F45" s="75">
        <f>IF(F$10=0,"",F44/F$10)</f>
        <v>2.8144</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419" t="s">
        <v>5059</v>
      </c>
      <c r="I68" s="3420"/>
      <c r="J68" s="97" t="s">
        <v>5060</v>
      </c>
    </row>
    <row r="69" spans="1:10" ht="18">
      <c r="A69" s="30"/>
      <c r="B69" s="108"/>
      <c r="C69" s="109" t="s">
        <v>5061</v>
      </c>
      <c r="D69" s="110"/>
      <c r="E69" s="111"/>
      <c r="F69" s="110"/>
      <c r="G69" s="110"/>
      <c r="H69" s="3421"/>
      <c r="I69" s="3422"/>
      <c r="J69" s="96"/>
    </row>
    <row r="70" spans="1:10" ht="18">
      <c r="A70" s="30"/>
      <c r="B70" s="112"/>
      <c r="C70" s="113" t="s">
        <v>5062</v>
      </c>
      <c r="D70" s="114"/>
      <c r="E70" s="115"/>
      <c r="F70" s="114"/>
      <c r="G70" s="114"/>
      <c r="H70" s="3423"/>
      <c r="I70" s="3424"/>
      <c r="J70" s="96"/>
    </row>
    <row r="71" spans="1:10" ht="18">
      <c r="A71" s="30"/>
      <c r="B71" s="116">
        <v>1122</v>
      </c>
      <c r="C71" s="113" t="s">
        <v>124</v>
      </c>
      <c r="D71" s="117">
        <f>VLOOKUP($B71,Sheet_Trialbal,10,0)</f>
        <v>0</v>
      </c>
      <c r="E71" s="117"/>
      <c r="F71" s="117">
        <f>VLOOKUP($B71,Sheet_Trialbal,6,0)</f>
        <v>1200000</v>
      </c>
      <c r="G71" s="117"/>
      <c r="H71" s="3417"/>
      <c r="I71" s="3418"/>
      <c r="J71" s="101" t="s">
        <v>5063</v>
      </c>
    </row>
    <row r="72" spans="1:10" ht="18">
      <c r="A72" s="30"/>
      <c r="B72" s="116">
        <v>1122.1231</v>
      </c>
      <c r="C72" s="113" t="s">
        <v>5064</v>
      </c>
      <c r="D72" s="114">
        <f>VLOOKUP($B72,Sheet_Trialbal,10,0)</f>
        <v>0</v>
      </c>
      <c r="E72" s="114"/>
      <c r="F72" s="114">
        <f>VLOOKUP($B72,Sheet_Trialbal,6,0)</f>
        <v>0</v>
      </c>
      <c r="G72" s="114"/>
      <c r="H72" s="3417"/>
      <c r="I72" s="3418"/>
      <c r="J72" s="101" t="s">
        <v>5063</v>
      </c>
    </row>
    <row r="73" spans="1:10" ht="18">
      <c r="A73" s="30"/>
      <c r="B73" s="116"/>
      <c r="C73" s="113" t="s">
        <v>5065</v>
      </c>
      <c r="D73" s="118">
        <f>D71+D72</f>
        <v>0</v>
      </c>
      <c r="E73" s="118"/>
      <c r="F73" s="118">
        <f>F71+F72</f>
        <v>1200000</v>
      </c>
      <c r="G73" s="118"/>
      <c r="H73" s="3411">
        <f>H71+H72</f>
        <v>0</v>
      </c>
      <c r="I73" s="3412">
        <f>I71+I72</f>
        <v>0</v>
      </c>
      <c r="J73" s="96"/>
    </row>
    <row r="74" spans="1:10" ht="18">
      <c r="A74" s="30"/>
      <c r="B74" s="116"/>
      <c r="C74" s="120" t="s">
        <v>5066</v>
      </c>
      <c r="D74" s="118">
        <f>(D73+H73)/2</f>
        <v>0</v>
      </c>
      <c r="E74" s="118"/>
      <c r="F74" s="118">
        <f>(D73+F73)/2</f>
        <v>600000</v>
      </c>
      <c r="G74" s="118"/>
      <c r="H74" s="3411"/>
      <c r="I74" s="3412"/>
      <c r="J74" s="96"/>
    </row>
    <row r="75" spans="1:10" ht="18">
      <c r="A75" s="30"/>
      <c r="B75" s="116">
        <v>1125</v>
      </c>
      <c r="C75" s="113" t="s">
        <v>162</v>
      </c>
      <c r="D75" s="117">
        <f>VLOOKUP($B75,Sheet_Trialbal,10,0)</f>
        <v>0</v>
      </c>
      <c r="E75" s="117"/>
      <c r="F75" s="117">
        <f>VLOOKUP($B75,Sheet_Trialbal,6,0)</f>
        <v>0</v>
      </c>
      <c r="G75" s="117"/>
      <c r="H75" s="3411"/>
      <c r="I75" s="3412"/>
      <c r="J75" s="96"/>
    </row>
    <row r="76" spans="1:10" ht="18">
      <c r="A76" s="30"/>
      <c r="B76" s="116">
        <v>1400</v>
      </c>
      <c r="C76" s="113" t="s">
        <v>229</v>
      </c>
      <c r="D76" s="117">
        <f>VLOOKUP($B76,Sheet_Trialbal,10,0)</f>
        <v>17540765.449999999</v>
      </c>
      <c r="E76" s="117"/>
      <c r="F76" s="117">
        <f>VLOOKUP($B76,Sheet_Trialbal,6,0)</f>
        <v>0</v>
      </c>
      <c r="G76" s="117"/>
      <c r="H76" s="3417"/>
      <c r="I76" s="3418"/>
      <c r="J76" s="101" t="s">
        <v>5063</v>
      </c>
    </row>
    <row r="77" spans="1:10" ht="18">
      <c r="A77" s="30"/>
      <c r="B77" s="116">
        <v>1400.1470999999999</v>
      </c>
      <c r="C77" s="113" t="s">
        <v>5067</v>
      </c>
      <c r="D77" s="114">
        <f>VLOOKUP($B77,Sheet_Trialbal,10,0)</f>
        <v>0</v>
      </c>
      <c r="E77" s="114"/>
      <c r="F77" s="114">
        <f>VLOOKUP($B77,Sheet_Trialbal,6,0)</f>
        <v>0</v>
      </c>
      <c r="G77" s="114"/>
      <c r="H77" s="3417"/>
      <c r="I77" s="3418"/>
      <c r="J77" s="101" t="s">
        <v>5063</v>
      </c>
    </row>
    <row r="78" spans="1:10" ht="18">
      <c r="A78" s="30"/>
      <c r="B78" s="116"/>
      <c r="C78" s="113" t="s">
        <v>5068</v>
      </c>
      <c r="D78" s="118">
        <f>D76+D77</f>
        <v>17540765.449999999</v>
      </c>
      <c r="E78" s="118"/>
      <c r="F78" s="118">
        <f>F76+F77</f>
        <v>0</v>
      </c>
      <c r="G78" s="118"/>
      <c r="H78" s="3411">
        <f>H76+H77</f>
        <v>0</v>
      </c>
      <c r="I78" s="3412">
        <f>I76+I77</f>
        <v>0</v>
      </c>
      <c r="J78" s="96"/>
    </row>
    <row r="79" spans="1:10" ht="18">
      <c r="A79" s="30"/>
      <c r="B79" s="116"/>
      <c r="C79" s="120" t="s">
        <v>5069</v>
      </c>
      <c r="D79" s="118">
        <f>(D78+H78)/2</f>
        <v>8770382.7300000004</v>
      </c>
      <c r="E79" s="118"/>
      <c r="F79" s="118">
        <f>(D78+F78)/2</f>
        <v>8770382.7300000004</v>
      </c>
      <c r="G79" s="118"/>
      <c r="H79" s="3411"/>
      <c r="I79" s="3412"/>
      <c r="J79" s="96"/>
    </row>
    <row r="80" spans="1:10" ht="18">
      <c r="A80" s="30"/>
      <c r="B80" s="116">
        <v>1498</v>
      </c>
      <c r="C80" s="113" t="s">
        <v>286</v>
      </c>
      <c r="D80" s="117">
        <f>VLOOKUP($B80,Sheet_Trialbal,10,0)</f>
        <v>55598625.359999999</v>
      </c>
      <c r="E80" s="117"/>
      <c r="F80" s="117">
        <f>VLOOKUP($B80,Sheet_Trialbal,6,0)</f>
        <v>55799668.369999997</v>
      </c>
      <c r="G80" s="117"/>
      <c r="H80" s="3411"/>
      <c r="I80" s="3412"/>
      <c r="J80" s="96"/>
    </row>
    <row r="81" spans="1:10" ht="18">
      <c r="A81" s="30"/>
      <c r="B81" s="116"/>
      <c r="C81" s="120" t="s">
        <v>5070</v>
      </c>
      <c r="D81" s="118">
        <f>D80-D75-D76</f>
        <v>38057859.909999996</v>
      </c>
      <c r="E81" s="118"/>
      <c r="F81" s="118">
        <f>F80-F75-F76</f>
        <v>55799668.369999997</v>
      </c>
      <c r="G81" s="118"/>
      <c r="H81" s="3411"/>
      <c r="I81" s="3412"/>
      <c r="J81" s="96"/>
    </row>
    <row r="82" spans="1:10" ht="18">
      <c r="A82" s="30"/>
      <c r="B82" s="116">
        <v>1999</v>
      </c>
      <c r="C82" s="113" t="s">
        <v>5071</v>
      </c>
      <c r="D82" s="117">
        <f>VLOOKUP($B82,Sheet_Trialbal,10,0)</f>
        <v>218552283.09999999</v>
      </c>
      <c r="E82" s="117"/>
      <c r="F82" s="117">
        <f>VLOOKUP($B82,Sheet_Trialbal,6,0)</f>
        <v>106747804.67</v>
      </c>
      <c r="G82" s="117"/>
      <c r="H82" s="3417"/>
      <c r="I82" s="3418"/>
      <c r="J82" s="101" t="s">
        <v>5063</v>
      </c>
    </row>
    <row r="83" spans="1:10" ht="18">
      <c r="A83" s="30"/>
      <c r="B83" s="116"/>
      <c r="C83" s="120" t="s">
        <v>5072</v>
      </c>
      <c r="D83" s="118">
        <f>(D82+H82)/2</f>
        <v>109276141.55</v>
      </c>
      <c r="E83" s="118"/>
      <c r="F83" s="118">
        <f>(D82+F82)/2</f>
        <v>162650043.88999999</v>
      </c>
      <c r="G83" s="117"/>
      <c r="H83" s="3411"/>
      <c r="I83" s="3412"/>
      <c r="J83" s="96"/>
    </row>
    <row r="84" spans="1:10" ht="18">
      <c r="A84" s="30"/>
      <c r="B84" s="116">
        <v>2498</v>
      </c>
      <c r="C84" s="113" t="s">
        <v>566</v>
      </c>
      <c r="D84" s="117">
        <f>VLOOKUP($B84,Sheet_Trialbal,10,0)</f>
        <v>114368587.2</v>
      </c>
      <c r="E84" s="117"/>
      <c r="F84" s="117">
        <f>VLOOKUP($B84,Sheet_Trialbal,6,0)</f>
        <v>4946849.1100000003</v>
      </c>
      <c r="G84" s="117"/>
      <c r="H84" s="3411"/>
      <c r="I84" s="3412"/>
      <c r="J84" s="96"/>
    </row>
    <row r="85" spans="1:10" ht="18">
      <c r="A85" s="30"/>
      <c r="B85" s="116"/>
      <c r="C85" s="113" t="s">
        <v>5073</v>
      </c>
      <c r="D85" s="118">
        <f>D80-D84</f>
        <v>-58769961.840000004</v>
      </c>
      <c r="E85" s="118"/>
      <c r="F85" s="118">
        <f>F80-F84</f>
        <v>50852819.259999998</v>
      </c>
      <c r="G85" s="118"/>
      <c r="H85" s="3411"/>
      <c r="I85" s="3412"/>
      <c r="J85" s="96"/>
    </row>
    <row r="86" spans="1:10" ht="18">
      <c r="A86" s="30"/>
      <c r="B86" s="116">
        <v>2999</v>
      </c>
      <c r="C86" s="113" t="s">
        <v>5074</v>
      </c>
      <c r="D86" s="117">
        <f>VLOOKUP($B86,Sheet_Trialbal,10,0)</f>
        <v>114368587.2</v>
      </c>
      <c r="E86" s="117"/>
      <c r="F86" s="117">
        <f>VLOOKUP($B86,Sheet_Trialbal,6,0)</f>
        <v>4946849.1100000003</v>
      </c>
      <c r="G86" s="117"/>
      <c r="H86" s="3411"/>
      <c r="I86" s="3412"/>
      <c r="J86" s="96"/>
    </row>
    <row r="87" spans="1:10" ht="18">
      <c r="A87" s="30"/>
      <c r="B87" s="116">
        <v>4999</v>
      </c>
      <c r="C87" s="113" t="s">
        <v>5075</v>
      </c>
      <c r="D87" s="117">
        <f>VLOOKUP($B87,Sheet_Trialbal,10,0)</f>
        <v>104183695.90000001</v>
      </c>
      <c r="E87" s="117"/>
      <c r="F87" s="117">
        <f>VLOOKUP($B87,Sheet_Trialbal,6,0)</f>
        <v>101800955.56</v>
      </c>
      <c r="G87" s="117"/>
      <c r="H87" s="3411"/>
      <c r="I87" s="3412"/>
      <c r="J87" s="101" t="s">
        <v>5063</v>
      </c>
    </row>
    <row r="88" spans="1:10" ht="18">
      <c r="A88" s="30"/>
      <c r="B88" s="116"/>
      <c r="C88" s="113"/>
      <c r="D88" s="117"/>
      <c r="E88" s="117"/>
      <c r="F88" s="117"/>
      <c r="G88" s="117"/>
      <c r="H88" s="3425"/>
      <c r="I88" s="3426"/>
      <c r="J88" s="101"/>
    </row>
    <row r="89" spans="1:10" ht="18">
      <c r="A89" s="30"/>
      <c r="B89" s="116"/>
      <c r="C89" s="113"/>
      <c r="D89" s="117"/>
      <c r="E89" s="117"/>
      <c r="F89" s="117"/>
      <c r="G89" s="117"/>
      <c r="H89" s="3411"/>
      <c r="I89" s="3412"/>
      <c r="J89" s="101"/>
    </row>
    <row r="90" spans="1:10" ht="18">
      <c r="A90" s="30"/>
      <c r="B90" s="116"/>
      <c r="C90" s="113"/>
      <c r="D90" s="117"/>
      <c r="E90" s="117"/>
      <c r="F90" s="117"/>
      <c r="G90" s="117"/>
      <c r="H90" s="3411"/>
      <c r="I90" s="3412"/>
      <c r="J90" s="101"/>
    </row>
    <row r="91" spans="1:10" ht="18">
      <c r="A91" s="30"/>
      <c r="B91" s="116"/>
      <c r="C91" s="113"/>
      <c r="D91" s="117"/>
      <c r="E91" s="117"/>
      <c r="F91" s="117"/>
      <c r="G91" s="117"/>
      <c r="H91" s="3411"/>
      <c r="I91" s="3412"/>
      <c r="J91" s="101"/>
    </row>
    <row r="92" spans="1:10" ht="18">
      <c r="A92" s="30"/>
      <c r="B92" s="116"/>
      <c r="C92" s="113"/>
      <c r="D92" s="117"/>
      <c r="E92" s="117"/>
      <c r="F92" s="117"/>
      <c r="G92" s="117"/>
      <c r="H92" s="3411"/>
      <c r="I92" s="3412"/>
      <c r="J92" s="101"/>
    </row>
    <row r="93" spans="1:10" ht="18">
      <c r="A93" s="30"/>
      <c r="B93" s="116"/>
      <c r="C93" s="113"/>
      <c r="D93" s="117"/>
      <c r="E93" s="117"/>
      <c r="F93" s="117"/>
      <c r="G93" s="117"/>
      <c r="H93" s="3411"/>
      <c r="I93" s="3412"/>
      <c r="J93" s="101"/>
    </row>
    <row r="94" spans="1:10" ht="18">
      <c r="A94" s="30"/>
      <c r="B94" s="116"/>
      <c r="C94" s="113"/>
      <c r="D94" s="117"/>
      <c r="E94" s="117"/>
      <c r="F94" s="117"/>
      <c r="G94" s="117"/>
      <c r="H94" s="3411"/>
      <c r="I94" s="3412"/>
      <c r="J94" s="101"/>
    </row>
    <row r="95" spans="1:10" ht="18">
      <c r="A95" s="30"/>
      <c r="B95" s="116"/>
      <c r="C95" s="113"/>
      <c r="D95" s="117"/>
      <c r="E95" s="117"/>
      <c r="F95" s="117"/>
      <c r="G95" s="117"/>
      <c r="H95" s="3411"/>
      <c r="I95" s="3412"/>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411"/>
      <c r="I100" s="3412"/>
      <c r="J100" s="101"/>
    </row>
    <row r="101" spans="1:10" ht="18">
      <c r="A101" s="30"/>
      <c r="B101" s="116"/>
      <c r="C101" s="113"/>
      <c r="D101" s="117"/>
      <c r="E101" s="117"/>
      <c r="F101" s="117"/>
      <c r="G101" s="117"/>
      <c r="H101" s="3411"/>
      <c r="I101" s="3412"/>
      <c r="J101" s="101"/>
    </row>
    <row r="102" spans="1:10" ht="18">
      <c r="A102" s="30"/>
      <c r="B102" s="116"/>
      <c r="C102" s="113"/>
      <c r="D102" s="117"/>
      <c r="E102" s="117"/>
      <c r="F102" s="117"/>
      <c r="G102" s="117"/>
      <c r="H102" s="3411"/>
      <c r="I102" s="3412"/>
      <c r="J102" s="101"/>
    </row>
    <row r="103" spans="1:10" ht="18">
      <c r="A103" s="30"/>
      <c r="B103" s="116"/>
      <c r="C103" s="113"/>
      <c r="D103" s="117"/>
      <c r="E103" s="117"/>
      <c r="F103" s="117"/>
      <c r="G103" s="117"/>
      <c r="H103" s="3411"/>
      <c r="I103" s="3412"/>
      <c r="J103" s="101"/>
    </row>
    <row r="104" spans="1:10" ht="18">
      <c r="A104" s="30"/>
      <c r="B104" s="116"/>
      <c r="C104" s="113"/>
      <c r="D104" s="117"/>
      <c r="E104" s="117"/>
      <c r="F104" s="117"/>
      <c r="G104" s="117"/>
      <c r="H104" s="3411"/>
      <c r="I104" s="3412"/>
      <c r="J104" s="101"/>
    </row>
    <row r="105" spans="1:10" ht="18">
      <c r="A105" s="30"/>
      <c r="B105" s="116"/>
      <c r="C105" s="113"/>
      <c r="D105" s="117"/>
      <c r="E105" s="117"/>
      <c r="F105" s="117"/>
      <c r="G105" s="117"/>
      <c r="H105" s="3411"/>
      <c r="I105" s="3412"/>
      <c r="J105" s="101"/>
    </row>
    <row r="106" spans="1:10" ht="18">
      <c r="A106" s="30"/>
      <c r="B106" s="116">
        <v>6401</v>
      </c>
      <c r="C106" s="113" t="s">
        <v>671</v>
      </c>
      <c r="D106" s="117">
        <f>VLOOKUP($B106,Sheet_Trialbal,10,0)</f>
        <v>8620689.6300000008</v>
      </c>
      <c r="E106" s="117"/>
      <c r="F106" s="117">
        <f>VLOOKUP($B106,Sheet_Trialbal,6,0)</f>
        <v>17540765.449999999</v>
      </c>
      <c r="G106" s="117"/>
      <c r="H106" s="3411"/>
      <c r="I106" s="3412"/>
      <c r="J106" s="96"/>
    </row>
    <row r="107" spans="1:10" ht="18">
      <c r="A107" s="30"/>
      <c r="B107" s="116">
        <v>6601</v>
      </c>
      <c r="C107" s="113" t="s">
        <v>680</v>
      </c>
      <c r="D107" s="117">
        <f>VLOOKUP($B107,Sheet_Trialbal,10,0)</f>
        <v>0</v>
      </c>
      <c r="E107" s="117"/>
      <c r="F107" s="117">
        <f>VLOOKUP($B107,Sheet_Trialbal,6,0)</f>
        <v>0</v>
      </c>
      <c r="G107" s="117"/>
      <c r="H107" s="3411"/>
      <c r="I107" s="3412"/>
      <c r="J107" s="96"/>
    </row>
    <row r="108" spans="1:10" ht="18">
      <c r="A108" s="30"/>
      <c r="B108" s="116">
        <v>6602</v>
      </c>
      <c r="C108" s="113" t="s">
        <v>685</v>
      </c>
      <c r="D108" s="117">
        <f>VLOOKUP($B108,Sheet_Trialbal,10,0)</f>
        <v>5160685.92</v>
      </c>
      <c r="E108" s="117"/>
      <c r="F108" s="117">
        <f>VLOOKUP($B108,Sheet_Trialbal,6,0)</f>
        <v>5051217.3499999996</v>
      </c>
      <c r="G108" s="117"/>
      <c r="H108" s="3411"/>
      <c r="I108" s="3412"/>
      <c r="J108" s="96"/>
    </row>
    <row r="109" spans="1:10" ht="18">
      <c r="A109" s="30"/>
      <c r="B109" s="121">
        <v>7399</v>
      </c>
      <c r="C109" s="122" t="s">
        <v>2272</v>
      </c>
      <c r="D109" s="123">
        <f>VLOOKUP($B109,Sheet_Trialbal,10,0)</f>
        <v>91308.84</v>
      </c>
      <c r="E109" s="123"/>
      <c r="F109" s="123">
        <f>VLOOKUP($B109,Sheet_Trialbal,6,0)</f>
        <v>4299668.37</v>
      </c>
      <c r="G109" s="123"/>
      <c r="H109" s="3413"/>
      <c r="I109" s="3414"/>
      <c r="J109" s="96"/>
    </row>
  </sheetData>
  <mergeCells count="41">
    <mergeCell ref="H10:I10"/>
    <mergeCell ref="H13:I13"/>
    <mergeCell ref="H14:I14"/>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100:I100"/>
    <mergeCell ref="H101:I101"/>
    <mergeCell ref="H102:I102"/>
    <mergeCell ref="H103:I103"/>
    <mergeCell ref="H109:I109"/>
    <mergeCell ref="H104:I104"/>
    <mergeCell ref="H105:I105"/>
    <mergeCell ref="H106:I106"/>
    <mergeCell ref="H107:I107"/>
    <mergeCell ref="H108:I108"/>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北京天马金信供应链管理有限公司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43864</v>
      </c>
      <c r="H3" s="14" t="s">
        <v>2524</v>
      </c>
      <c r="I3" s="2748" t="s">
        <v>6598</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6657</v>
      </c>
      <c r="C1" s="2901"/>
      <c r="D1" s="2902" t="str">
        <f>Lead!$E$9</f>
        <v>孙健</v>
      </c>
      <c r="E1" s="2903"/>
      <c r="F1" s="2903"/>
      <c r="G1" s="2904"/>
      <c r="H1" s="2904"/>
      <c r="I1" s="2904"/>
      <c r="J1" s="2904"/>
      <c r="K1" s="2905"/>
    </row>
    <row r="2" spans="1:11" ht="26.1" customHeight="1">
      <c r="A2" s="2907" t="str">
        <f>TEXT(Lead!$F$9,"yyyy-m-d")</f>
        <v>2020-2-3</v>
      </c>
      <c r="B2" s="2908"/>
      <c r="C2" s="2908"/>
      <c r="D2" s="2908"/>
      <c r="E2" s="2908"/>
      <c r="F2" s="2909"/>
      <c r="G2" s="2910"/>
      <c r="H2" s="2910"/>
      <c r="I2" s="2910"/>
      <c r="J2" s="2911"/>
      <c r="K2" s="2912"/>
    </row>
    <row r="3" spans="1:11">
      <c r="A3" s="2913" t="s">
        <v>6658</v>
      </c>
      <c r="B3" s="2914" t="str">
        <f>Lead!$C$5</f>
        <v>北京天马金信供应链管理有限公司</v>
      </c>
      <c r="C3" s="2915"/>
      <c r="D3" s="2915"/>
      <c r="E3" s="2915"/>
      <c r="F3" s="2909"/>
      <c r="G3" s="2910"/>
      <c r="H3" s="2910"/>
      <c r="I3" s="2910"/>
      <c r="J3" s="2916" t="str">
        <f>""&amp;$B$1</f>
        <v>9000A</v>
      </c>
      <c r="K3" s="2912"/>
    </row>
    <row r="4" spans="1:11">
      <c r="A4" s="2917" t="s">
        <v>6659</v>
      </c>
      <c r="B4" s="2918" t="s">
        <v>6659</v>
      </c>
      <c r="C4" s="2915"/>
      <c r="D4" s="2915"/>
      <c r="E4" s="2915"/>
      <c r="F4" s="2909"/>
      <c r="G4" s="2910"/>
      <c r="H4" s="2910"/>
      <c r="I4" s="2910"/>
      <c r="J4" s="2919" t="str">
        <f>$D$1&amp;" "&amp;IF($A$2="","",TEXT($A$2,"YYYY-M-D"))</f>
        <v>孙健 2020-2-3</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6660</v>
      </c>
      <c r="C8" s="3429" t="s">
        <v>6661</v>
      </c>
      <c r="D8" s="3429"/>
      <c r="E8" s="3429"/>
      <c r="F8" s="3429"/>
      <c r="G8" s="3429"/>
      <c r="H8" s="2930" t="s">
        <v>6662</v>
      </c>
      <c r="I8" s="2931" t="s">
        <v>6663</v>
      </c>
      <c r="J8" s="2932" t="s">
        <v>6664</v>
      </c>
      <c r="K8" s="2905"/>
    </row>
    <row r="9" spans="1:11" s="2928" customFormat="1" ht="39.75" customHeight="1">
      <c r="A9" s="2925"/>
      <c r="B9" s="2933">
        <v>1</v>
      </c>
      <c r="C9" s="3430" t="s">
        <v>6665</v>
      </c>
      <c r="D9" s="3431"/>
      <c r="E9" s="3431"/>
      <c r="F9" s="3431"/>
      <c r="G9" s="3431"/>
      <c r="H9" s="2934"/>
      <c r="I9" s="2935"/>
      <c r="J9" s="2936"/>
      <c r="K9" s="2905"/>
    </row>
    <row r="10" spans="1:11" s="2928" customFormat="1" ht="51" customHeight="1">
      <c r="A10" s="2925"/>
      <c r="B10" s="2933">
        <v>2</v>
      </c>
      <c r="C10" s="3430" t="s">
        <v>6666</v>
      </c>
      <c r="D10" s="3431"/>
      <c r="E10" s="3431"/>
      <c r="F10" s="3431"/>
      <c r="G10" s="3431"/>
      <c r="H10" s="2934"/>
      <c r="I10" s="2935"/>
      <c r="J10" s="2937"/>
      <c r="K10" s="2905"/>
    </row>
    <row r="11" spans="1:11" s="2928" customFormat="1" ht="20.25" customHeight="1">
      <c r="A11" s="2925"/>
      <c r="B11" s="2938" t="s">
        <v>6667</v>
      </c>
      <c r="C11" s="3427" t="s">
        <v>6668</v>
      </c>
      <c r="D11" s="3428"/>
      <c r="E11" s="3428"/>
      <c r="F11" s="3428"/>
      <c r="G11" s="3428"/>
      <c r="H11" s="2939"/>
      <c r="I11" s="2935"/>
      <c r="J11" s="2936"/>
      <c r="K11" s="2905"/>
    </row>
    <row r="12" spans="1:11" s="2928" customFormat="1" ht="31.5" customHeight="1">
      <c r="A12" s="2925"/>
      <c r="B12" s="2938" t="s">
        <v>6669</v>
      </c>
      <c r="C12" s="3427" t="s">
        <v>6670</v>
      </c>
      <c r="D12" s="3428"/>
      <c r="E12" s="3428"/>
      <c r="F12" s="3428"/>
      <c r="G12" s="3428"/>
      <c r="H12" s="2939"/>
      <c r="I12" s="2935"/>
      <c r="J12" s="2936"/>
      <c r="K12" s="2905"/>
    </row>
    <row r="13" spans="1:11" s="2928" customFormat="1" ht="39" customHeight="1">
      <c r="A13" s="2925"/>
      <c r="B13" s="2938" t="s">
        <v>6671</v>
      </c>
      <c r="C13" s="3427" t="s">
        <v>6672</v>
      </c>
      <c r="D13" s="3428"/>
      <c r="E13" s="3428"/>
      <c r="F13" s="3428"/>
      <c r="G13" s="3428"/>
      <c r="H13" s="2939"/>
      <c r="I13" s="2935"/>
      <c r="J13" s="2936"/>
      <c r="K13" s="2905"/>
    </row>
    <row r="14" spans="1:11" s="2928" customFormat="1" ht="69" customHeight="1">
      <c r="A14" s="2925"/>
      <c r="B14" s="2933">
        <v>3</v>
      </c>
      <c r="C14" s="3430" t="s">
        <v>6673</v>
      </c>
      <c r="D14" s="3431"/>
      <c r="E14" s="3431"/>
      <c r="F14" s="3431"/>
      <c r="G14" s="3431"/>
      <c r="H14" s="2934"/>
      <c r="I14" s="2940"/>
      <c r="J14" s="2937"/>
      <c r="K14" s="2905"/>
    </row>
    <row r="15" spans="1:11" s="2928" customFormat="1" ht="41.25" customHeight="1">
      <c r="A15" s="2925"/>
      <c r="B15" s="2938" t="s">
        <v>6667</v>
      </c>
      <c r="C15" s="3427" t="s">
        <v>6674</v>
      </c>
      <c r="D15" s="3432"/>
      <c r="E15" s="3432"/>
      <c r="F15" s="3432"/>
      <c r="G15" s="3432"/>
      <c r="H15" s="2941"/>
      <c r="I15" s="2935"/>
      <c r="J15" s="2936"/>
      <c r="K15" s="2905"/>
    </row>
    <row r="16" spans="1:11" s="2928" customFormat="1" ht="38.25" customHeight="1">
      <c r="A16" s="2925"/>
      <c r="B16" s="2938" t="s">
        <v>6669</v>
      </c>
      <c r="C16" s="3427" t="s">
        <v>6675</v>
      </c>
      <c r="D16" s="3432"/>
      <c r="E16" s="3432"/>
      <c r="F16" s="3432"/>
      <c r="G16" s="3432"/>
      <c r="H16" s="2941"/>
      <c r="I16" s="2935"/>
      <c r="J16" s="2936"/>
      <c r="K16" s="2905"/>
    </row>
    <row r="17" spans="1:11" s="2928" customFormat="1" ht="53.25" customHeight="1">
      <c r="A17" s="2925"/>
      <c r="B17" s="2938" t="s">
        <v>6671</v>
      </c>
      <c r="C17" s="3427" t="s">
        <v>6676</v>
      </c>
      <c r="D17" s="3428"/>
      <c r="E17" s="3428"/>
      <c r="F17" s="3428"/>
      <c r="G17" s="3428"/>
      <c r="H17" s="2939"/>
      <c r="I17" s="2935"/>
      <c r="J17" s="2936"/>
      <c r="K17" s="2905"/>
    </row>
    <row r="18" spans="1:11" s="2928" customFormat="1" ht="39" customHeight="1">
      <c r="A18" s="2925"/>
      <c r="B18" s="2933" t="s">
        <v>6677</v>
      </c>
      <c r="C18" s="3427" t="s">
        <v>6678</v>
      </c>
      <c r="D18" s="3428"/>
      <c r="E18" s="3428"/>
      <c r="F18" s="3428"/>
      <c r="G18" s="3428"/>
      <c r="H18" s="2942"/>
      <c r="I18" s="2935"/>
      <c r="J18" s="2936"/>
      <c r="K18" s="2905"/>
    </row>
    <row r="19" spans="1:11" s="2928" customFormat="1" ht="53.25" customHeight="1">
      <c r="A19" s="2925"/>
      <c r="B19" s="2933" t="s">
        <v>6679</v>
      </c>
      <c r="C19" s="3427" t="s">
        <v>6680</v>
      </c>
      <c r="D19" s="3428"/>
      <c r="E19" s="3428"/>
      <c r="F19" s="3428"/>
      <c r="G19" s="3428"/>
      <c r="H19" s="2942"/>
      <c r="I19" s="2935"/>
      <c r="J19" s="2936"/>
      <c r="K19" s="2905"/>
    </row>
    <row r="20" spans="1:11" s="2928" customFormat="1" ht="53.25" customHeight="1">
      <c r="A20" s="2925"/>
      <c r="B20" s="2933" t="s">
        <v>6681</v>
      </c>
      <c r="C20" s="3427" t="s">
        <v>6682</v>
      </c>
      <c r="D20" s="3428"/>
      <c r="E20" s="3428"/>
      <c r="F20" s="3428"/>
      <c r="G20" s="3428"/>
      <c r="H20" s="2942"/>
      <c r="I20" s="2935"/>
      <c r="J20" s="2936"/>
      <c r="K20" s="2905"/>
    </row>
    <row r="21" spans="1:11" s="2928" customFormat="1" ht="42.75" customHeight="1">
      <c r="A21" s="2925"/>
      <c r="B21" s="2933" t="s">
        <v>6683</v>
      </c>
      <c r="C21" s="3427" t="s">
        <v>6684</v>
      </c>
      <c r="D21" s="3428"/>
      <c r="E21" s="3428"/>
      <c r="F21" s="3428"/>
      <c r="G21" s="3428"/>
      <c r="H21" s="2942"/>
      <c r="I21" s="2935"/>
      <c r="J21" s="2936"/>
      <c r="K21" s="2905"/>
    </row>
    <row r="22" spans="1:11" s="2928" customFormat="1" ht="60.75" customHeight="1">
      <c r="A22" s="2925"/>
      <c r="B22" s="2933" t="s">
        <v>6685</v>
      </c>
      <c r="C22" s="3427" t="s">
        <v>6686</v>
      </c>
      <c r="D22" s="3428"/>
      <c r="E22" s="3428"/>
      <c r="F22" s="3428"/>
      <c r="G22" s="3428"/>
      <c r="H22" s="2942"/>
      <c r="I22" s="2935"/>
      <c r="J22" s="2936"/>
      <c r="K22" s="2905"/>
    </row>
    <row r="23" spans="1:11" s="2928" customFormat="1" ht="36" customHeight="1">
      <c r="A23" s="2925"/>
      <c r="B23" s="2933" t="s">
        <v>6687</v>
      </c>
      <c r="C23" s="3427" t="s">
        <v>6688</v>
      </c>
      <c r="D23" s="3428"/>
      <c r="E23" s="3428"/>
      <c r="F23" s="3428"/>
      <c r="G23" s="3428"/>
      <c r="H23" s="2942"/>
      <c r="I23" s="2935"/>
      <c r="J23" s="2936"/>
      <c r="K23" s="2905"/>
    </row>
    <row r="24" spans="1:11" s="2928" customFormat="1" ht="42" customHeight="1">
      <c r="A24" s="2925"/>
      <c r="B24" s="2938" t="s">
        <v>6689</v>
      </c>
      <c r="C24" s="3427" t="s">
        <v>6690</v>
      </c>
      <c r="D24" s="3428"/>
      <c r="E24" s="3428"/>
      <c r="F24" s="3428"/>
      <c r="G24" s="3428"/>
      <c r="H24" s="2939"/>
      <c r="I24" s="2935"/>
      <c r="J24" s="2936"/>
      <c r="K24" s="2905"/>
    </row>
    <row r="25" spans="1:11" s="2928" customFormat="1" ht="40.5" customHeight="1">
      <c r="A25" s="2925"/>
      <c r="B25" s="2933">
        <v>4</v>
      </c>
      <c r="C25" s="3430" t="s">
        <v>6691</v>
      </c>
      <c r="D25" s="3431"/>
      <c r="E25" s="3431"/>
      <c r="F25" s="3431"/>
      <c r="G25" s="3431"/>
      <c r="H25" s="2934"/>
      <c r="I25" s="2935"/>
      <c r="J25" s="2936"/>
      <c r="K25" s="2905"/>
    </row>
    <row r="26" spans="1:11" s="2928" customFormat="1" ht="117" customHeight="1">
      <c r="A26" s="2925"/>
      <c r="B26" s="2933">
        <v>5</v>
      </c>
      <c r="C26" s="3430" t="s">
        <v>6692</v>
      </c>
      <c r="D26" s="3431"/>
      <c r="E26" s="3431"/>
      <c r="F26" s="3431"/>
      <c r="G26" s="3431"/>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6693</v>
      </c>
      <c r="C29" s="2945"/>
      <c r="D29" s="2945"/>
      <c r="E29" s="2945"/>
      <c r="F29" s="2945"/>
      <c r="G29" s="2945"/>
      <c r="H29" s="2945"/>
      <c r="I29" s="2945"/>
      <c r="J29" s="2945"/>
      <c r="K29" s="2946"/>
    </row>
    <row r="30" spans="1:11">
      <c r="B30" s="2948" t="s">
        <v>6694</v>
      </c>
    </row>
    <row r="130" spans="2:10">
      <c r="B130" s="2949"/>
      <c r="C130" s="2950"/>
      <c r="D130" s="2950"/>
      <c r="E130" s="2950"/>
      <c r="F130" s="2950"/>
      <c r="G130" s="2950"/>
      <c r="H130" s="2950"/>
      <c r="I130" s="2950"/>
      <c r="J130" s="2950"/>
    </row>
    <row r="131" spans="2:10">
      <c r="B131" s="3435"/>
      <c r="C131" s="3436"/>
      <c r="D131" s="3436"/>
      <c r="E131" s="3436"/>
      <c r="F131" s="3436"/>
      <c r="G131" s="3436"/>
      <c r="H131" s="3436"/>
      <c r="I131" s="3436"/>
      <c r="J131" s="3436"/>
    </row>
    <row r="132" spans="2:10">
      <c r="B132" s="3436"/>
      <c r="C132" s="3436"/>
      <c r="D132" s="3436"/>
      <c r="E132" s="3436"/>
      <c r="F132" s="3436"/>
      <c r="G132" s="3436"/>
      <c r="H132" s="3436"/>
      <c r="I132" s="3436"/>
      <c r="J132" s="3436"/>
    </row>
    <row r="133" spans="2:10">
      <c r="B133" s="3436"/>
      <c r="C133" s="3436"/>
      <c r="D133" s="3436"/>
      <c r="E133" s="3436"/>
      <c r="F133" s="3436"/>
      <c r="G133" s="3436"/>
      <c r="H133" s="3436"/>
      <c r="I133" s="3436"/>
      <c r="J133" s="3436"/>
    </row>
    <row r="134" spans="2:10">
      <c r="B134" s="2950"/>
      <c r="C134" s="2950"/>
      <c r="D134" s="2950"/>
      <c r="E134" s="2950"/>
      <c r="F134" s="2950"/>
      <c r="G134" s="2950"/>
      <c r="H134" s="2950"/>
      <c r="I134" s="2950"/>
      <c r="J134" s="2950"/>
    </row>
    <row r="135" spans="2:10">
      <c r="B135" s="3437"/>
      <c r="C135" s="3438"/>
      <c r="D135" s="3438"/>
      <c r="E135" s="3438"/>
      <c r="F135" s="3438"/>
      <c r="G135" s="3438"/>
      <c r="H135" s="3438"/>
      <c r="I135" s="3438"/>
      <c r="J135" s="3438"/>
    </row>
    <row r="136" spans="2:10" ht="56.25" customHeight="1">
      <c r="B136" s="3436"/>
      <c r="C136" s="3436"/>
      <c r="D136" s="3436"/>
      <c r="E136" s="3436"/>
      <c r="F136" s="3436"/>
      <c r="G136" s="3436"/>
      <c r="H136" s="3436"/>
      <c r="I136" s="3436"/>
      <c r="J136" s="3436"/>
    </row>
    <row r="137" spans="2:10">
      <c r="B137" s="2951"/>
      <c r="C137" s="2951"/>
      <c r="D137" s="2951"/>
      <c r="E137" s="2951"/>
      <c r="F137" s="2951"/>
      <c r="G137" s="2951"/>
      <c r="H137" s="2951"/>
      <c r="I137" s="2951"/>
      <c r="J137" s="2951"/>
    </row>
    <row r="138" spans="2:10">
      <c r="B138" s="3436"/>
      <c r="C138" s="3436"/>
      <c r="D138" s="3436"/>
      <c r="E138" s="3436"/>
      <c r="F138" s="3436"/>
      <c r="G138" s="3436"/>
      <c r="H138" s="3436"/>
      <c r="I138" s="3436"/>
      <c r="J138" s="3436"/>
    </row>
    <row r="139" spans="2:10">
      <c r="B139" s="2952"/>
      <c r="C139" s="2952"/>
      <c r="D139" s="2952"/>
      <c r="E139" s="2952"/>
      <c r="F139" s="2952"/>
      <c r="G139" s="2952"/>
      <c r="H139" s="2952"/>
      <c r="I139" s="2952"/>
      <c r="J139" s="2952"/>
    </row>
    <row r="140" spans="2:10">
      <c r="B140" s="3439"/>
      <c r="C140" s="3439"/>
      <c r="D140" s="3439"/>
      <c r="E140" s="3439"/>
      <c r="F140" s="3439"/>
      <c r="G140" s="3439"/>
      <c r="H140" s="3439"/>
      <c r="I140" s="3439"/>
      <c r="J140" s="3439"/>
    </row>
    <row r="141" spans="2:10">
      <c r="B141" s="2952"/>
      <c r="C141" s="2952"/>
      <c r="D141" s="2952"/>
      <c r="E141" s="2952"/>
      <c r="F141" s="2952"/>
      <c r="G141" s="2952"/>
      <c r="H141" s="2952"/>
      <c r="I141" s="2952"/>
      <c r="J141" s="2952"/>
    </row>
    <row r="142" spans="2:10">
      <c r="B142" s="3439"/>
      <c r="C142" s="3439"/>
      <c r="D142" s="3439"/>
      <c r="E142" s="3439"/>
      <c r="F142" s="3439"/>
      <c r="G142" s="3439"/>
      <c r="H142" s="3439"/>
      <c r="I142" s="3439"/>
      <c r="J142" s="3439"/>
    </row>
    <row r="143" spans="2:10">
      <c r="B143" s="2952"/>
      <c r="C143" s="2952"/>
      <c r="D143" s="2952"/>
      <c r="E143" s="2952"/>
      <c r="F143" s="2952"/>
      <c r="G143" s="2952"/>
      <c r="H143" s="2952"/>
      <c r="I143" s="2952"/>
      <c r="J143" s="2952"/>
    </row>
    <row r="144" spans="2:10">
      <c r="B144" s="3439"/>
      <c r="C144" s="3439"/>
      <c r="D144" s="3439"/>
      <c r="E144" s="3439"/>
      <c r="F144" s="3439"/>
      <c r="G144" s="3439"/>
      <c r="H144" s="3439"/>
      <c r="I144" s="3439"/>
      <c r="J144" s="3439"/>
    </row>
    <row r="145" spans="2:10">
      <c r="B145" s="2952"/>
      <c r="C145" s="2952"/>
      <c r="D145" s="2952"/>
      <c r="E145" s="2952"/>
      <c r="F145" s="2952"/>
      <c r="G145" s="2952"/>
      <c r="H145" s="2952"/>
      <c r="I145" s="2952"/>
      <c r="J145" s="2952"/>
    </row>
    <row r="146" spans="2:10">
      <c r="B146" s="3437"/>
      <c r="C146" s="3438"/>
      <c r="D146" s="3438"/>
      <c r="E146" s="3438"/>
      <c r="F146" s="3438"/>
      <c r="G146" s="3438"/>
      <c r="H146" s="3438"/>
      <c r="I146" s="3438"/>
      <c r="J146" s="3438"/>
    </row>
    <row r="147" spans="2:10">
      <c r="B147" s="3433"/>
      <c r="C147" s="3434"/>
      <c r="D147" s="3434"/>
      <c r="E147" s="3434"/>
      <c r="F147" s="3434"/>
      <c r="G147" s="3434"/>
      <c r="H147" s="3434"/>
      <c r="I147" s="3434"/>
      <c r="J147" s="3434"/>
    </row>
    <row r="148" spans="2:10">
      <c r="B148" s="3440"/>
      <c r="C148" s="3440"/>
      <c r="D148" s="3440"/>
      <c r="E148" s="3440"/>
      <c r="F148" s="3440"/>
      <c r="G148" s="3440"/>
      <c r="H148" s="3440"/>
      <c r="I148" s="3440"/>
      <c r="J148" s="3440"/>
    </row>
    <row r="149" spans="2:10">
      <c r="B149" s="3433"/>
      <c r="C149" s="3434"/>
      <c r="D149" s="3434"/>
      <c r="E149" s="3434"/>
      <c r="F149" s="3434"/>
      <c r="G149" s="3434"/>
      <c r="H149" s="3434"/>
      <c r="I149" s="3434"/>
      <c r="J149" s="3434"/>
    </row>
    <row r="150" spans="2:10" ht="63" customHeight="1">
      <c r="B150" s="3440"/>
      <c r="C150" s="3440"/>
      <c r="D150" s="3440"/>
      <c r="E150" s="3440"/>
      <c r="F150" s="3440"/>
      <c r="G150" s="3440"/>
      <c r="H150" s="3440"/>
      <c r="I150" s="3440"/>
      <c r="J150" s="3440"/>
    </row>
    <row r="151" spans="2:10" ht="36" customHeight="1">
      <c r="B151" s="3440"/>
      <c r="C151" s="3440"/>
      <c r="D151" s="3440"/>
      <c r="E151" s="3440"/>
      <c r="F151" s="3440"/>
      <c r="G151" s="3440"/>
      <c r="H151" s="3440"/>
      <c r="I151" s="3440"/>
      <c r="J151" s="3440"/>
    </row>
    <row r="152" spans="2:10" ht="42" customHeight="1">
      <c r="B152" s="3439"/>
      <c r="C152" s="3439"/>
      <c r="D152" s="3439"/>
      <c r="E152" s="3439"/>
      <c r="F152" s="3439"/>
      <c r="G152" s="3439"/>
      <c r="H152" s="3439"/>
      <c r="I152" s="3439"/>
      <c r="J152" s="3439"/>
    </row>
    <row r="153" spans="2:10" ht="47.25" customHeight="1">
      <c r="B153" s="3439"/>
      <c r="C153" s="3439"/>
      <c r="D153" s="3439"/>
      <c r="E153" s="3439"/>
      <c r="F153" s="3439"/>
      <c r="G153" s="3439"/>
      <c r="H153" s="3439"/>
      <c r="I153" s="3439"/>
      <c r="J153" s="3439"/>
    </row>
    <row r="154" spans="2:10" ht="51" customHeight="1">
      <c r="B154" s="3439"/>
      <c r="C154" s="3439"/>
      <c r="D154" s="3439"/>
      <c r="E154" s="3439"/>
      <c r="F154" s="3439"/>
      <c r="G154" s="3439"/>
      <c r="H154" s="3439"/>
      <c r="I154" s="3439"/>
      <c r="J154" s="3439"/>
    </row>
    <row r="155" spans="2:10">
      <c r="B155" s="3433"/>
      <c r="C155" s="3434"/>
      <c r="D155" s="3434"/>
      <c r="E155" s="3434"/>
      <c r="F155" s="3434"/>
      <c r="G155" s="3434"/>
      <c r="H155" s="3434"/>
      <c r="I155" s="3434"/>
      <c r="J155" s="3434"/>
    </row>
    <row r="156" spans="2:10" ht="30" customHeight="1">
      <c r="B156" s="3440"/>
      <c r="C156" s="3440"/>
      <c r="D156" s="3440"/>
      <c r="E156" s="3440"/>
      <c r="F156" s="3440"/>
      <c r="G156" s="3440"/>
      <c r="H156" s="3440"/>
      <c r="I156" s="3440"/>
      <c r="J156" s="3440"/>
    </row>
    <row r="157" spans="2:10" ht="29.25" customHeight="1">
      <c r="B157" s="3440"/>
      <c r="C157" s="3440"/>
      <c r="D157" s="3440"/>
      <c r="E157" s="3440"/>
      <c r="F157" s="3440"/>
      <c r="G157" s="3440"/>
      <c r="H157" s="3440"/>
      <c r="I157" s="3440"/>
      <c r="J157" s="3440"/>
    </row>
    <row r="158" spans="2:10" ht="37.5" customHeight="1">
      <c r="B158" s="3439"/>
      <c r="C158" s="3439"/>
      <c r="D158" s="3439"/>
      <c r="E158" s="3439"/>
      <c r="F158" s="3439"/>
      <c r="G158" s="3439"/>
      <c r="H158" s="3439"/>
      <c r="I158" s="3439"/>
      <c r="J158" s="3439"/>
    </row>
    <row r="159" spans="2:10" ht="56.25" customHeight="1">
      <c r="B159" s="3439"/>
      <c r="C159" s="3439"/>
      <c r="D159" s="3439"/>
      <c r="E159" s="3439"/>
      <c r="F159" s="3439"/>
      <c r="G159" s="3439"/>
      <c r="H159" s="3439"/>
      <c r="I159" s="3439"/>
      <c r="J159" s="3439"/>
    </row>
    <row r="160" spans="2:10">
      <c r="B160" s="3433"/>
      <c r="C160" s="3434"/>
      <c r="D160" s="3434"/>
      <c r="E160" s="3434"/>
      <c r="F160" s="3434"/>
      <c r="G160" s="3434"/>
      <c r="H160" s="3434"/>
      <c r="I160" s="3434"/>
      <c r="J160" s="3434"/>
    </row>
    <row r="161" spans="2:10">
      <c r="B161" s="3433"/>
      <c r="C161" s="3434"/>
      <c r="D161" s="3434"/>
      <c r="E161" s="3434"/>
      <c r="F161" s="3434"/>
      <c r="G161" s="3434"/>
      <c r="H161" s="3434"/>
      <c r="I161" s="3434"/>
      <c r="J161" s="3434"/>
    </row>
    <row r="162" spans="2:10" ht="35.25" customHeight="1">
      <c r="B162" s="3440"/>
      <c r="C162" s="3440"/>
      <c r="D162" s="3440"/>
      <c r="E162" s="3440"/>
      <c r="F162" s="3440"/>
      <c r="G162" s="3440"/>
      <c r="H162" s="3440"/>
      <c r="I162" s="3440"/>
      <c r="J162" s="3440"/>
    </row>
    <row r="163" spans="2:10" ht="33.75" customHeight="1">
      <c r="B163" s="3439"/>
      <c r="C163" s="3439"/>
      <c r="D163" s="3439"/>
      <c r="E163" s="3439"/>
      <c r="F163" s="3439"/>
      <c r="G163" s="3439"/>
      <c r="H163" s="3439"/>
      <c r="I163" s="3439"/>
      <c r="J163" s="3439"/>
    </row>
    <row r="164" spans="2:10">
      <c r="B164" s="3434"/>
      <c r="C164" s="3434"/>
      <c r="D164" s="3434"/>
      <c r="E164" s="3434"/>
      <c r="F164" s="3434"/>
      <c r="G164" s="3434"/>
      <c r="H164" s="3434"/>
      <c r="I164" s="3434"/>
      <c r="J164" s="3434"/>
    </row>
    <row r="165" spans="2:10" ht="25.5" customHeight="1">
      <c r="B165" s="3433"/>
      <c r="C165" s="3434"/>
      <c r="D165" s="3434"/>
      <c r="E165" s="3434"/>
      <c r="F165" s="3434"/>
      <c r="G165" s="3434"/>
      <c r="H165" s="3434"/>
      <c r="I165" s="3434"/>
      <c r="J165" s="3434"/>
    </row>
    <row r="166" spans="2:10" ht="27" customHeight="1">
      <c r="B166" s="3440"/>
      <c r="C166" s="3440"/>
      <c r="D166" s="3440"/>
      <c r="E166" s="3440"/>
      <c r="F166" s="3440"/>
      <c r="G166" s="3440"/>
      <c r="H166" s="3440"/>
      <c r="I166" s="3440"/>
      <c r="J166" s="3440"/>
    </row>
    <row r="167" spans="2:10" ht="38.25" customHeight="1">
      <c r="B167" s="3439"/>
      <c r="C167" s="3439"/>
      <c r="D167" s="3439"/>
      <c r="E167" s="3439"/>
      <c r="F167" s="3439"/>
      <c r="G167" s="3439"/>
      <c r="H167" s="3439"/>
      <c r="I167" s="3439"/>
      <c r="J167" s="3439"/>
    </row>
    <row r="168" spans="2:10" ht="56.25" customHeight="1">
      <c r="B168" s="3439"/>
      <c r="C168" s="3439"/>
      <c r="D168" s="3439"/>
      <c r="E168" s="3439"/>
      <c r="F168" s="3439"/>
      <c r="G168" s="3439"/>
      <c r="H168" s="3439"/>
      <c r="I168" s="3439"/>
      <c r="J168" s="3439"/>
    </row>
    <row r="169" spans="2:10" ht="74.25" customHeight="1">
      <c r="B169" s="3439"/>
      <c r="C169" s="3439"/>
      <c r="D169" s="3439"/>
      <c r="E169" s="3439"/>
      <c r="F169" s="3439"/>
      <c r="G169" s="3439"/>
      <c r="H169" s="3439"/>
      <c r="I169" s="3439"/>
      <c r="J169" s="3439"/>
    </row>
    <row r="170" spans="2:10" ht="205.5" customHeight="1">
      <c r="B170" s="3439"/>
      <c r="C170" s="3439"/>
      <c r="D170" s="3439"/>
      <c r="E170" s="3439"/>
      <c r="F170" s="3439"/>
      <c r="G170" s="3439"/>
      <c r="H170" s="3439"/>
      <c r="I170" s="3439"/>
      <c r="J170" s="3439"/>
    </row>
    <row r="171" spans="2:10" ht="52.5" customHeight="1">
      <c r="B171" s="3439"/>
      <c r="C171" s="3439"/>
      <c r="D171" s="3439"/>
      <c r="E171" s="3439"/>
      <c r="F171" s="3439"/>
      <c r="G171" s="3439"/>
      <c r="H171" s="3439"/>
      <c r="I171" s="3439"/>
      <c r="J171" s="3439"/>
    </row>
    <row r="172" spans="2:10" ht="31.5" customHeight="1">
      <c r="B172" s="3441"/>
      <c r="C172" s="3441"/>
      <c r="D172" s="3441"/>
      <c r="E172" s="3441"/>
      <c r="F172" s="3441"/>
      <c r="G172" s="3441"/>
      <c r="H172" s="3441"/>
      <c r="I172" s="3441"/>
      <c r="J172" s="3441"/>
    </row>
    <row r="173" spans="2:10">
      <c r="B173" s="3434"/>
      <c r="C173" s="3434"/>
      <c r="D173" s="3434"/>
      <c r="E173" s="3434"/>
      <c r="F173" s="3434"/>
      <c r="G173" s="3434"/>
      <c r="H173" s="3434"/>
      <c r="I173" s="3434"/>
      <c r="J173" s="3434"/>
    </row>
    <row r="174" spans="2:10" ht="33" customHeight="1">
      <c r="B174" s="3439"/>
      <c r="C174" s="3439"/>
      <c r="D174" s="3439"/>
      <c r="E174" s="3439"/>
      <c r="F174" s="3439"/>
      <c r="G174" s="3439"/>
      <c r="H174" s="3439"/>
      <c r="I174" s="3439"/>
      <c r="J174" s="3439"/>
    </row>
    <row r="175" spans="2:10" ht="48" customHeight="1">
      <c r="B175" s="3441"/>
      <c r="C175" s="3441"/>
      <c r="D175" s="3441"/>
      <c r="E175" s="3441"/>
      <c r="F175" s="3441"/>
      <c r="G175" s="3441"/>
      <c r="H175" s="3441"/>
      <c r="I175" s="3441"/>
      <c r="J175" s="3441"/>
    </row>
    <row r="176" spans="2:10" ht="55.5" customHeight="1">
      <c r="B176" s="3441"/>
      <c r="C176" s="3441"/>
      <c r="D176" s="3441"/>
      <c r="E176" s="3441"/>
      <c r="F176" s="3441"/>
      <c r="G176" s="3441"/>
      <c r="H176" s="3441"/>
      <c r="I176" s="3441"/>
      <c r="J176" s="3441"/>
    </row>
    <row r="177" spans="2:10" ht="42" customHeight="1">
      <c r="B177" s="3441"/>
      <c r="C177" s="3441"/>
      <c r="D177" s="3441"/>
      <c r="E177" s="3441"/>
      <c r="F177" s="3441"/>
      <c r="G177" s="3441"/>
      <c r="H177" s="3441"/>
      <c r="I177" s="3441"/>
      <c r="J177" s="3441"/>
    </row>
    <row r="178" spans="2:10">
      <c r="B178" s="3433"/>
      <c r="C178" s="3434"/>
      <c r="D178" s="3434"/>
      <c r="E178" s="3434"/>
      <c r="F178" s="3434"/>
      <c r="G178" s="3434"/>
      <c r="H178" s="3434"/>
      <c r="I178" s="3434"/>
      <c r="J178" s="3434"/>
    </row>
    <row r="179" spans="2:10" ht="32.25" customHeight="1">
      <c r="B179" s="3440"/>
      <c r="C179" s="3440"/>
      <c r="D179" s="3440"/>
      <c r="E179" s="3440"/>
      <c r="F179" s="3440"/>
      <c r="G179" s="3440"/>
      <c r="H179" s="3440"/>
      <c r="I179" s="3440"/>
      <c r="J179" s="3440"/>
    </row>
    <row r="180" spans="2:10" ht="35.25" customHeight="1">
      <c r="B180" s="3439"/>
      <c r="C180" s="3439"/>
      <c r="D180" s="3439"/>
      <c r="E180" s="3439"/>
      <c r="F180" s="3439"/>
      <c r="G180" s="3439"/>
      <c r="H180" s="3439"/>
      <c r="I180" s="3439"/>
      <c r="J180" s="3439"/>
    </row>
    <row r="181" spans="2:10" ht="31.5" customHeight="1">
      <c r="B181" s="3440"/>
      <c r="C181" s="3440"/>
      <c r="D181" s="3440"/>
      <c r="E181" s="3440"/>
      <c r="F181" s="3440"/>
      <c r="G181" s="3440"/>
      <c r="H181" s="3440"/>
      <c r="I181" s="3440"/>
      <c r="J181" s="3440"/>
    </row>
    <row r="182" spans="2:10">
      <c r="B182" s="3433"/>
      <c r="C182" s="3434"/>
      <c r="D182" s="3434"/>
      <c r="E182" s="3434"/>
      <c r="F182" s="3434"/>
      <c r="G182" s="3434"/>
      <c r="H182" s="3434"/>
      <c r="I182" s="3434"/>
      <c r="J182" s="3434"/>
    </row>
    <row r="183" spans="2:10" ht="32.25" customHeight="1">
      <c r="B183" s="3440"/>
      <c r="C183" s="3440"/>
      <c r="D183" s="3440"/>
      <c r="E183" s="3440"/>
      <c r="F183" s="3440"/>
      <c r="G183" s="3440"/>
      <c r="H183" s="3440"/>
      <c r="I183" s="3440"/>
      <c r="J183" s="3440"/>
    </row>
    <row r="184" spans="2:10" ht="36" customHeight="1">
      <c r="B184" s="3440"/>
      <c r="C184" s="3440"/>
      <c r="D184" s="3440"/>
      <c r="E184" s="3440"/>
      <c r="F184" s="3440"/>
      <c r="G184" s="3440"/>
      <c r="H184" s="3440"/>
      <c r="I184" s="3440"/>
      <c r="J184" s="3440"/>
    </row>
    <row r="185" spans="2:10" ht="44.25" customHeight="1">
      <c r="B185" s="3439"/>
      <c r="C185" s="3439"/>
      <c r="D185" s="3439"/>
      <c r="E185" s="3439"/>
      <c r="F185" s="3439"/>
      <c r="G185" s="3439"/>
      <c r="H185" s="3439"/>
      <c r="I185" s="3439"/>
      <c r="J185" s="3439"/>
    </row>
    <row r="186" spans="2:10" ht="35.25" customHeight="1">
      <c r="B186" s="3439"/>
      <c r="C186" s="3439"/>
      <c r="D186" s="3439"/>
      <c r="E186" s="3439"/>
      <c r="F186" s="3439"/>
      <c r="G186" s="3439"/>
      <c r="H186" s="3439"/>
      <c r="I186" s="3439"/>
      <c r="J186" s="3439"/>
    </row>
    <row r="187" spans="2:10">
      <c r="B187" s="3433"/>
      <c r="C187" s="3434"/>
      <c r="D187" s="3434"/>
      <c r="E187" s="3434"/>
      <c r="F187" s="3434"/>
      <c r="G187" s="3434"/>
      <c r="H187" s="3434"/>
      <c r="I187" s="3434"/>
      <c r="J187" s="3434"/>
    </row>
    <row r="188" spans="2:10" ht="36" customHeight="1">
      <c r="B188" s="3440"/>
      <c r="C188" s="3440"/>
      <c r="D188" s="3440"/>
      <c r="E188" s="3440"/>
      <c r="F188" s="3440"/>
      <c r="G188" s="3440"/>
      <c r="H188" s="3440"/>
      <c r="I188" s="3440"/>
      <c r="J188" s="3440"/>
    </row>
    <row r="189" spans="2:10" ht="66.75" customHeight="1">
      <c r="B189" s="3439"/>
      <c r="C189" s="3439"/>
      <c r="D189" s="3439"/>
      <c r="E189" s="3439"/>
      <c r="F189" s="3439"/>
      <c r="G189" s="3439"/>
      <c r="H189" s="3439"/>
      <c r="I189" s="3439"/>
      <c r="J189" s="3439"/>
    </row>
    <row r="190" spans="2:10">
      <c r="B190" s="3433"/>
      <c r="C190" s="3434"/>
      <c r="D190" s="3434"/>
      <c r="E190" s="3434"/>
      <c r="F190" s="3434"/>
      <c r="G190" s="3434"/>
      <c r="H190" s="3434"/>
      <c r="I190" s="3434"/>
      <c r="J190" s="3434"/>
    </row>
    <row r="191" spans="2:10" ht="39.75" customHeight="1">
      <c r="B191" s="3440"/>
      <c r="C191" s="3440"/>
      <c r="D191" s="3440"/>
      <c r="E191" s="3440"/>
      <c r="F191" s="3440"/>
      <c r="G191" s="3440"/>
      <c r="H191" s="3440"/>
      <c r="I191" s="3440"/>
      <c r="J191" s="3440"/>
    </row>
  </sheetData>
  <sheetProtection formatCells="0" formatColumns="0" formatRows="0" insertColumns="0" insertRows="0" insertHyperlinks="0" deleteColumns="0" deleteRows="0" sort="0" autoFilter="0" pivotTables="0"/>
  <mergeCells count="74">
    <mergeCell ref="B190:J190"/>
    <mergeCell ref="B191:J191"/>
    <mergeCell ref="B184:J184"/>
    <mergeCell ref="B185:J185"/>
    <mergeCell ref="B186:J186"/>
    <mergeCell ref="B187:J187"/>
    <mergeCell ref="B188:J188"/>
    <mergeCell ref="B189:J189"/>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47:J147"/>
    <mergeCell ref="C26:G26"/>
    <mergeCell ref="B131:J131"/>
    <mergeCell ref="B132:J132"/>
    <mergeCell ref="B133:J133"/>
    <mergeCell ref="B135:J135"/>
    <mergeCell ref="B136:J136"/>
    <mergeCell ref="B138:J138"/>
    <mergeCell ref="B140:J140"/>
    <mergeCell ref="B142:J142"/>
    <mergeCell ref="B144:J144"/>
    <mergeCell ref="B146:J146"/>
    <mergeCell ref="C25:G25"/>
    <mergeCell ref="C14:G14"/>
    <mergeCell ref="C15:G15"/>
    <mergeCell ref="C16:G16"/>
    <mergeCell ref="C17:G17"/>
    <mergeCell ref="C18:G18"/>
    <mergeCell ref="C19:G19"/>
    <mergeCell ref="C20:G20"/>
    <mergeCell ref="C21:G21"/>
    <mergeCell ref="C22:G22"/>
    <mergeCell ref="C23:G23"/>
    <mergeCell ref="C24:G24"/>
    <mergeCell ref="C13:G13"/>
    <mergeCell ref="C8:G8"/>
    <mergeCell ref="C9:G9"/>
    <mergeCell ref="C10:G10"/>
    <mergeCell ref="C11:G11"/>
    <mergeCell ref="C12:G12"/>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6695</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2020-2-3</v>
      </c>
      <c r="B2" s="2908"/>
      <c r="C2" s="2908"/>
      <c r="D2" s="2908"/>
      <c r="E2" s="2908"/>
      <c r="F2" s="2909"/>
      <c r="G2" s="2909"/>
      <c r="H2" s="2909"/>
      <c r="I2" s="2909"/>
      <c r="J2" s="2909"/>
      <c r="K2" s="2909"/>
      <c r="L2" s="2910"/>
      <c r="M2" s="2910"/>
      <c r="N2" s="2910"/>
      <c r="O2" s="2910"/>
      <c r="P2" s="2911"/>
      <c r="Q2" s="2912"/>
    </row>
    <row r="3" spans="1:17">
      <c r="A3" s="2913" t="s">
        <v>6696</v>
      </c>
      <c r="B3" s="2914" t="str">
        <f>Lead!$C$5</f>
        <v>北京天马金信供应链管理有限公司</v>
      </c>
      <c r="C3" s="2915"/>
      <c r="D3" s="2915"/>
      <c r="E3" s="2915"/>
      <c r="F3" s="2953"/>
      <c r="G3" s="2953"/>
      <c r="H3" s="2953"/>
      <c r="I3" s="2953"/>
      <c r="J3" s="2953"/>
      <c r="K3" s="2909"/>
      <c r="L3" s="2910"/>
      <c r="M3" s="2910"/>
      <c r="N3" s="2910"/>
      <c r="O3" s="2910"/>
      <c r="P3" s="2916" t="str">
        <f>""&amp;$B$1</f>
        <v>9002B</v>
      </c>
      <c r="Q3" s="2912"/>
    </row>
    <row r="4" spans="1:17">
      <c r="A4" s="2901" t="s">
        <v>6697</v>
      </c>
      <c r="B4" s="2918" t="s">
        <v>6698</v>
      </c>
      <c r="C4" s="2915"/>
      <c r="D4" s="2915"/>
      <c r="E4" s="2915"/>
      <c r="F4" s="2953"/>
      <c r="G4" s="2953"/>
      <c r="H4" s="2953"/>
      <c r="I4" s="2953"/>
      <c r="J4" s="2953"/>
      <c r="K4" s="2909"/>
      <c r="L4" s="2910"/>
      <c r="M4" s="2910"/>
      <c r="N4" s="2910"/>
      <c r="O4" s="2910"/>
      <c r="P4" s="2919" t="str">
        <f>$D$1&amp;" "&amp;IF($A$2="","",TEXT($A$2,"YYYY-M-D"))</f>
        <v>孙健 2020-2-3</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443" t="s">
        <v>6660</v>
      </c>
      <c r="C7" s="3445" t="s">
        <v>6699</v>
      </c>
      <c r="D7" s="3445" t="s">
        <v>6700</v>
      </c>
      <c r="E7" s="3445" t="s">
        <v>6701</v>
      </c>
      <c r="F7" s="3442" t="s">
        <v>6702</v>
      </c>
      <c r="G7" s="3442"/>
      <c r="H7" s="3442" t="s">
        <v>6703</v>
      </c>
      <c r="I7" s="3442"/>
      <c r="J7" s="3442" t="s">
        <v>6704</v>
      </c>
      <c r="K7" s="3442"/>
      <c r="L7" s="3442" t="s">
        <v>6705</v>
      </c>
      <c r="M7" s="3442"/>
      <c r="N7" s="3445" t="s">
        <v>6706</v>
      </c>
      <c r="O7" s="3447" t="s">
        <v>6707</v>
      </c>
      <c r="P7" s="3448" t="s">
        <v>6708</v>
      </c>
      <c r="Q7" s="2905"/>
    </row>
    <row r="8" spans="1:17" s="2928" customFormat="1" ht="18" customHeight="1">
      <c r="A8" s="2925"/>
      <c r="B8" s="3444"/>
      <c r="C8" s="3446"/>
      <c r="D8" s="3446"/>
      <c r="E8" s="3446"/>
      <c r="F8" s="2955" t="s">
        <v>6709</v>
      </c>
      <c r="G8" s="2955" t="s">
        <v>6710</v>
      </c>
      <c r="H8" s="2955" t="s">
        <v>6709</v>
      </c>
      <c r="I8" s="2955" t="s">
        <v>6710</v>
      </c>
      <c r="J8" s="2955" t="s">
        <v>6709</v>
      </c>
      <c r="K8" s="2955" t="s">
        <v>6710</v>
      </c>
      <c r="L8" s="2955" t="s">
        <v>6709</v>
      </c>
      <c r="M8" s="2955" t="s">
        <v>6710</v>
      </c>
      <c r="N8" s="3446"/>
      <c r="O8" s="3446"/>
      <c r="P8" s="3449"/>
      <c r="Q8" s="2905"/>
    </row>
    <row r="9" spans="1:17" s="2928" customFormat="1" ht="18" customHeight="1">
      <c r="A9" s="2925"/>
      <c r="B9" s="2956" t="s">
        <v>6711</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6712</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6713</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6712</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6714</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6715</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6712</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6716</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6693</v>
      </c>
      <c r="Q34" s="2946"/>
    </row>
    <row r="35" spans="1:17">
      <c r="B35" s="2948" t="s">
        <v>6694</v>
      </c>
    </row>
  </sheetData>
  <sheetProtection formatCells="0" formatColumns="0" formatRows="0" insertColumns="0" insertRows="0" insertHyperlinks="0" deleteColumns="0" deleteRows="0" sort="0" autoFilter="0" pivotTables="0"/>
  <mergeCells count="11">
    <mergeCell ref="J7:K7"/>
    <mergeCell ref="L7:M7"/>
    <mergeCell ref="N7:N8"/>
    <mergeCell ref="O7:O8"/>
    <mergeCell ref="P7:P8"/>
    <mergeCell ref="H7:I7"/>
    <mergeCell ref="B7:B8"/>
    <mergeCell ref="C7:C8"/>
    <mergeCell ref="D7:D8"/>
    <mergeCell ref="E7:E8"/>
    <mergeCell ref="F7:G7"/>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6717</v>
      </c>
      <c r="C1" s="2901"/>
      <c r="D1" s="2902" t="str">
        <f>Lead!$E$9</f>
        <v>孙健</v>
      </c>
      <c r="E1" s="2903"/>
      <c r="F1" s="2903"/>
      <c r="G1" s="2904"/>
      <c r="H1" s="2904"/>
      <c r="I1" s="2905"/>
    </row>
    <row r="2" spans="1:9" ht="26.1" customHeight="1">
      <c r="A2" s="2907" t="str">
        <f>TEXT(Lead!$F$9,"yyyy-m-d")</f>
        <v>2020-2-3</v>
      </c>
      <c r="B2" s="2908"/>
      <c r="C2" s="2908"/>
      <c r="D2" s="2908"/>
      <c r="E2" s="2908"/>
      <c r="F2" s="2909"/>
      <c r="G2" s="2910"/>
      <c r="H2" s="2911"/>
      <c r="I2" s="2912"/>
    </row>
    <row r="3" spans="1:9">
      <c r="A3" s="2913" t="s">
        <v>6718</v>
      </c>
      <c r="B3" s="2914" t="str">
        <f>Lead!$C$5</f>
        <v>北京天马金信供应链管理有限公司</v>
      </c>
      <c r="C3" s="2915"/>
      <c r="D3" s="2915"/>
      <c r="E3" s="2915"/>
      <c r="F3" s="2909"/>
      <c r="G3" s="2910"/>
      <c r="H3" s="2916" t="str">
        <f>""&amp;$B$1</f>
        <v>9002C</v>
      </c>
      <c r="I3" s="2912"/>
    </row>
    <row r="4" spans="1:9">
      <c r="A4" s="2901" t="s">
        <v>6719</v>
      </c>
      <c r="B4" s="2918" t="s">
        <v>6720</v>
      </c>
      <c r="C4" s="2915"/>
      <c r="D4" s="2915"/>
      <c r="E4" s="2915"/>
      <c r="F4" s="2909"/>
      <c r="G4" s="2910"/>
      <c r="H4" s="2919" t="str">
        <f>$D$1&amp;" "&amp;IF($A$2="","",TEXT($A$2,"YYYY-M-D"))</f>
        <v>孙健 2020-2-3</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6660</v>
      </c>
      <c r="C8" s="2976" t="s">
        <v>6721</v>
      </c>
      <c r="D8" s="2976" t="s">
        <v>6722</v>
      </c>
      <c r="E8" s="2976" t="s">
        <v>6723</v>
      </c>
      <c r="F8" s="2976" t="s">
        <v>6724</v>
      </c>
      <c r="G8" s="2976" t="s">
        <v>6707</v>
      </c>
      <c r="H8" s="2977" t="s">
        <v>6708</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6693</v>
      </c>
      <c r="C26" s="2945"/>
      <c r="D26" s="2945"/>
      <c r="E26" s="2945"/>
      <c r="F26" s="2945"/>
      <c r="G26" s="2945"/>
      <c r="H26" s="2945"/>
      <c r="I26" s="2946"/>
    </row>
    <row r="27" spans="1:9">
      <c r="B27" s="2948" t="s">
        <v>6694</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6725</v>
      </c>
      <c r="C1" s="2901"/>
      <c r="D1" s="2902" t="str">
        <f>Lead!$E$9</f>
        <v>孙健</v>
      </c>
      <c r="E1" s="2903"/>
      <c r="F1" s="2904"/>
      <c r="G1" s="2904"/>
      <c r="H1" s="2904"/>
      <c r="I1" s="2905"/>
    </row>
    <row r="2" spans="1:9" ht="26.1" customHeight="1">
      <c r="A2" s="2907" t="str">
        <f>TEXT(Lead!$F$9,"yyyy-m-d")</f>
        <v>2020-2-3</v>
      </c>
      <c r="B2" s="2908"/>
      <c r="C2" s="2908"/>
      <c r="D2" s="2908"/>
      <c r="E2" s="2908"/>
      <c r="F2" s="2910"/>
      <c r="G2" s="2910"/>
      <c r="H2" s="2911"/>
      <c r="I2" s="2912"/>
    </row>
    <row r="3" spans="1:9">
      <c r="A3" s="2913" t="s">
        <v>6726</v>
      </c>
      <c r="B3" s="2914" t="str">
        <f>Lead!$C$5</f>
        <v>北京天马金信供应链管理有限公司</v>
      </c>
      <c r="C3" s="2915"/>
      <c r="D3" s="2915"/>
      <c r="E3" s="2908"/>
      <c r="F3" s="2910"/>
      <c r="G3" s="2910"/>
      <c r="H3" s="2916" t="str">
        <f>""&amp;$B$1</f>
        <v>9000B</v>
      </c>
      <c r="I3" s="2912"/>
    </row>
    <row r="4" spans="1:9">
      <c r="A4" s="2901" t="s">
        <v>6727</v>
      </c>
      <c r="B4" s="2918" t="s">
        <v>6728</v>
      </c>
      <c r="C4" s="2915"/>
      <c r="D4" s="2915"/>
      <c r="E4" s="2908"/>
      <c r="F4" s="2910"/>
      <c r="G4" s="2910"/>
      <c r="H4" s="2919" t="str">
        <f>$D$1&amp;" "&amp;IF($A$2="","",TEXT($A$2,"YYYY-M-D"))</f>
        <v>孙健 2020-2-3</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6729</v>
      </c>
      <c r="C7" s="2989"/>
      <c r="D7" s="2990"/>
      <c r="E7" s="2990"/>
      <c r="F7" s="2990"/>
      <c r="G7" s="2990"/>
      <c r="H7" s="2927"/>
      <c r="I7" s="2905"/>
    </row>
    <row r="8" spans="1:9" s="2928" customFormat="1" ht="42" customHeight="1">
      <c r="A8" s="2925"/>
      <c r="B8" s="2991" t="s">
        <v>2650</v>
      </c>
      <c r="C8" s="2992" t="s">
        <v>6730</v>
      </c>
      <c r="D8" s="2992" t="s">
        <v>6731</v>
      </c>
      <c r="E8" s="3456" t="s">
        <v>6732</v>
      </c>
      <c r="F8" s="3457"/>
      <c r="G8" s="2992" t="s">
        <v>6733</v>
      </c>
      <c r="H8" s="2993" t="s">
        <v>6175</v>
      </c>
      <c r="I8" s="2905"/>
    </row>
    <row r="9" spans="1:9" s="2928" customFormat="1" ht="21" customHeight="1">
      <c r="A9" s="2925"/>
      <c r="B9" s="2994"/>
      <c r="C9" s="2995"/>
      <c r="D9" s="2996"/>
      <c r="E9" s="3450"/>
      <c r="F9" s="3451"/>
      <c r="G9" s="2997"/>
      <c r="H9" s="2998"/>
      <c r="I9" s="2905"/>
    </row>
    <row r="10" spans="1:9" s="2928" customFormat="1" ht="20.25" customHeight="1">
      <c r="A10" s="2925"/>
      <c r="B10" s="2999"/>
      <c r="C10" s="3000"/>
      <c r="D10" s="3000"/>
      <c r="E10" s="3452"/>
      <c r="F10" s="3453"/>
      <c r="G10" s="3001"/>
      <c r="H10" s="3002"/>
      <c r="I10" s="2905"/>
    </row>
    <row r="11" spans="1:9" s="2928" customFormat="1" ht="20.25" customHeight="1">
      <c r="A11" s="2925"/>
      <c r="B11" s="2999"/>
      <c r="C11" s="3000"/>
      <c r="D11" s="3000"/>
      <c r="E11" s="3452"/>
      <c r="F11" s="3453"/>
      <c r="G11" s="3001"/>
      <c r="H11" s="3002"/>
      <c r="I11" s="2905"/>
    </row>
    <row r="12" spans="1:9" s="2928" customFormat="1" ht="20.25" customHeight="1">
      <c r="A12" s="2925"/>
      <c r="B12" s="3003"/>
      <c r="C12" s="3004"/>
      <c r="D12" s="3004"/>
      <c r="E12" s="3454"/>
      <c r="F12" s="3455"/>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6734</v>
      </c>
      <c r="C14" s="3007"/>
      <c r="D14" s="3008"/>
      <c r="E14" s="3008"/>
      <c r="F14" s="3008"/>
      <c r="G14" s="3009"/>
      <c r="H14" s="2927"/>
      <c r="I14" s="2905"/>
    </row>
    <row r="15" spans="1:9" s="2928" customFormat="1" ht="45" customHeight="1">
      <c r="A15" s="2925"/>
      <c r="B15" s="2991" t="s">
        <v>2650</v>
      </c>
      <c r="C15" s="2992" t="s">
        <v>6730</v>
      </c>
      <c r="D15" s="2992" t="s">
        <v>6731</v>
      </c>
      <c r="E15" s="3456" t="s">
        <v>6732</v>
      </c>
      <c r="F15" s="3457"/>
      <c r="G15" s="2992" t="s">
        <v>6733</v>
      </c>
      <c r="H15" s="2993" t="s">
        <v>6175</v>
      </c>
      <c r="I15" s="2905"/>
    </row>
    <row r="16" spans="1:9" s="2928" customFormat="1" ht="20.25" customHeight="1">
      <c r="A16" s="2925"/>
      <c r="B16" s="2994"/>
      <c r="C16" s="2995"/>
      <c r="D16" s="2996"/>
      <c r="E16" s="3450"/>
      <c r="F16" s="3451"/>
      <c r="G16" s="2997"/>
      <c r="H16" s="2998"/>
      <c r="I16" s="2905"/>
    </row>
    <row r="17" spans="1:9" s="2928" customFormat="1" ht="20.25" customHeight="1">
      <c r="A17" s="2925"/>
      <c r="B17" s="2999"/>
      <c r="C17" s="3000"/>
      <c r="D17" s="3000"/>
      <c r="E17" s="3452"/>
      <c r="F17" s="3453"/>
      <c r="G17" s="3001"/>
      <c r="H17" s="3002"/>
      <c r="I17" s="2905"/>
    </row>
    <row r="18" spans="1:9" s="2928" customFormat="1" ht="20.25" customHeight="1">
      <c r="A18" s="2925"/>
      <c r="B18" s="2999"/>
      <c r="C18" s="3000"/>
      <c r="D18" s="3000"/>
      <c r="E18" s="3452"/>
      <c r="F18" s="3453"/>
      <c r="G18" s="3001"/>
      <c r="H18" s="3002"/>
      <c r="I18" s="2905"/>
    </row>
    <row r="19" spans="1:9" s="2928" customFormat="1" ht="20.25" customHeight="1">
      <c r="A19" s="2925"/>
      <c r="B19" s="3003"/>
      <c r="C19" s="3004"/>
      <c r="D19" s="3004"/>
      <c r="E19" s="3454"/>
      <c r="F19" s="3455"/>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6735</v>
      </c>
      <c r="C21" s="2990"/>
      <c r="D21" s="2990"/>
      <c r="E21" s="2990"/>
      <c r="F21" s="2990"/>
      <c r="G21" s="2990"/>
      <c r="H21" s="2927"/>
      <c r="I21" s="2905"/>
    </row>
    <row r="22" spans="1:9" s="2928" customFormat="1" ht="20.25" customHeight="1">
      <c r="A22" s="2925"/>
      <c r="B22" s="3011" t="s">
        <v>6736</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6737</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6738</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6739</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6693</v>
      </c>
      <c r="C39" s="2945"/>
      <c r="D39" s="2945"/>
      <c r="E39" s="2945"/>
      <c r="F39" s="2945"/>
      <c r="G39" s="2945"/>
      <c r="H39" s="2945"/>
      <c r="I39" s="2946"/>
    </row>
    <row r="40" spans="1:9">
      <c r="B40" s="2948" t="s">
        <v>6694</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6740</v>
      </c>
      <c r="C1" s="2901"/>
      <c r="D1" s="2902" t="str">
        <f>Lead!$E$9</f>
        <v>孙健</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6741</v>
      </c>
      <c r="B3" s="2914" t="str">
        <f>Lead!$C$5</f>
        <v>北京天马金信供应链管理有限公司</v>
      </c>
      <c r="C3" s="2915"/>
      <c r="D3" s="2915"/>
      <c r="E3" s="2915"/>
      <c r="F3" s="2953"/>
      <c r="G3" s="2953"/>
      <c r="H3" s="2909"/>
      <c r="I3" s="2910"/>
      <c r="J3" s="2910"/>
      <c r="K3" s="2916" t="str">
        <f>""&amp;$B$1</f>
        <v>9000C</v>
      </c>
      <c r="L3" s="2912"/>
    </row>
    <row r="4" spans="1:12">
      <c r="A4" s="2917" t="s">
        <v>6742</v>
      </c>
      <c r="B4" s="2918" t="s">
        <v>6743</v>
      </c>
      <c r="C4" s="2915"/>
      <c r="D4" s="2915"/>
      <c r="E4" s="2915"/>
      <c r="F4" s="2953"/>
      <c r="G4" s="2953"/>
      <c r="H4" s="2909"/>
      <c r="I4" s="2910"/>
      <c r="J4" s="2910"/>
      <c r="K4" s="2919" t="str">
        <f>$D$1&amp;" "&amp;IF($A$2="","",TEXT($A$2,"YYYY-M-D"))</f>
        <v>孙健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6744</v>
      </c>
      <c r="C7" s="2926"/>
      <c r="D7" s="2926"/>
      <c r="E7" s="2926"/>
      <c r="F7" s="2926"/>
      <c r="G7" s="2926"/>
      <c r="H7" s="2926"/>
      <c r="I7" s="2927"/>
      <c r="J7" s="2927"/>
      <c r="K7" s="2927"/>
      <c r="L7" s="2905"/>
    </row>
    <row r="8" spans="1:12" s="2928" customFormat="1" ht="20.25" customHeight="1">
      <c r="A8" s="2925"/>
      <c r="B8" s="3013" t="s">
        <v>6745</v>
      </c>
      <c r="C8" s="2926"/>
      <c r="D8" s="2926"/>
      <c r="E8" s="2926"/>
      <c r="F8" s="2926"/>
      <c r="G8" s="2926"/>
      <c r="H8" s="2926"/>
      <c r="I8" s="2927"/>
      <c r="J8" s="2927"/>
      <c r="K8" s="2927"/>
      <c r="L8" s="2905"/>
    </row>
    <row r="9" spans="1:12" s="2928" customFormat="1" ht="20.25" customHeight="1">
      <c r="A9" s="2925"/>
      <c r="B9" s="3014"/>
      <c r="C9" s="3015"/>
      <c r="D9" s="3458" t="s">
        <v>2887</v>
      </c>
      <c r="E9" s="3458"/>
      <c r="F9" s="3458"/>
      <c r="G9" s="3458"/>
      <c r="H9" s="3458"/>
      <c r="I9" s="3458"/>
      <c r="J9" s="3458"/>
      <c r="K9" s="3459"/>
      <c r="L9" s="2905"/>
    </row>
    <row r="10" spans="1:12" s="2928" customFormat="1" ht="20.25" customHeight="1">
      <c r="A10" s="2925"/>
      <c r="B10" s="3016" t="s">
        <v>6746</v>
      </c>
      <c r="C10" s="3017" t="s">
        <v>6747</v>
      </c>
      <c r="D10" s="3017" t="s">
        <v>6748</v>
      </c>
      <c r="E10" s="3017" t="s">
        <v>6749</v>
      </c>
      <c r="F10" s="3017" t="s">
        <v>6750</v>
      </c>
      <c r="G10" s="3017" t="s">
        <v>6751</v>
      </c>
      <c r="H10" s="3017" t="s">
        <v>6752</v>
      </c>
      <c r="I10" s="3017" t="s">
        <v>6753</v>
      </c>
      <c r="J10" s="3017" t="s">
        <v>6754</v>
      </c>
      <c r="K10" s="3018" t="s">
        <v>6755</v>
      </c>
      <c r="L10" s="2905"/>
    </row>
    <row r="11" spans="1:12" s="2928" customFormat="1" ht="20.25" customHeight="1">
      <c r="A11" s="2925"/>
      <c r="B11" s="3016" t="s">
        <v>6756</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6757</v>
      </c>
      <c r="C12" s="3019"/>
      <c r="D12" s="3020">
        <f>SUMIF(AJE!$R$9:$R$38,"1",AJE!$O$9:$O$38)</f>
        <v>0</v>
      </c>
      <c r="E12" s="3020">
        <f>SUMIF(AJE!$R$9:$R$38,"1",AJE!$P$9:$P$38)</f>
        <v>0</v>
      </c>
      <c r="F12" s="3020">
        <f>SUMIF(AJE!$R$9:$R$38,"2",AJE!$O$9:$O$38)</f>
        <v>5265</v>
      </c>
      <c r="G12" s="3020">
        <f>SUMIF(AJE!$R$9:$R$38,"2",AJE!$P$9:$P$38)</f>
        <v>-175235</v>
      </c>
      <c r="H12" s="3020">
        <f>SUMIF(AJE!$R$9:$R$38,"4",AJE!$O$9:$O$38)+SUMIF(AJE!$R$9:$R$38,"8",AJE!$O$9:$O$38)</f>
        <v>0</v>
      </c>
      <c r="I12" s="3020">
        <f>SUMIF(AJE!$R$9:$R$38,"4",AJE!$P$9:$P$38)+SUMIF(AJE!$R$9:$R$38,"8",AJE!$P$9:$P$38)</f>
        <v>0</v>
      </c>
      <c r="J12" s="3020">
        <f>SUMIF(AJE!$R$9:$R$38,"6",AJE!$O$9:$O$38)</f>
        <v>-180500</v>
      </c>
      <c r="K12" s="3021">
        <f>SUMIF(AJE!$R$9:$R$38,"6",AJE!$P$9:$P$38)</f>
        <v>0</v>
      </c>
      <c r="L12" s="3022" t="str">
        <f>IF(AND(SUM(D12,F12,H12,J12)=0,SUM(E12,G12,I12,K12)=0),"",IF(ROUND(SUM(D12,F12,H12,J12)-SUM(E12,G12,I12,K12),2)=0,"借贷平衡!","借贷相差："&amp;(TEXT(SUM(D12,F12,H12,J12)-SUM(E12,G12,I12,K12),"#,0.00"))))</f>
        <v>借贷平衡!</v>
      </c>
    </row>
    <row r="13" spans="1:12" s="2928" customFormat="1" ht="20.25" customHeight="1">
      <c r="A13" s="2925"/>
      <c r="B13" s="3023" t="s">
        <v>6758</v>
      </c>
      <c r="C13" s="3024"/>
      <c r="D13" s="3025">
        <f>SUM(D11:D12)</f>
        <v>0</v>
      </c>
      <c r="E13" s="3025">
        <f t="shared" ref="E13:K13" si="0">SUM(E11:E12)</f>
        <v>0</v>
      </c>
      <c r="F13" s="3025">
        <f t="shared" si="0"/>
        <v>5265</v>
      </c>
      <c r="G13" s="3025">
        <f t="shared" si="0"/>
        <v>-175235</v>
      </c>
      <c r="H13" s="3025">
        <f t="shared" si="0"/>
        <v>0</v>
      </c>
      <c r="I13" s="3025">
        <f t="shared" si="0"/>
        <v>0</v>
      </c>
      <c r="J13" s="3025">
        <f t="shared" si="0"/>
        <v>-180500</v>
      </c>
      <c r="K13" s="3026">
        <f t="shared" si="0"/>
        <v>0</v>
      </c>
      <c r="L13" s="3022" t="str">
        <f>IF(AND(SUM(D13,F13,H13,J13)=0,SUM(E13,G13,I13,K13)=0),"",IF(ROUND(SUM(D13,F13,H13,J13)-SUM(E13,G13,I13,K13),2)=0,"借贷平衡!","借贷相差："&amp;(TEXT(SUM(D13,F13,H13,J13)-SUM(E13,G13,I13,K13),"#,0.00"))))</f>
        <v>借贷平衡!</v>
      </c>
    </row>
    <row r="14" spans="1:12" s="2928" customFormat="1" ht="20.25" customHeight="1">
      <c r="A14" s="2925"/>
      <c r="B14" s="3013" t="s">
        <v>6759</v>
      </c>
      <c r="C14" s="2926"/>
      <c r="D14" s="3027"/>
      <c r="E14" s="2926"/>
      <c r="F14" s="3027"/>
      <c r="G14" s="2926"/>
      <c r="H14" s="2926"/>
      <c r="I14" s="2927"/>
      <c r="J14" s="2927"/>
      <c r="K14" s="2927"/>
      <c r="L14" s="2905"/>
    </row>
    <row r="15" spans="1:12" s="2928" customFormat="1" ht="20.25" customHeight="1">
      <c r="A15" s="2925"/>
      <c r="B15" s="3013" t="s">
        <v>6760</v>
      </c>
      <c r="C15" s="2926"/>
      <c r="D15" s="2926"/>
      <c r="E15" s="2926"/>
      <c r="F15" s="2926"/>
      <c r="G15" s="3028" t="s">
        <v>6761</v>
      </c>
      <c r="H15" s="2926"/>
      <c r="I15" s="2927"/>
      <c r="J15" s="2927"/>
      <c r="K15" s="2927"/>
      <c r="L15" s="2905"/>
    </row>
    <row r="16" spans="1:12" s="2928" customFormat="1" ht="42.75" customHeight="1">
      <c r="A16" s="2925"/>
      <c r="B16" s="3460" t="s">
        <v>6762</v>
      </c>
      <c r="C16" s="3461"/>
      <c r="D16" s="3461"/>
      <c r="E16" s="3461"/>
      <c r="F16" s="3461"/>
      <c r="G16" s="3461"/>
      <c r="H16" s="3461"/>
      <c r="I16" s="3461"/>
      <c r="J16" s="3461"/>
      <c r="K16" s="3461"/>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6763</v>
      </c>
      <c r="C18" s="3034"/>
      <c r="D18" s="3034"/>
      <c r="E18" s="3034"/>
      <c r="F18" s="3034"/>
      <c r="G18" s="3034"/>
      <c r="H18" s="3034"/>
      <c r="I18" s="3035"/>
      <c r="J18" s="3035"/>
      <c r="K18" s="3036"/>
      <c r="L18" s="2905"/>
    </row>
    <row r="19" spans="1:12" s="2928" customFormat="1" ht="20.25" customHeight="1">
      <c r="A19" s="2925"/>
      <c r="B19" s="3012" t="s">
        <v>6764</v>
      </c>
      <c r="C19" s="2926"/>
      <c r="D19" s="2926"/>
      <c r="E19" s="2926"/>
      <c r="F19" s="2926"/>
      <c r="G19" s="2926"/>
      <c r="H19" s="2926"/>
      <c r="I19" s="2927"/>
      <c r="J19" s="2927"/>
      <c r="K19" s="2927"/>
      <c r="L19" s="2905"/>
    </row>
    <row r="20" spans="1:12" s="2928" customFormat="1" ht="20.25" customHeight="1">
      <c r="A20" s="2925"/>
      <c r="B20" s="3013" t="s">
        <v>6765</v>
      </c>
      <c r="C20" s="2926"/>
      <c r="D20" s="2926"/>
      <c r="E20" s="2926"/>
      <c r="F20" s="2926"/>
      <c r="G20" s="2926"/>
      <c r="H20" s="2926"/>
      <c r="I20" s="2927"/>
      <c r="J20" s="2927"/>
      <c r="K20" s="2927"/>
      <c r="L20" s="2905"/>
    </row>
    <row r="21" spans="1:12" s="2928" customFormat="1" ht="20.25" customHeight="1">
      <c r="A21" s="2925"/>
      <c r="B21" s="2926" t="s">
        <v>6766</v>
      </c>
      <c r="C21" s="2926"/>
      <c r="D21" s="2926"/>
      <c r="E21" s="2926"/>
      <c r="F21" s="3037" t="s">
        <v>2887</v>
      </c>
      <c r="G21" s="2926"/>
      <c r="H21" s="2926"/>
      <c r="I21" s="2927"/>
      <c r="J21" s="2927"/>
      <c r="K21" s="2927"/>
      <c r="L21" s="2905"/>
    </row>
    <row r="22" spans="1:12" s="2928" customFormat="1" ht="20.25" customHeight="1">
      <c r="A22" s="2925"/>
      <c r="B22" s="2926" t="s">
        <v>6767</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6768</v>
      </c>
      <c r="C24" s="3028"/>
      <c r="D24" s="3028"/>
      <c r="E24" s="3028"/>
      <c r="F24" s="3028"/>
      <c r="G24" s="2926"/>
      <c r="H24" s="2926"/>
      <c r="I24" s="2927"/>
      <c r="J24" s="2927"/>
      <c r="K24" s="3039"/>
      <c r="L24" s="2905"/>
    </row>
    <row r="25" spans="1:12" s="2928" customFormat="1" ht="20.25" customHeight="1">
      <c r="A25" s="2925"/>
      <c r="B25" s="3033" t="s">
        <v>6769</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6770</v>
      </c>
      <c r="C27" s="2926"/>
      <c r="D27" s="2926"/>
      <c r="E27" s="2926"/>
      <c r="F27" s="2926"/>
      <c r="G27" s="2926"/>
      <c r="H27" s="2926"/>
      <c r="I27" s="2927"/>
      <c r="J27" s="2927"/>
      <c r="K27" s="2927"/>
      <c r="L27" s="2905"/>
    </row>
    <row r="28" spans="1:12" s="2928" customFormat="1" ht="20.25" customHeight="1">
      <c r="A28" s="2925"/>
      <c r="B28" s="2926" t="s">
        <v>6771</v>
      </c>
      <c r="C28" s="2926"/>
      <c r="D28" s="2926"/>
      <c r="E28" s="2926"/>
      <c r="F28" s="3037" t="s">
        <v>2887</v>
      </c>
      <c r="G28" s="2926"/>
      <c r="H28" s="2926"/>
      <c r="I28" s="2927"/>
      <c r="J28" s="2927"/>
      <c r="K28" s="2927"/>
      <c r="L28" s="2905"/>
    </row>
    <row r="29" spans="1:12" s="2928" customFormat="1" ht="20.25" customHeight="1">
      <c r="A29" s="2925"/>
      <c r="B29" s="2926" t="s">
        <v>6772</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6773</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6693</v>
      </c>
      <c r="C34" s="2945"/>
      <c r="D34" s="2945"/>
      <c r="E34" s="2945"/>
      <c r="F34" s="2945"/>
      <c r="G34" s="2945"/>
      <c r="H34" s="2945"/>
      <c r="I34" s="2945"/>
      <c r="J34" s="2945"/>
      <c r="K34" s="2945"/>
      <c r="L34" s="2946"/>
    </row>
    <row r="35" spans="1:12">
      <c r="B35" s="2948" t="s">
        <v>6694</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6774</v>
      </c>
      <c r="C1" s="2901"/>
      <c r="D1" s="2902" t="str">
        <f>Lead!$E$9</f>
        <v>孙健</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6775</v>
      </c>
      <c r="B3" s="2914" t="str">
        <f>Lead!$C$5</f>
        <v>北京天马金信供应链管理有限公司</v>
      </c>
      <c r="C3" s="2915"/>
      <c r="D3" s="2915"/>
      <c r="E3" s="2915"/>
      <c r="F3" s="2953"/>
      <c r="G3" s="2953"/>
      <c r="H3" s="2909"/>
      <c r="I3" s="2910"/>
      <c r="J3" s="2910"/>
      <c r="K3" s="2916" t="str">
        <f>""&amp;$B$1</f>
        <v>9000D</v>
      </c>
      <c r="L3" s="2912"/>
    </row>
    <row r="4" spans="1:12">
      <c r="A4" s="2901" t="s">
        <v>6776</v>
      </c>
      <c r="B4" s="2918" t="s">
        <v>6777</v>
      </c>
      <c r="C4" s="2915"/>
      <c r="D4" s="2915"/>
      <c r="E4" s="2915"/>
      <c r="F4" s="2953"/>
      <c r="G4" s="2953"/>
      <c r="H4" s="2909"/>
      <c r="I4" s="2910"/>
      <c r="J4" s="2910"/>
      <c r="K4" s="2919" t="str">
        <f>$D$1&amp;" "&amp;IF($A$2="","",TEXT($A$2,"YYYY-M-D"))</f>
        <v>孙健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6778</v>
      </c>
      <c r="C7" s="2926"/>
      <c r="D7" s="2926"/>
      <c r="E7" s="2926"/>
      <c r="F7" s="2926"/>
      <c r="G7" s="2926"/>
      <c r="H7" s="2926"/>
      <c r="I7" s="2927"/>
      <c r="J7" s="2927"/>
      <c r="K7" s="2927"/>
      <c r="L7" s="2905"/>
    </row>
    <row r="8" spans="1:12" s="2928" customFormat="1" ht="20.25" customHeight="1">
      <c r="A8" s="2925"/>
      <c r="B8" s="2926"/>
      <c r="C8" s="3014" t="s">
        <v>6779</v>
      </c>
      <c r="D8" s="3041"/>
      <c r="E8" s="3041"/>
      <c r="F8" s="3041"/>
      <c r="G8" s="3041"/>
      <c r="H8" s="3041"/>
      <c r="I8" s="3042"/>
      <c r="J8" s="3042"/>
      <c r="K8" s="3042"/>
      <c r="L8" s="2905"/>
    </row>
    <row r="9" spans="1:12" s="2928" customFormat="1" ht="20.25" customHeight="1">
      <c r="A9" s="2925"/>
      <c r="B9" s="2926"/>
      <c r="C9" s="3043" t="s">
        <v>6780</v>
      </c>
      <c r="D9" s="3044"/>
      <c r="E9" s="3044"/>
      <c r="F9" s="3044"/>
      <c r="G9" s="3044"/>
      <c r="H9" s="3044"/>
      <c r="I9" s="3045"/>
      <c r="J9" s="3045"/>
      <c r="K9" s="3045"/>
      <c r="L9" s="2905"/>
    </row>
    <row r="10" spans="1:12" s="2928" customFormat="1" ht="20.25" customHeight="1">
      <c r="A10" s="2925"/>
      <c r="B10" s="2926"/>
      <c r="C10" s="3043" t="s">
        <v>6781</v>
      </c>
      <c r="D10" s="3044"/>
      <c r="E10" s="3044"/>
      <c r="F10" s="3044"/>
      <c r="G10" s="3044"/>
      <c r="H10" s="3044"/>
      <c r="I10" s="3045"/>
      <c r="J10" s="3045"/>
      <c r="K10" s="3045"/>
      <c r="L10" s="2905"/>
    </row>
    <row r="11" spans="1:12" s="2928" customFormat="1" ht="20.25" customHeight="1">
      <c r="A11" s="2925"/>
      <c r="B11" s="2926"/>
      <c r="C11" s="3046" t="s">
        <v>6782</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6783</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6784</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6785</v>
      </c>
      <c r="C23" s="2926"/>
      <c r="D23" s="2926"/>
      <c r="E23" s="2926"/>
      <c r="F23" s="2926"/>
      <c r="G23" s="2926"/>
      <c r="H23" s="2926"/>
      <c r="I23" s="2927"/>
      <c r="J23" s="2927"/>
      <c r="K23" s="2927"/>
      <c r="L23" s="2905"/>
    </row>
    <row r="24" spans="1:12" s="2928" customFormat="1" ht="20.25" customHeight="1">
      <c r="A24" s="2925"/>
      <c r="B24" s="3052"/>
      <c r="C24" s="3014" t="s">
        <v>6779</v>
      </c>
      <c r="D24" s="3041"/>
      <c r="E24" s="3041"/>
      <c r="F24" s="3041"/>
      <c r="G24" s="3041"/>
      <c r="H24" s="3041"/>
      <c r="I24" s="3042"/>
      <c r="J24" s="3042"/>
      <c r="K24" s="3042"/>
      <c r="L24" s="2905"/>
    </row>
    <row r="25" spans="1:12" s="2928" customFormat="1" ht="20.25" customHeight="1">
      <c r="A25" s="2925"/>
      <c r="B25" s="3052"/>
      <c r="C25" s="3043" t="s">
        <v>6786</v>
      </c>
      <c r="D25" s="3044"/>
      <c r="E25" s="3044"/>
      <c r="F25" s="3044"/>
      <c r="G25" s="3044"/>
      <c r="H25" s="3044"/>
      <c r="I25" s="3045"/>
      <c r="J25" s="3045"/>
      <c r="K25" s="3045"/>
      <c r="L25" s="2905"/>
    </row>
    <row r="26" spans="1:12" s="2928" customFormat="1" ht="20.25" customHeight="1">
      <c r="A26" s="2925"/>
      <c r="B26" s="3052"/>
      <c r="C26" s="3043" t="s">
        <v>6781</v>
      </c>
      <c r="D26" s="3044"/>
      <c r="E26" s="3044"/>
      <c r="F26" s="3044"/>
      <c r="G26" s="3044"/>
      <c r="H26" s="3044"/>
      <c r="I26" s="3045"/>
      <c r="J26" s="3045"/>
      <c r="K26" s="3045"/>
      <c r="L26" s="2905"/>
    </row>
    <row r="27" spans="1:12" s="2928" customFormat="1" ht="20.25" customHeight="1">
      <c r="A27" s="2925"/>
      <c r="B27" s="3052"/>
      <c r="C27" s="3046" t="s">
        <v>6782</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6787</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6788</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6693</v>
      </c>
      <c r="C42" s="2945"/>
      <c r="D42" s="2945"/>
      <c r="E42" s="2945"/>
      <c r="F42" s="2945"/>
      <c r="G42" s="2945"/>
      <c r="H42" s="2945"/>
      <c r="I42" s="2945"/>
      <c r="J42" s="2945"/>
      <c r="K42" s="2945"/>
      <c r="L42" s="2946"/>
    </row>
    <row r="43" spans="1:12">
      <c r="B43" s="2948" t="s">
        <v>6694</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33</vt:i4>
      </vt:variant>
      <vt:variant>
        <vt:lpstr>命名范围</vt:lpstr>
      </vt:variant>
      <vt:variant>
        <vt:i4>129</vt:i4>
      </vt:variant>
    </vt:vector>
  </HeadingPairs>
  <TitlesOfParts>
    <vt:vector size="162" baseType="lpstr">
      <vt:lpstr>Lead</vt:lpstr>
      <vt:lpstr>Checks</vt:lpstr>
      <vt:lpstr>preBS</vt:lpstr>
      <vt:lpstr>preIS</vt:lpstr>
      <vt:lpstr>preCF</vt:lpstr>
      <vt:lpstr>现流表复核</vt:lpstr>
      <vt:lpstr>preCE</vt:lpstr>
      <vt:lpstr>所得税计算表</vt:lpstr>
      <vt:lpstr>noteChecks</vt:lpstr>
      <vt:lpstr>Notes</vt:lpstr>
      <vt:lpstr>递延所得税计算表</vt:lpstr>
      <vt:lpstr>BS</vt:lpstr>
      <vt:lpstr>IS</vt:lpstr>
      <vt:lpstr>CF</vt:lpstr>
      <vt:lpstr>CE</vt:lpstr>
      <vt:lpstr>TB</vt:lpstr>
      <vt:lpstr>AJE</vt:lpstr>
      <vt:lpstr>CFJE</vt:lpstr>
      <vt:lpstr>UJE</vt:lpstr>
      <vt:lpstr>AJE1</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2020-04-12T15:19:20Z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